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.seaman\Desktop\Birth Dose Model Code Cleaning\"/>
    </mc:Choice>
  </mc:AlternateContent>
  <bookViews>
    <workbookView xWindow="0" yWindow="0" windowWidth="19200" windowHeight="5890" activeTab="2"/>
  </bookViews>
  <sheets>
    <sheet name="costs_calc" sheetId="3" r:id="rId1"/>
    <sheet name="Geography" sheetId="1" r:id="rId2"/>
    <sheet name="Epidemiology" sheetId="2" r:id="rId3"/>
    <sheet name="Costs" sheetId="4" r:id="rId4"/>
    <sheet name="all_lmics" sheetId="5" r:id="rId5"/>
    <sheet name="missing_impute" sheetId="8" r:id="rId6"/>
    <sheet name="global" sheetId="12" r:id="rId7"/>
    <sheet name="countries" sheetId="9" r:id="rId8"/>
    <sheet name="countries_lb" sheetId="10" r:id="rId9"/>
    <sheet name="countries_ub" sheetId="11" r:id="rId10"/>
    <sheet name="regions" sheetId="13" r:id="rId11"/>
    <sheet name="regions_lb" sheetId="14" r:id="rId12"/>
    <sheet name="regions_ub" sheetId="15" r:id="rId13"/>
  </sheets>
  <externalReferences>
    <externalReference r:id="rId14"/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AY3" i="15" l="1"/>
  <c r="AY4" i="15"/>
  <c r="AY5" i="15"/>
  <c r="AY6" i="15"/>
  <c r="AY7" i="15"/>
  <c r="AY2" i="15"/>
  <c r="AX3" i="15"/>
  <c r="AX4" i="15"/>
  <c r="AX5" i="15"/>
  <c r="AX6" i="15"/>
  <c r="AX7" i="15"/>
  <c r="AX2" i="15"/>
  <c r="AW3" i="15"/>
  <c r="AW4" i="15"/>
  <c r="AW5" i="15"/>
  <c r="AW6" i="15"/>
  <c r="AW7" i="15"/>
  <c r="AW2" i="15"/>
  <c r="AY3" i="14"/>
  <c r="AY4" i="14"/>
  <c r="AY5" i="14"/>
  <c r="AY6" i="14"/>
  <c r="AY7" i="14"/>
  <c r="AY2" i="14"/>
  <c r="AX3" i="14"/>
  <c r="AX4" i="14"/>
  <c r="AX5" i="14"/>
  <c r="AX6" i="14"/>
  <c r="AX7" i="14"/>
  <c r="AX2" i="14"/>
  <c r="AW3" i="14"/>
  <c r="AW4" i="14"/>
  <c r="AW5" i="14"/>
  <c r="AW6" i="14"/>
  <c r="AW7" i="14"/>
  <c r="AW2" i="14"/>
  <c r="AY3" i="13"/>
  <c r="AY4" i="13"/>
  <c r="AY5" i="13"/>
  <c r="AY6" i="13"/>
  <c r="AY7" i="13"/>
  <c r="AY2" i="13"/>
  <c r="AX3" i="13"/>
  <c r="AX4" i="13"/>
  <c r="AX5" i="13"/>
  <c r="AX6" i="13"/>
  <c r="AX7" i="13"/>
  <c r="AX2" i="13"/>
  <c r="AW3" i="13"/>
  <c r="AW4" i="13"/>
  <c r="AW5" i="13"/>
  <c r="AW6" i="13"/>
  <c r="AW7" i="13"/>
  <c r="AW2" i="13"/>
  <c r="E158" i="5"/>
  <c r="J158" i="5"/>
  <c r="K158" i="5"/>
  <c r="L158" i="5"/>
  <c r="M158" i="5"/>
  <c r="N158" i="5"/>
  <c r="P158" i="5"/>
  <c r="AW158" i="5"/>
  <c r="AX158" i="5"/>
  <c r="AY158" i="5"/>
  <c r="AZ158" i="5"/>
  <c r="AY4" i="11"/>
  <c r="AY8" i="11"/>
  <c r="AY37" i="11"/>
  <c r="AY55" i="11"/>
  <c r="AY3" i="11"/>
  <c r="AY7" i="11"/>
  <c r="AY75" i="11"/>
  <c r="AY81" i="11"/>
  <c r="AY82" i="11"/>
  <c r="AY86" i="11"/>
  <c r="AY43" i="11"/>
  <c r="AY17" i="11"/>
  <c r="AY52" i="11"/>
  <c r="AY56" i="11"/>
  <c r="AY83" i="11"/>
  <c r="AY46" i="11"/>
  <c r="AY77" i="11"/>
  <c r="AY9" i="11"/>
  <c r="AY19" i="11"/>
  <c r="AY48" i="11"/>
  <c r="AY63" i="11"/>
  <c r="AY85" i="11"/>
  <c r="AY6" i="11"/>
  <c r="AY12" i="11"/>
  <c r="AY38" i="11"/>
  <c r="AY41" i="11"/>
  <c r="AY44" i="11"/>
  <c r="AY13" i="11"/>
  <c r="AY70" i="11"/>
  <c r="AY65" i="11"/>
  <c r="AY76" i="11"/>
  <c r="AY15" i="11"/>
  <c r="AY33" i="11"/>
  <c r="AY27" i="11"/>
  <c r="AY62" i="11"/>
  <c r="AY66" i="11"/>
  <c r="AY64" i="11"/>
  <c r="AY20" i="11"/>
  <c r="AY35" i="11"/>
  <c r="AY26" i="11"/>
  <c r="AY42" i="11"/>
  <c r="AY36" i="11"/>
  <c r="AY79" i="11"/>
  <c r="AY18" i="11"/>
  <c r="AY57" i="11"/>
  <c r="AY51" i="11"/>
  <c r="AY24" i="11"/>
  <c r="AY54" i="11"/>
  <c r="AY67" i="11"/>
  <c r="AY80" i="11"/>
  <c r="AY10" i="11"/>
  <c r="AY16" i="11"/>
  <c r="AY69" i="11"/>
  <c r="AY5" i="11"/>
  <c r="AY11" i="11"/>
  <c r="AY25" i="11"/>
  <c r="AY30" i="11"/>
  <c r="AY73" i="11"/>
  <c r="AY40" i="11"/>
  <c r="AY14" i="11"/>
  <c r="AY28" i="11"/>
  <c r="AY88" i="11"/>
  <c r="AY23" i="11"/>
  <c r="AY60" i="11"/>
  <c r="AY47" i="11"/>
  <c r="AY71" i="11"/>
  <c r="AY74" i="11"/>
  <c r="AY22" i="11"/>
  <c r="AY61" i="11"/>
  <c r="AY72" i="11"/>
  <c r="AY45" i="11"/>
  <c r="AY87" i="11"/>
  <c r="AY39" i="11"/>
  <c r="AY31" i="11"/>
  <c r="AY59" i="11"/>
  <c r="AY84" i="11"/>
  <c r="AY34" i="11"/>
  <c r="AY78" i="11"/>
  <c r="AY29" i="11"/>
  <c r="AY49" i="11"/>
  <c r="AY58" i="11"/>
  <c r="AY32" i="11"/>
  <c r="AY53" i="11"/>
  <c r="AY68" i="11"/>
  <c r="AY21" i="11"/>
  <c r="AY2" i="11"/>
  <c r="AY50" i="11"/>
  <c r="AX4" i="11"/>
  <c r="AX8" i="11"/>
  <c r="AX37" i="11"/>
  <c r="AX55" i="11"/>
  <c r="AX3" i="11"/>
  <c r="AX7" i="11"/>
  <c r="AX75" i="11"/>
  <c r="AX81" i="11"/>
  <c r="AX82" i="11"/>
  <c r="AX86" i="11"/>
  <c r="AX43" i="11"/>
  <c r="AX17" i="11"/>
  <c r="AX52" i="11"/>
  <c r="AX56" i="11"/>
  <c r="AX83" i="11"/>
  <c r="AX46" i="11"/>
  <c r="AX77" i="11"/>
  <c r="AX9" i="11"/>
  <c r="AX19" i="11"/>
  <c r="AX48" i="11"/>
  <c r="AX63" i="11"/>
  <c r="AX85" i="11"/>
  <c r="AX6" i="11"/>
  <c r="AX12" i="11"/>
  <c r="AX38" i="11"/>
  <c r="AX41" i="11"/>
  <c r="AX44" i="11"/>
  <c r="AX13" i="11"/>
  <c r="AX70" i="11"/>
  <c r="AX65" i="11"/>
  <c r="AX76" i="11"/>
  <c r="AX15" i="11"/>
  <c r="AX33" i="11"/>
  <c r="AX27" i="11"/>
  <c r="AX62" i="11"/>
  <c r="AX66" i="11"/>
  <c r="AX64" i="11"/>
  <c r="AX20" i="11"/>
  <c r="AX35" i="11"/>
  <c r="AX26" i="11"/>
  <c r="AX42" i="11"/>
  <c r="AX36" i="11"/>
  <c r="AX79" i="11"/>
  <c r="AX18" i="11"/>
  <c r="AX57" i="11"/>
  <c r="AX51" i="11"/>
  <c r="AX24" i="11"/>
  <c r="AX54" i="11"/>
  <c r="AX67" i="11"/>
  <c r="AX80" i="11"/>
  <c r="AX10" i="11"/>
  <c r="AX16" i="11"/>
  <c r="AX69" i="11"/>
  <c r="AX5" i="11"/>
  <c r="AX11" i="11"/>
  <c r="AX25" i="11"/>
  <c r="AX30" i="11"/>
  <c r="AX73" i="11"/>
  <c r="AX40" i="11"/>
  <c r="AX14" i="11"/>
  <c r="AX28" i="11"/>
  <c r="AX88" i="11"/>
  <c r="AX23" i="11"/>
  <c r="AX60" i="11"/>
  <c r="AX47" i="11"/>
  <c r="AX71" i="11"/>
  <c r="AX74" i="11"/>
  <c r="AX22" i="11"/>
  <c r="AX61" i="11"/>
  <c r="AX72" i="11"/>
  <c r="AX45" i="11"/>
  <c r="AX87" i="11"/>
  <c r="AX39" i="11"/>
  <c r="AX31" i="11"/>
  <c r="AX59" i="11"/>
  <c r="AX84" i="11"/>
  <c r="AX34" i="11"/>
  <c r="AX78" i="11"/>
  <c r="AX29" i="11"/>
  <c r="AX49" i="11"/>
  <c r="AX58" i="11"/>
  <c r="AX32" i="11"/>
  <c r="AX53" i="11"/>
  <c r="AX68" i="11"/>
  <c r="AX21" i="11"/>
  <c r="AX2" i="11"/>
  <c r="AX50" i="11"/>
  <c r="AW4" i="11"/>
  <c r="AW8" i="11"/>
  <c r="AW37" i="11"/>
  <c r="AW55" i="11"/>
  <c r="AW3" i="11"/>
  <c r="AW7" i="11"/>
  <c r="AW75" i="11"/>
  <c r="AW81" i="11"/>
  <c r="AW82" i="11"/>
  <c r="AW86" i="11"/>
  <c r="AW43" i="11"/>
  <c r="AW17" i="11"/>
  <c r="AW52" i="11"/>
  <c r="AW56" i="11"/>
  <c r="AW83" i="11"/>
  <c r="AW46" i="11"/>
  <c r="AW77" i="11"/>
  <c r="AW9" i="11"/>
  <c r="AW19" i="11"/>
  <c r="AW48" i="11"/>
  <c r="AW63" i="11"/>
  <c r="AW85" i="11"/>
  <c r="AW6" i="11"/>
  <c r="AW12" i="11"/>
  <c r="AW38" i="11"/>
  <c r="AW41" i="11"/>
  <c r="AW44" i="11"/>
  <c r="AW13" i="11"/>
  <c r="AW70" i="11"/>
  <c r="AW65" i="11"/>
  <c r="AW76" i="11"/>
  <c r="AW15" i="11"/>
  <c r="AW33" i="11"/>
  <c r="AW27" i="11"/>
  <c r="AW62" i="11"/>
  <c r="AW66" i="11"/>
  <c r="AW64" i="11"/>
  <c r="AW20" i="11"/>
  <c r="AW35" i="11"/>
  <c r="AW26" i="11"/>
  <c r="AW42" i="11"/>
  <c r="AW36" i="11"/>
  <c r="AW79" i="11"/>
  <c r="AW18" i="11"/>
  <c r="AW57" i="11"/>
  <c r="AW51" i="11"/>
  <c r="AW24" i="11"/>
  <c r="AW54" i="11"/>
  <c r="AW67" i="11"/>
  <c r="AW80" i="11"/>
  <c r="AW10" i="11"/>
  <c r="AW16" i="11"/>
  <c r="AW69" i="11"/>
  <c r="AW5" i="11"/>
  <c r="AW11" i="11"/>
  <c r="AW25" i="11"/>
  <c r="AW30" i="11"/>
  <c r="AW73" i="11"/>
  <c r="AW40" i="11"/>
  <c r="AW14" i="11"/>
  <c r="AW28" i="11"/>
  <c r="AW88" i="11"/>
  <c r="AW23" i="11"/>
  <c r="AW60" i="11"/>
  <c r="AW47" i="11"/>
  <c r="AW71" i="11"/>
  <c r="AW74" i="11"/>
  <c r="AW22" i="11"/>
  <c r="AW61" i="11"/>
  <c r="AW72" i="11"/>
  <c r="AW45" i="11"/>
  <c r="AW87" i="11"/>
  <c r="AW39" i="11"/>
  <c r="AW31" i="11"/>
  <c r="AW59" i="11"/>
  <c r="AW84" i="11"/>
  <c r="AW34" i="11"/>
  <c r="AW78" i="11"/>
  <c r="AW29" i="11"/>
  <c r="AW49" i="11"/>
  <c r="AW58" i="11"/>
  <c r="AW32" i="11"/>
  <c r="AW53" i="11"/>
  <c r="AW68" i="11"/>
  <c r="AW21" i="11"/>
  <c r="AW2" i="11"/>
  <c r="AW50" i="11"/>
  <c r="AV3" i="11"/>
  <c r="AV7" i="11"/>
  <c r="AV75" i="11"/>
  <c r="AV43" i="11"/>
  <c r="AV9" i="11"/>
  <c r="AV48" i="11"/>
  <c r="AV6" i="11"/>
  <c r="AV65" i="11"/>
  <c r="AV35" i="11"/>
  <c r="AV18" i="11"/>
  <c r="AV51" i="11"/>
  <c r="AV24" i="11"/>
  <c r="AV80" i="11"/>
  <c r="AV10" i="11"/>
  <c r="AV11" i="11"/>
  <c r="AV30" i="11"/>
  <c r="AV73" i="11"/>
  <c r="AV14" i="11"/>
  <c r="AV88" i="11"/>
  <c r="AV60" i="11"/>
  <c r="AV71" i="11"/>
  <c r="AV22" i="11"/>
  <c r="AV39" i="11"/>
  <c r="AV31" i="11"/>
  <c r="AV84" i="11"/>
  <c r="AV34" i="11"/>
  <c r="AV78" i="11"/>
  <c r="AV29" i="11"/>
  <c r="AV32" i="11"/>
  <c r="AV53" i="11"/>
  <c r="AV2" i="11"/>
  <c r="M50" i="11"/>
  <c r="L50" i="11"/>
  <c r="K50" i="11"/>
  <c r="J50" i="11"/>
  <c r="I50" i="11"/>
  <c r="D50" i="11"/>
  <c r="M2" i="11"/>
  <c r="L2" i="11"/>
  <c r="K2" i="11"/>
  <c r="J2" i="11"/>
  <c r="I2" i="11"/>
  <c r="D2" i="11"/>
  <c r="M21" i="11"/>
  <c r="D21" i="11"/>
  <c r="M68" i="11"/>
  <c r="D68" i="11"/>
  <c r="M53" i="11"/>
  <c r="L53" i="11"/>
  <c r="K53" i="11"/>
  <c r="J53" i="11"/>
  <c r="I53" i="11"/>
  <c r="D53" i="11"/>
  <c r="M32" i="11"/>
  <c r="L32" i="11"/>
  <c r="K32" i="11"/>
  <c r="J32" i="11"/>
  <c r="I32" i="11"/>
  <c r="D32" i="11"/>
  <c r="M58" i="11"/>
  <c r="L58" i="11"/>
  <c r="K58" i="11"/>
  <c r="J58" i="11"/>
  <c r="I58" i="11"/>
  <c r="D58" i="11"/>
  <c r="M49" i="11"/>
  <c r="L49" i="11"/>
  <c r="K49" i="11"/>
  <c r="J49" i="11"/>
  <c r="I49" i="11"/>
  <c r="D49" i="11"/>
  <c r="M29" i="11"/>
  <c r="L29" i="11"/>
  <c r="K29" i="11"/>
  <c r="J29" i="11"/>
  <c r="I29" i="11"/>
  <c r="D29" i="11"/>
  <c r="M78" i="11"/>
  <c r="D78" i="11"/>
  <c r="M34" i="11"/>
  <c r="L34" i="11"/>
  <c r="K34" i="11"/>
  <c r="J34" i="11"/>
  <c r="I34" i="11"/>
  <c r="D34" i="11"/>
  <c r="M84" i="11"/>
  <c r="L84" i="11"/>
  <c r="K84" i="11"/>
  <c r="J84" i="11"/>
  <c r="I84" i="11"/>
  <c r="D84" i="11"/>
  <c r="M59" i="11"/>
  <c r="D59" i="11"/>
  <c r="M31" i="11"/>
  <c r="L31" i="11"/>
  <c r="K31" i="11"/>
  <c r="J31" i="11"/>
  <c r="I31" i="11"/>
  <c r="D31" i="11"/>
  <c r="M39" i="11"/>
  <c r="L39" i="11"/>
  <c r="K39" i="11"/>
  <c r="J39" i="11"/>
  <c r="I39" i="11"/>
  <c r="D39" i="11"/>
  <c r="M87" i="11"/>
  <c r="L87" i="11"/>
  <c r="K87" i="11"/>
  <c r="J87" i="11"/>
  <c r="I87" i="11"/>
  <c r="D87" i="11"/>
  <c r="M45" i="11"/>
  <c r="L45" i="11"/>
  <c r="K45" i="11"/>
  <c r="J45" i="11"/>
  <c r="I45" i="11"/>
  <c r="D45" i="11"/>
  <c r="M72" i="11"/>
  <c r="L72" i="11"/>
  <c r="K72" i="11"/>
  <c r="J72" i="11"/>
  <c r="I72" i="11"/>
  <c r="D72" i="11"/>
  <c r="M61" i="11"/>
  <c r="L61" i="11"/>
  <c r="K61" i="11"/>
  <c r="J61" i="11"/>
  <c r="I61" i="11"/>
  <c r="D61" i="11"/>
  <c r="M22" i="11"/>
  <c r="L22" i="11"/>
  <c r="K22" i="11"/>
  <c r="J22" i="11"/>
  <c r="I22" i="11"/>
  <c r="D22" i="11"/>
  <c r="M74" i="11"/>
  <c r="L74" i="11"/>
  <c r="K74" i="11"/>
  <c r="J74" i="11"/>
  <c r="I74" i="11"/>
  <c r="D74" i="11"/>
  <c r="M71" i="11"/>
  <c r="L71" i="11"/>
  <c r="K71" i="11"/>
  <c r="J71" i="11"/>
  <c r="I71" i="11"/>
  <c r="D71" i="11"/>
  <c r="M47" i="11"/>
  <c r="L47" i="11"/>
  <c r="K47" i="11"/>
  <c r="J47" i="11"/>
  <c r="I47" i="11"/>
  <c r="D47" i="11"/>
  <c r="M60" i="11"/>
  <c r="L60" i="11"/>
  <c r="K60" i="11"/>
  <c r="J60" i="11"/>
  <c r="I60" i="11"/>
  <c r="D60" i="11"/>
  <c r="M23" i="11"/>
  <c r="L23" i="11"/>
  <c r="K23" i="11"/>
  <c r="J23" i="11"/>
  <c r="I23" i="11"/>
  <c r="D23" i="11"/>
  <c r="M88" i="11"/>
  <c r="L88" i="11"/>
  <c r="K88" i="11"/>
  <c r="J88" i="11"/>
  <c r="I88" i="11"/>
  <c r="D88" i="11"/>
  <c r="M28" i="11"/>
  <c r="D28" i="11"/>
  <c r="M14" i="11"/>
  <c r="L14" i="11"/>
  <c r="K14" i="11"/>
  <c r="J14" i="11"/>
  <c r="I14" i="11"/>
  <c r="D14" i="11"/>
  <c r="M40" i="11"/>
  <c r="L40" i="11"/>
  <c r="K40" i="11"/>
  <c r="J40" i="11"/>
  <c r="I40" i="11"/>
  <c r="D40" i="11"/>
  <c r="M73" i="11"/>
  <c r="L73" i="11"/>
  <c r="K73" i="11"/>
  <c r="J73" i="11"/>
  <c r="I73" i="11"/>
  <c r="D73" i="11"/>
  <c r="M30" i="11"/>
  <c r="D30" i="11"/>
  <c r="M25" i="11"/>
  <c r="L25" i="11"/>
  <c r="K25" i="11"/>
  <c r="J25" i="11"/>
  <c r="I25" i="11"/>
  <c r="D25" i="11"/>
  <c r="M11" i="11"/>
  <c r="L11" i="11"/>
  <c r="K11" i="11"/>
  <c r="J11" i="11"/>
  <c r="I11" i="11"/>
  <c r="D11" i="11"/>
  <c r="M5" i="11"/>
  <c r="L5" i="11"/>
  <c r="K5" i="11"/>
  <c r="J5" i="11"/>
  <c r="I5" i="11"/>
  <c r="D5" i="11"/>
  <c r="M69" i="11"/>
  <c r="L69" i="11"/>
  <c r="K69" i="11"/>
  <c r="J69" i="11"/>
  <c r="I69" i="11"/>
  <c r="D69" i="11"/>
  <c r="M16" i="11"/>
  <c r="L16" i="11"/>
  <c r="K16" i="11"/>
  <c r="J16" i="11"/>
  <c r="I16" i="11"/>
  <c r="D16" i="11"/>
  <c r="M10" i="11"/>
  <c r="L10" i="11"/>
  <c r="K10" i="11"/>
  <c r="J10" i="11"/>
  <c r="I10" i="11"/>
  <c r="D10" i="11"/>
  <c r="M80" i="11"/>
  <c r="L80" i="11"/>
  <c r="K80" i="11"/>
  <c r="J80" i="11"/>
  <c r="I80" i="11"/>
  <c r="D80" i="11"/>
  <c r="M67" i="11"/>
  <c r="D67" i="11"/>
  <c r="M54" i="11"/>
  <c r="L54" i="11"/>
  <c r="K54" i="11"/>
  <c r="J54" i="11"/>
  <c r="I54" i="11"/>
  <c r="D54" i="11"/>
  <c r="M24" i="11"/>
  <c r="L24" i="11"/>
  <c r="K24" i="11"/>
  <c r="J24" i="11"/>
  <c r="I24" i="11"/>
  <c r="D24" i="11"/>
  <c r="M51" i="11"/>
  <c r="L51" i="11"/>
  <c r="K51" i="11"/>
  <c r="J51" i="11"/>
  <c r="I51" i="11"/>
  <c r="D51" i="11"/>
  <c r="M57" i="11"/>
  <c r="L57" i="11"/>
  <c r="K57" i="11"/>
  <c r="J57" i="11"/>
  <c r="I57" i="11"/>
  <c r="D57" i="11"/>
  <c r="M18" i="11"/>
  <c r="L18" i="11"/>
  <c r="K18" i="11"/>
  <c r="J18" i="11"/>
  <c r="I18" i="11"/>
  <c r="D18" i="11"/>
  <c r="M79" i="11"/>
  <c r="D79" i="11"/>
  <c r="M36" i="11"/>
  <c r="L36" i="11"/>
  <c r="K36" i="11"/>
  <c r="J36" i="11"/>
  <c r="I36" i="11"/>
  <c r="D36" i="11"/>
  <c r="M42" i="11"/>
  <c r="L42" i="11"/>
  <c r="K42" i="11"/>
  <c r="J42" i="11"/>
  <c r="I42" i="11"/>
  <c r="D42" i="11"/>
  <c r="M26" i="11"/>
  <c r="L26" i="11"/>
  <c r="K26" i="11"/>
  <c r="J26" i="11"/>
  <c r="I26" i="11"/>
  <c r="D26" i="11"/>
  <c r="M35" i="11"/>
  <c r="L35" i="11"/>
  <c r="K35" i="11"/>
  <c r="J35" i="11"/>
  <c r="I35" i="11"/>
  <c r="D35" i="11"/>
  <c r="M20" i="11"/>
  <c r="D20" i="11"/>
  <c r="M64" i="11"/>
  <c r="L64" i="11"/>
  <c r="K64" i="11"/>
  <c r="J64" i="11"/>
  <c r="I64" i="11"/>
  <c r="D64" i="11"/>
  <c r="M66" i="11"/>
  <c r="L66" i="11"/>
  <c r="K66" i="11"/>
  <c r="J66" i="11"/>
  <c r="I66" i="11"/>
  <c r="D66" i="11"/>
  <c r="M62" i="11"/>
  <c r="L62" i="11"/>
  <c r="K62" i="11"/>
  <c r="J62" i="11"/>
  <c r="I62" i="11"/>
  <c r="D62" i="11"/>
  <c r="M27" i="11"/>
  <c r="L27" i="11"/>
  <c r="K27" i="11"/>
  <c r="J27" i="11"/>
  <c r="I27" i="11"/>
  <c r="D27" i="11"/>
  <c r="M33" i="11"/>
  <c r="L33" i="11"/>
  <c r="K33" i="11"/>
  <c r="J33" i="11"/>
  <c r="I33" i="11"/>
  <c r="D33" i="11"/>
  <c r="M15" i="11"/>
  <c r="L15" i="11"/>
  <c r="K15" i="11"/>
  <c r="J15" i="11"/>
  <c r="I15" i="11"/>
  <c r="D15" i="11"/>
  <c r="M76" i="11"/>
  <c r="L76" i="11"/>
  <c r="K76" i="11"/>
  <c r="J76" i="11"/>
  <c r="I76" i="11"/>
  <c r="D76" i="11"/>
  <c r="M65" i="11"/>
  <c r="L65" i="11"/>
  <c r="K65" i="11"/>
  <c r="J65" i="11"/>
  <c r="I65" i="11"/>
  <c r="D65" i="11"/>
  <c r="M70" i="11"/>
  <c r="L70" i="11"/>
  <c r="K70" i="11"/>
  <c r="J70" i="11"/>
  <c r="I70" i="11"/>
  <c r="D70" i="11"/>
  <c r="M13" i="11"/>
  <c r="D13" i="11"/>
  <c r="M44" i="11"/>
  <c r="L44" i="11"/>
  <c r="K44" i="11"/>
  <c r="J44" i="11"/>
  <c r="I44" i="11"/>
  <c r="D44" i="11"/>
  <c r="M41" i="11"/>
  <c r="L41" i="11"/>
  <c r="K41" i="11"/>
  <c r="J41" i="11"/>
  <c r="I41" i="11"/>
  <c r="D41" i="11"/>
  <c r="M38" i="11"/>
  <c r="L38" i="11"/>
  <c r="K38" i="11"/>
  <c r="J38" i="11"/>
  <c r="I38" i="11"/>
  <c r="D38" i="11"/>
  <c r="M12" i="11"/>
  <c r="L12" i="11"/>
  <c r="K12" i="11"/>
  <c r="J12" i="11"/>
  <c r="I12" i="11"/>
  <c r="D12" i="11"/>
  <c r="M6" i="11"/>
  <c r="L6" i="11"/>
  <c r="K6" i="11"/>
  <c r="J6" i="11"/>
  <c r="I6" i="11"/>
  <c r="D6" i="11"/>
  <c r="M85" i="11"/>
  <c r="L85" i="11"/>
  <c r="K85" i="11"/>
  <c r="J85" i="11"/>
  <c r="I85" i="11"/>
  <c r="D85" i="11"/>
  <c r="M63" i="11"/>
  <c r="L63" i="11"/>
  <c r="K63" i="11"/>
  <c r="J63" i="11"/>
  <c r="I63" i="11"/>
  <c r="D63" i="11"/>
  <c r="M48" i="11"/>
  <c r="L48" i="11"/>
  <c r="K48" i="11"/>
  <c r="J48" i="11"/>
  <c r="I48" i="11"/>
  <c r="D48" i="11"/>
  <c r="M19" i="11"/>
  <c r="D19" i="11"/>
  <c r="M9" i="11"/>
  <c r="L9" i="11"/>
  <c r="K9" i="11"/>
  <c r="J9" i="11"/>
  <c r="I9" i="11"/>
  <c r="D9" i="11"/>
  <c r="M77" i="11"/>
  <c r="D77" i="11"/>
  <c r="M46" i="11"/>
  <c r="L46" i="11"/>
  <c r="K46" i="11"/>
  <c r="J46" i="11"/>
  <c r="I46" i="11"/>
  <c r="D46" i="11"/>
  <c r="M83" i="11"/>
  <c r="L83" i="11"/>
  <c r="K83" i="11"/>
  <c r="J83" i="11"/>
  <c r="I83" i="11"/>
  <c r="D83" i="11"/>
  <c r="M56" i="11"/>
  <c r="L56" i="11"/>
  <c r="K56" i="11"/>
  <c r="J56" i="11"/>
  <c r="I56" i="11"/>
  <c r="D56" i="11"/>
  <c r="M52" i="11"/>
  <c r="D52" i="11"/>
  <c r="M17" i="11"/>
  <c r="D17" i="11"/>
  <c r="M43" i="11"/>
  <c r="D43" i="11"/>
  <c r="M86" i="11"/>
  <c r="L86" i="11"/>
  <c r="K86" i="11"/>
  <c r="J86" i="11"/>
  <c r="I86" i="11"/>
  <c r="D86" i="11"/>
  <c r="M82" i="11"/>
  <c r="L82" i="11"/>
  <c r="K82" i="11"/>
  <c r="J82" i="11"/>
  <c r="I82" i="11"/>
  <c r="D82" i="11"/>
  <c r="M81" i="11"/>
  <c r="L81" i="11"/>
  <c r="K81" i="11"/>
  <c r="J81" i="11"/>
  <c r="I81" i="11"/>
  <c r="D81" i="11"/>
  <c r="M75" i="11"/>
  <c r="L75" i="11"/>
  <c r="K75" i="11"/>
  <c r="J75" i="11"/>
  <c r="I75" i="11"/>
  <c r="D75" i="11"/>
  <c r="M7" i="11"/>
  <c r="L7" i="11"/>
  <c r="K7" i="11"/>
  <c r="J7" i="11"/>
  <c r="I7" i="11"/>
  <c r="D7" i="11"/>
  <c r="M3" i="11"/>
  <c r="L3" i="11"/>
  <c r="K3" i="11"/>
  <c r="J3" i="11"/>
  <c r="I3" i="11"/>
  <c r="D3" i="11"/>
  <c r="M55" i="11"/>
  <c r="L55" i="11"/>
  <c r="K55" i="11"/>
  <c r="J55" i="11"/>
  <c r="I55" i="11"/>
  <c r="D55" i="11"/>
  <c r="M37" i="11"/>
  <c r="L37" i="11"/>
  <c r="K37" i="11"/>
  <c r="J37" i="11"/>
  <c r="I37" i="11"/>
  <c r="D37" i="11"/>
  <c r="M8" i="11"/>
  <c r="L8" i="11"/>
  <c r="K8" i="11"/>
  <c r="J8" i="11"/>
  <c r="I8" i="11"/>
  <c r="D8" i="11"/>
  <c r="M4" i="11"/>
  <c r="L4" i="11"/>
  <c r="K4" i="11"/>
  <c r="J4" i="11"/>
  <c r="I4" i="11"/>
  <c r="D4" i="11"/>
  <c r="AY4" i="10"/>
  <c r="AY8" i="10"/>
  <c r="AY37" i="10"/>
  <c r="AY55" i="10"/>
  <c r="AY3" i="10"/>
  <c r="AY7" i="10"/>
  <c r="AY75" i="10"/>
  <c r="AY81" i="10"/>
  <c r="AY82" i="10"/>
  <c r="AY86" i="10"/>
  <c r="AY43" i="10"/>
  <c r="AY17" i="10"/>
  <c r="AY52" i="10"/>
  <c r="AY56" i="10"/>
  <c r="AY83" i="10"/>
  <c r="AY46" i="10"/>
  <c r="AY77" i="10"/>
  <c r="AY9" i="10"/>
  <c r="AY19" i="10"/>
  <c r="AY48" i="10"/>
  <c r="AY63" i="10"/>
  <c r="AY85" i="10"/>
  <c r="AY6" i="10"/>
  <c r="AY12" i="10"/>
  <c r="AY38" i="10"/>
  <c r="AY41" i="10"/>
  <c r="AY44" i="10"/>
  <c r="AY13" i="10"/>
  <c r="AY70" i="10"/>
  <c r="AY65" i="10"/>
  <c r="AY76" i="10"/>
  <c r="AY15" i="10"/>
  <c r="AY33" i="10"/>
  <c r="AY27" i="10"/>
  <c r="AY62" i="10"/>
  <c r="AY66" i="10"/>
  <c r="AY64" i="10"/>
  <c r="AY20" i="10"/>
  <c r="AY35" i="10"/>
  <c r="AY26" i="10"/>
  <c r="AY42" i="10"/>
  <c r="AY36" i="10"/>
  <c r="AY79" i="10"/>
  <c r="AY18" i="10"/>
  <c r="AY57" i="10"/>
  <c r="AY51" i="10"/>
  <c r="AY24" i="10"/>
  <c r="AY54" i="10"/>
  <c r="AY67" i="10"/>
  <c r="AY80" i="10"/>
  <c r="AY10" i="10"/>
  <c r="AY16" i="10"/>
  <c r="AY69" i="10"/>
  <c r="AY5" i="10"/>
  <c r="AY11" i="10"/>
  <c r="AY25" i="10"/>
  <c r="AY30" i="10"/>
  <c r="AY73" i="10"/>
  <c r="AY40" i="10"/>
  <c r="AY14" i="10"/>
  <c r="AY28" i="10"/>
  <c r="AY88" i="10"/>
  <c r="AY23" i="10"/>
  <c r="AY60" i="10"/>
  <c r="AY47" i="10"/>
  <c r="AY71" i="10"/>
  <c r="AY74" i="10"/>
  <c r="AY22" i="10"/>
  <c r="AY61" i="10"/>
  <c r="AY72" i="10"/>
  <c r="AY45" i="10"/>
  <c r="AY87" i="10"/>
  <c r="AY39" i="10"/>
  <c r="AY31" i="10"/>
  <c r="AY59" i="10"/>
  <c r="AY84" i="10"/>
  <c r="AY34" i="10"/>
  <c r="AY78" i="10"/>
  <c r="AY29" i="10"/>
  <c r="AY49" i="10"/>
  <c r="AY58" i="10"/>
  <c r="AY32" i="10"/>
  <c r="AY53" i="10"/>
  <c r="AY68" i="10"/>
  <c r="AY21" i="10"/>
  <c r="AY2" i="10"/>
  <c r="AY50" i="10"/>
  <c r="AX4" i="10"/>
  <c r="AX8" i="10"/>
  <c r="AX37" i="10"/>
  <c r="AX55" i="10"/>
  <c r="AX3" i="10"/>
  <c r="AX7" i="10"/>
  <c r="AX75" i="10"/>
  <c r="AX81" i="10"/>
  <c r="AX82" i="10"/>
  <c r="AX86" i="10"/>
  <c r="AX43" i="10"/>
  <c r="AX17" i="10"/>
  <c r="AX52" i="10"/>
  <c r="AX56" i="10"/>
  <c r="AX83" i="10"/>
  <c r="AX46" i="10"/>
  <c r="AX77" i="10"/>
  <c r="AX9" i="10"/>
  <c r="AX19" i="10"/>
  <c r="AX48" i="10"/>
  <c r="AX63" i="10"/>
  <c r="AX85" i="10"/>
  <c r="AX6" i="10"/>
  <c r="AX12" i="10"/>
  <c r="AX38" i="10"/>
  <c r="AX41" i="10"/>
  <c r="AX44" i="10"/>
  <c r="AX13" i="10"/>
  <c r="AX70" i="10"/>
  <c r="AX65" i="10"/>
  <c r="AX76" i="10"/>
  <c r="AX15" i="10"/>
  <c r="AX33" i="10"/>
  <c r="AX27" i="10"/>
  <c r="AX62" i="10"/>
  <c r="AX66" i="10"/>
  <c r="AX64" i="10"/>
  <c r="AX20" i="10"/>
  <c r="AX35" i="10"/>
  <c r="AX26" i="10"/>
  <c r="AX42" i="10"/>
  <c r="AX36" i="10"/>
  <c r="AX79" i="10"/>
  <c r="AX18" i="10"/>
  <c r="AX57" i="10"/>
  <c r="AX51" i="10"/>
  <c r="AX24" i="10"/>
  <c r="AX54" i="10"/>
  <c r="AX67" i="10"/>
  <c r="AX80" i="10"/>
  <c r="AX10" i="10"/>
  <c r="AX16" i="10"/>
  <c r="AX69" i="10"/>
  <c r="AX5" i="10"/>
  <c r="AX11" i="10"/>
  <c r="AX25" i="10"/>
  <c r="AX30" i="10"/>
  <c r="AX73" i="10"/>
  <c r="AX40" i="10"/>
  <c r="AX14" i="10"/>
  <c r="AX28" i="10"/>
  <c r="AX88" i="10"/>
  <c r="AX23" i="10"/>
  <c r="AX60" i="10"/>
  <c r="AX47" i="10"/>
  <c r="AX71" i="10"/>
  <c r="AX74" i="10"/>
  <c r="AX22" i="10"/>
  <c r="AX61" i="10"/>
  <c r="AX72" i="10"/>
  <c r="AX45" i="10"/>
  <c r="AX87" i="10"/>
  <c r="AX39" i="10"/>
  <c r="AX31" i="10"/>
  <c r="AX59" i="10"/>
  <c r="AX84" i="10"/>
  <c r="AX34" i="10"/>
  <c r="AX78" i="10"/>
  <c r="AX29" i="10"/>
  <c r="AX49" i="10"/>
  <c r="AX58" i="10"/>
  <c r="AX32" i="10"/>
  <c r="AX53" i="10"/>
  <c r="AX68" i="10"/>
  <c r="AX21" i="10"/>
  <c r="AX2" i="10"/>
  <c r="AX50" i="10"/>
  <c r="AW4" i="10"/>
  <c r="AW8" i="10"/>
  <c r="AW37" i="10"/>
  <c r="AW55" i="10"/>
  <c r="AW3" i="10"/>
  <c r="AW7" i="10"/>
  <c r="AW75" i="10"/>
  <c r="AW81" i="10"/>
  <c r="AW82" i="10"/>
  <c r="AW86" i="10"/>
  <c r="AW43" i="10"/>
  <c r="AW17" i="10"/>
  <c r="AW52" i="10"/>
  <c r="AW56" i="10"/>
  <c r="AW83" i="10"/>
  <c r="AW46" i="10"/>
  <c r="AW77" i="10"/>
  <c r="AW9" i="10"/>
  <c r="AW19" i="10"/>
  <c r="AW48" i="10"/>
  <c r="AW63" i="10"/>
  <c r="AW85" i="10"/>
  <c r="AW6" i="10"/>
  <c r="AW12" i="10"/>
  <c r="AW38" i="10"/>
  <c r="AW41" i="10"/>
  <c r="AW44" i="10"/>
  <c r="AW13" i="10"/>
  <c r="AW70" i="10"/>
  <c r="AW65" i="10"/>
  <c r="AW76" i="10"/>
  <c r="AW15" i="10"/>
  <c r="AW33" i="10"/>
  <c r="AW27" i="10"/>
  <c r="AW62" i="10"/>
  <c r="AW66" i="10"/>
  <c r="AW64" i="10"/>
  <c r="AW20" i="10"/>
  <c r="AW35" i="10"/>
  <c r="AW26" i="10"/>
  <c r="AW42" i="10"/>
  <c r="AW36" i="10"/>
  <c r="AW79" i="10"/>
  <c r="AW18" i="10"/>
  <c r="AW57" i="10"/>
  <c r="AW51" i="10"/>
  <c r="AW24" i="10"/>
  <c r="AW54" i="10"/>
  <c r="AW67" i="10"/>
  <c r="AW80" i="10"/>
  <c r="AW10" i="10"/>
  <c r="AW16" i="10"/>
  <c r="AW69" i="10"/>
  <c r="AW5" i="10"/>
  <c r="AW11" i="10"/>
  <c r="AW25" i="10"/>
  <c r="AW30" i="10"/>
  <c r="AW73" i="10"/>
  <c r="AW40" i="10"/>
  <c r="AW14" i="10"/>
  <c r="AW28" i="10"/>
  <c r="AW88" i="10"/>
  <c r="AW23" i="10"/>
  <c r="AW60" i="10"/>
  <c r="AW47" i="10"/>
  <c r="AW71" i="10"/>
  <c r="AW74" i="10"/>
  <c r="AW22" i="10"/>
  <c r="AW61" i="10"/>
  <c r="AW72" i="10"/>
  <c r="AW45" i="10"/>
  <c r="AW87" i="10"/>
  <c r="AW39" i="10"/>
  <c r="AW31" i="10"/>
  <c r="AW59" i="10"/>
  <c r="AW84" i="10"/>
  <c r="AW34" i="10"/>
  <c r="AW78" i="10"/>
  <c r="AW29" i="10"/>
  <c r="AW49" i="10"/>
  <c r="AW58" i="10"/>
  <c r="AW32" i="10"/>
  <c r="AW53" i="10"/>
  <c r="AW68" i="10"/>
  <c r="AW21" i="10"/>
  <c r="AW2" i="10"/>
  <c r="AW50" i="10"/>
  <c r="AV3" i="10"/>
  <c r="AV7" i="10"/>
  <c r="AV75" i="10"/>
  <c r="AV43" i="10"/>
  <c r="AV9" i="10"/>
  <c r="AV48" i="10"/>
  <c r="AV6" i="10"/>
  <c r="AV65" i="10"/>
  <c r="AV35" i="10"/>
  <c r="AV18" i="10"/>
  <c r="AV51" i="10"/>
  <c r="AV24" i="10"/>
  <c r="AV80" i="10"/>
  <c r="AV10" i="10"/>
  <c r="AV11" i="10"/>
  <c r="AV30" i="10"/>
  <c r="AV73" i="10"/>
  <c r="AV14" i="10"/>
  <c r="AV88" i="10"/>
  <c r="AV60" i="10"/>
  <c r="AV71" i="10"/>
  <c r="AV22" i="10"/>
  <c r="AV39" i="10"/>
  <c r="AV31" i="10"/>
  <c r="AV84" i="10"/>
  <c r="AV34" i="10"/>
  <c r="AV78" i="10"/>
  <c r="AV29" i="10"/>
  <c r="AV32" i="10"/>
  <c r="AV53" i="10"/>
  <c r="AV2" i="10"/>
  <c r="M50" i="10"/>
  <c r="L50" i="10"/>
  <c r="K50" i="10"/>
  <c r="J50" i="10"/>
  <c r="I50" i="10"/>
  <c r="D50" i="10"/>
  <c r="M2" i="10"/>
  <c r="L2" i="10"/>
  <c r="K2" i="10"/>
  <c r="J2" i="10"/>
  <c r="I2" i="10"/>
  <c r="D2" i="10"/>
  <c r="M21" i="10"/>
  <c r="D21" i="10"/>
  <c r="M68" i="10"/>
  <c r="D68" i="10"/>
  <c r="M53" i="10"/>
  <c r="L53" i="10"/>
  <c r="K53" i="10"/>
  <c r="J53" i="10"/>
  <c r="I53" i="10"/>
  <c r="D53" i="10"/>
  <c r="M32" i="10"/>
  <c r="L32" i="10"/>
  <c r="K32" i="10"/>
  <c r="J32" i="10"/>
  <c r="I32" i="10"/>
  <c r="D32" i="10"/>
  <c r="M58" i="10"/>
  <c r="L58" i="10"/>
  <c r="K58" i="10"/>
  <c r="J58" i="10"/>
  <c r="I58" i="10"/>
  <c r="D58" i="10"/>
  <c r="M49" i="10"/>
  <c r="L49" i="10"/>
  <c r="K49" i="10"/>
  <c r="J49" i="10"/>
  <c r="I49" i="10"/>
  <c r="D49" i="10"/>
  <c r="M29" i="10"/>
  <c r="L29" i="10"/>
  <c r="K29" i="10"/>
  <c r="J29" i="10"/>
  <c r="I29" i="10"/>
  <c r="D29" i="10"/>
  <c r="M78" i="10"/>
  <c r="D78" i="10"/>
  <c r="M34" i="10"/>
  <c r="L34" i="10"/>
  <c r="K34" i="10"/>
  <c r="J34" i="10"/>
  <c r="I34" i="10"/>
  <c r="D34" i="10"/>
  <c r="M84" i="10"/>
  <c r="L84" i="10"/>
  <c r="K84" i="10"/>
  <c r="J84" i="10"/>
  <c r="I84" i="10"/>
  <c r="D84" i="10"/>
  <c r="M59" i="10"/>
  <c r="D59" i="10"/>
  <c r="M31" i="10"/>
  <c r="L31" i="10"/>
  <c r="K31" i="10"/>
  <c r="J31" i="10"/>
  <c r="I31" i="10"/>
  <c r="D31" i="10"/>
  <c r="M39" i="10"/>
  <c r="L39" i="10"/>
  <c r="K39" i="10"/>
  <c r="J39" i="10"/>
  <c r="I39" i="10"/>
  <c r="D39" i="10"/>
  <c r="M87" i="10"/>
  <c r="L87" i="10"/>
  <c r="K87" i="10"/>
  <c r="J87" i="10"/>
  <c r="I87" i="10"/>
  <c r="D87" i="10"/>
  <c r="M45" i="10"/>
  <c r="L45" i="10"/>
  <c r="K45" i="10"/>
  <c r="J45" i="10"/>
  <c r="I45" i="10"/>
  <c r="D45" i="10"/>
  <c r="M72" i="10"/>
  <c r="L72" i="10"/>
  <c r="K72" i="10"/>
  <c r="J72" i="10"/>
  <c r="I72" i="10"/>
  <c r="D72" i="10"/>
  <c r="M61" i="10"/>
  <c r="L61" i="10"/>
  <c r="K61" i="10"/>
  <c r="J61" i="10"/>
  <c r="I61" i="10"/>
  <c r="D61" i="10"/>
  <c r="M22" i="10"/>
  <c r="L22" i="10"/>
  <c r="K22" i="10"/>
  <c r="J22" i="10"/>
  <c r="I22" i="10"/>
  <c r="D22" i="10"/>
  <c r="M74" i="10"/>
  <c r="L74" i="10"/>
  <c r="K74" i="10"/>
  <c r="J74" i="10"/>
  <c r="I74" i="10"/>
  <c r="D74" i="10"/>
  <c r="M71" i="10"/>
  <c r="L71" i="10"/>
  <c r="K71" i="10"/>
  <c r="J71" i="10"/>
  <c r="I71" i="10"/>
  <c r="D71" i="10"/>
  <c r="M47" i="10"/>
  <c r="L47" i="10"/>
  <c r="K47" i="10"/>
  <c r="J47" i="10"/>
  <c r="I47" i="10"/>
  <c r="D47" i="10"/>
  <c r="M60" i="10"/>
  <c r="L60" i="10"/>
  <c r="K60" i="10"/>
  <c r="J60" i="10"/>
  <c r="I60" i="10"/>
  <c r="D60" i="10"/>
  <c r="M23" i="10"/>
  <c r="L23" i="10"/>
  <c r="K23" i="10"/>
  <c r="J23" i="10"/>
  <c r="I23" i="10"/>
  <c r="D23" i="10"/>
  <c r="M88" i="10"/>
  <c r="L88" i="10"/>
  <c r="K88" i="10"/>
  <c r="J88" i="10"/>
  <c r="I88" i="10"/>
  <c r="D88" i="10"/>
  <c r="M28" i="10"/>
  <c r="D28" i="10"/>
  <c r="M14" i="10"/>
  <c r="L14" i="10"/>
  <c r="K14" i="10"/>
  <c r="J14" i="10"/>
  <c r="I14" i="10"/>
  <c r="D14" i="10"/>
  <c r="M40" i="10"/>
  <c r="L40" i="10"/>
  <c r="K40" i="10"/>
  <c r="J40" i="10"/>
  <c r="I40" i="10"/>
  <c r="D40" i="10"/>
  <c r="M73" i="10"/>
  <c r="L73" i="10"/>
  <c r="K73" i="10"/>
  <c r="J73" i="10"/>
  <c r="I73" i="10"/>
  <c r="D73" i="10"/>
  <c r="M30" i="10"/>
  <c r="D30" i="10"/>
  <c r="M25" i="10"/>
  <c r="L25" i="10"/>
  <c r="K25" i="10"/>
  <c r="J25" i="10"/>
  <c r="I25" i="10"/>
  <c r="D25" i="10"/>
  <c r="M11" i="10"/>
  <c r="L11" i="10"/>
  <c r="K11" i="10"/>
  <c r="J11" i="10"/>
  <c r="I11" i="10"/>
  <c r="D11" i="10"/>
  <c r="M5" i="10"/>
  <c r="L5" i="10"/>
  <c r="K5" i="10"/>
  <c r="J5" i="10"/>
  <c r="I5" i="10"/>
  <c r="D5" i="10"/>
  <c r="M69" i="10"/>
  <c r="L69" i="10"/>
  <c r="K69" i="10"/>
  <c r="J69" i="10"/>
  <c r="I69" i="10"/>
  <c r="D69" i="10"/>
  <c r="M16" i="10"/>
  <c r="L16" i="10"/>
  <c r="K16" i="10"/>
  <c r="J16" i="10"/>
  <c r="I16" i="10"/>
  <c r="D16" i="10"/>
  <c r="M10" i="10"/>
  <c r="L10" i="10"/>
  <c r="K10" i="10"/>
  <c r="J10" i="10"/>
  <c r="I10" i="10"/>
  <c r="D10" i="10"/>
  <c r="M80" i="10"/>
  <c r="L80" i="10"/>
  <c r="K80" i="10"/>
  <c r="J80" i="10"/>
  <c r="I80" i="10"/>
  <c r="D80" i="10"/>
  <c r="M67" i="10"/>
  <c r="D67" i="10"/>
  <c r="M54" i="10"/>
  <c r="L54" i="10"/>
  <c r="K54" i="10"/>
  <c r="J54" i="10"/>
  <c r="I54" i="10"/>
  <c r="D54" i="10"/>
  <c r="M24" i="10"/>
  <c r="L24" i="10"/>
  <c r="K24" i="10"/>
  <c r="J24" i="10"/>
  <c r="I24" i="10"/>
  <c r="D24" i="10"/>
  <c r="M51" i="10"/>
  <c r="L51" i="10"/>
  <c r="K51" i="10"/>
  <c r="J51" i="10"/>
  <c r="I51" i="10"/>
  <c r="D51" i="10"/>
  <c r="M57" i="10"/>
  <c r="L57" i="10"/>
  <c r="K57" i="10"/>
  <c r="J57" i="10"/>
  <c r="I57" i="10"/>
  <c r="D57" i="10"/>
  <c r="M18" i="10"/>
  <c r="L18" i="10"/>
  <c r="K18" i="10"/>
  <c r="J18" i="10"/>
  <c r="I18" i="10"/>
  <c r="D18" i="10"/>
  <c r="M79" i="10"/>
  <c r="D79" i="10"/>
  <c r="M36" i="10"/>
  <c r="L36" i="10"/>
  <c r="K36" i="10"/>
  <c r="J36" i="10"/>
  <c r="I36" i="10"/>
  <c r="D36" i="10"/>
  <c r="M42" i="10"/>
  <c r="L42" i="10"/>
  <c r="K42" i="10"/>
  <c r="J42" i="10"/>
  <c r="I42" i="10"/>
  <c r="D42" i="10"/>
  <c r="M26" i="10"/>
  <c r="L26" i="10"/>
  <c r="K26" i="10"/>
  <c r="J26" i="10"/>
  <c r="I26" i="10"/>
  <c r="D26" i="10"/>
  <c r="M35" i="10"/>
  <c r="L35" i="10"/>
  <c r="K35" i="10"/>
  <c r="J35" i="10"/>
  <c r="I35" i="10"/>
  <c r="D35" i="10"/>
  <c r="M20" i="10"/>
  <c r="D20" i="10"/>
  <c r="M64" i="10"/>
  <c r="L64" i="10"/>
  <c r="K64" i="10"/>
  <c r="J64" i="10"/>
  <c r="I64" i="10"/>
  <c r="D64" i="10"/>
  <c r="M66" i="10"/>
  <c r="L66" i="10"/>
  <c r="K66" i="10"/>
  <c r="J66" i="10"/>
  <c r="I66" i="10"/>
  <c r="D66" i="10"/>
  <c r="M62" i="10"/>
  <c r="L62" i="10"/>
  <c r="K62" i="10"/>
  <c r="J62" i="10"/>
  <c r="I62" i="10"/>
  <c r="D62" i="10"/>
  <c r="M27" i="10"/>
  <c r="L27" i="10"/>
  <c r="K27" i="10"/>
  <c r="J27" i="10"/>
  <c r="I27" i="10"/>
  <c r="D27" i="10"/>
  <c r="M33" i="10"/>
  <c r="L33" i="10"/>
  <c r="K33" i="10"/>
  <c r="J33" i="10"/>
  <c r="I33" i="10"/>
  <c r="D33" i="10"/>
  <c r="M15" i="10"/>
  <c r="L15" i="10"/>
  <c r="K15" i="10"/>
  <c r="J15" i="10"/>
  <c r="I15" i="10"/>
  <c r="D15" i="10"/>
  <c r="M76" i="10"/>
  <c r="L76" i="10"/>
  <c r="K76" i="10"/>
  <c r="J76" i="10"/>
  <c r="I76" i="10"/>
  <c r="D76" i="10"/>
  <c r="M65" i="10"/>
  <c r="L65" i="10"/>
  <c r="K65" i="10"/>
  <c r="J65" i="10"/>
  <c r="I65" i="10"/>
  <c r="D65" i="10"/>
  <c r="M70" i="10"/>
  <c r="L70" i="10"/>
  <c r="K70" i="10"/>
  <c r="J70" i="10"/>
  <c r="I70" i="10"/>
  <c r="D70" i="10"/>
  <c r="M13" i="10"/>
  <c r="D13" i="10"/>
  <c r="M44" i="10"/>
  <c r="L44" i="10"/>
  <c r="K44" i="10"/>
  <c r="J44" i="10"/>
  <c r="I44" i="10"/>
  <c r="D44" i="10"/>
  <c r="M41" i="10"/>
  <c r="L41" i="10"/>
  <c r="K41" i="10"/>
  <c r="J41" i="10"/>
  <c r="I41" i="10"/>
  <c r="D41" i="10"/>
  <c r="M38" i="10"/>
  <c r="L38" i="10"/>
  <c r="K38" i="10"/>
  <c r="J38" i="10"/>
  <c r="I38" i="10"/>
  <c r="D38" i="10"/>
  <c r="M12" i="10"/>
  <c r="L12" i="10"/>
  <c r="K12" i="10"/>
  <c r="J12" i="10"/>
  <c r="I12" i="10"/>
  <c r="D12" i="10"/>
  <c r="M6" i="10"/>
  <c r="L6" i="10"/>
  <c r="K6" i="10"/>
  <c r="J6" i="10"/>
  <c r="I6" i="10"/>
  <c r="D6" i="10"/>
  <c r="M85" i="10"/>
  <c r="L85" i="10"/>
  <c r="K85" i="10"/>
  <c r="J85" i="10"/>
  <c r="I85" i="10"/>
  <c r="D85" i="10"/>
  <c r="M63" i="10"/>
  <c r="L63" i="10"/>
  <c r="K63" i="10"/>
  <c r="J63" i="10"/>
  <c r="I63" i="10"/>
  <c r="D63" i="10"/>
  <c r="M48" i="10"/>
  <c r="L48" i="10"/>
  <c r="K48" i="10"/>
  <c r="J48" i="10"/>
  <c r="I48" i="10"/>
  <c r="D48" i="10"/>
  <c r="M19" i="10"/>
  <c r="D19" i="10"/>
  <c r="M9" i="10"/>
  <c r="L9" i="10"/>
  <c r="K9" i="10"/>
  <c r="J9" i="10"/>
  <c r="I9" i="10"/>
  <c r="D9" i="10"/>
  <c r="M77" i="10"/>
  <c r="D77" i="10"/>
  <c r="M46" i="10"/>
  <c r="L46" i="10"/>
  <c r="K46" i="10"/>
  <c r="J46" i="10"/>
  <c r="I46" i="10"/>
  <c r="D46" i="10"/>
  <c r="M83" i="10"/>
  <c r="L83" i="10"/>
  <c r="K83" i="10"/>
  <c r="J83" i="10"/>
  <c r="I83" i="10"/>
  <c r="D83" i="10"/>
  <c r="M56" i="10"/>
  <c r="L56" i="10"/>
  <c r="K56" i="10"/>
  <c r="J56" i="10"/>
  <c r="I56" i="10"/>
  <c r="D56" i="10"/>
  <c r="M52" i="10"/>
  <c r="D52" i="10"/>
  <c r="M17" i="10"/>
  <c r="D17" i="10"/>
  <c r="M43" i="10"/>
  <c r="D43" i="10"/>
  <c r="M86" i="10"/>
  <c r="L86" i="10"/>
  <c r="K86" i="10"/>
  <c r="J86" i="10"/>
  <c r="I86" i="10"/>
  <c r="D86" i="10"/>
  <c r="M82" i="10"/>
  <c r="L82" i="10"/>
  <c r="K82" i="10"/>
  <c r="J82" i="10"/>
  <c r="I82" i="10"/>
  <c r="D82" i="10"/>
  <c r="M81" i="10"/>
  <c r="L81" i="10"/>
  <c r="K81" i="10"/>
  <c r="J81" i="10"/>
  <c r="I81" i="10"/>
  <c r="D81" i="10"/>
  <c r="M75" i="10"/>
  <c r="L75" i="10"/>
  <c r="K75" i="10"/>
  <c r="J75" i="10"/>
  <c r="I75" i="10"/>
  <c r="D75" i="10"/>
  <c r="M7" i="10"/>
  <c r="L7" i="10"/>
  <c r="K7" i="10"/>
  <c r="J7" i="10"/>
  <c r="I7" i="10"/>
  <c r="D7" i="10"/>
  <c r="M3" i="10"/>
  <c r="L3" i="10"/>
  <c r="K3" i="10"/>
  <c r="J3" i="10"/>
  <c r="I3" i="10"/>
  <c r="D3" i="10"/>
  <c r="M55" i="10"/>
  <c r="L55" i="10"/>
  <c r="K55" i="10"/>
  <c r="J55" i="10"/>
  <c r="I55" i="10"/>
  <c r="D55" i="10"/>
  <c r="M37" i="10"/>
  <c r="L37" i="10"/>
  <c r="K37" i="10"/>
  <c r="J37" i="10"/>
  <c r="I37" i="10"/>
  <c r="D37" i="10"/>
  <c r="M8" i="10"/>
  <c r="L8" i="10"/>
  <c r="K8" i="10"/>
  <c r="J8" i="10"/>
  <c r="I8" i="10"/>
  <c r="D8" i="10"/>
  <c r="M4" i="10"/>
  <c r="L4" i="10"/>
  <c r="K4" i="10"/>
  <c r="J4" i="10"/>
  <c r="I4" i="10"/>
  <c r="D4" i="10"/>
  <c r="M4" i="9"/>
  <c r="AV3" i="9"/>
  <c r="AV7" i="9"/>
  <c r="AV75" i="9"/>
  <c r="AV43" i="9"/>
  <c r="AV9" i="9"/>
  <c r="AV48" i="9"/>
  <c r="AV6" i="9"/>
  <c r="AV65" i="9"/>
  <c r="AV35" i="9"/>
  <c r="AV18" i="9"/>
  <c r="AV51" i="9"/>
  <c r="AV24" i="9"/>
  <c r="AV80" i="9"/>
  <c r="AV10" i="9"/>
  <c r="AV11" i="9"/>
  <c r="AV30" i="9"/>
  <c r="AV73" i="9"/>
  <c r="AV14" i="9"/>
  <c r="AV88" i="9"/>
  <c r="AV60" i="9"/>
  <c r="AV71" i="9"/>
  <c r="AV22" i="9"/>
  <c r="AV39" i="9"/>
  <c r="AV31" i="9"/>
  <c r="AV84" i="9"/>
  <c r="AV34" i="9"/>
  <c r="AV78" i="9"/>
  <c r="AV29" i="9"/>
  <c r="AV32" i="9"/>
  <c r="AV53" i="9"/>
  <c r="AV2" i="9"/>
  <c r="L4" i="9"/>
  <c r="L8" i="9"/>
  <c r="L37" i="9"/>
  <c r="L55" i="9"/>
  <c r="L3" i="9"/>
  <c r="L7" i="9"/>
  <c r="L75" i="9"/>
  <c r="L81" i="9"/>
  <c r="L82" i="9"/>
  <c r="L86" i="9"/>
  <c r="L56" i="9"/>
  <c r="L83" i="9"/>
  <c r="L46" i="9"/>
  <c r="L9" i="9"/>
  <c r="L48" i="9"/>
  <c r="L63" i="9"/>
  <c r="L85" i="9"/>
  <c r="L6" i="9"/>
  <c r="L12" i="9"/>
  <c r="L38" i="9"/>
  <c r="L41" i="9"/>
  <c r="L44" i="9"/>
  <c r="L70" i="9"/>
  <c r="L65" i="9"/>
  <c r="L76" i="9"/>
  <c r="L15" i="9"/>
  <c r="L33" i="9"/>
  <c r="L27" i="9"/>
  <c r="L62" i="9"/>
  <c r="L66" i="9"/>
  <c r="L64" i="9"/>
  <c r="L35" i="9"/>
  <c r="L26" i="9"/>
  <c r="L42" i="9"/>
  <c r="L36" i="9"/>
  <c r="L18" i="9"/>
  <c r="L57" i="9"/>
  <c r="L51" i="9"/>
  <c r="L24" i="9"/>
  <c r="L54" i="9"/>
  <c r="L80" i="9"/>
  <c r="L10" i="9"/>
  <c r="L16" i="9"/>
  <c r="L69" i="9"/>
  <c r="L5" i="9"/>
  <c r="L11" i="9"/>
  <c r="L25" i="9"/>
  <c r="L73" i="9"/>
  <c r="L40" i="9"/>
  <c r="L14" i="9"/>
  <c r="L88" i="9"/>
  <c r="L23" i="9"/>
  <c r="L60" i="9"/>
  <c r="L47" i="9"/>
  <c r="L71" i="9"/>
  <c r="L74" i="9"/>
  <c r="L22" i="9"/>
  <c r="L61" i="9"/>
  <c r="L72" i="9"/>
  <c r="L45" i="9"/>
  <c r="L87" i="9"/>
  <c r="L39" i="9"/>
  <c r="L31" i="9"/>
  <c r="L84" i="9"/>
  <c r="L34" i="9"/>
  <c r="L29" i="9"/>
  <c r="L49" i="9"/>
  <c r="L58" i="9"/>
  <c r="L32" i="9"/>
  <c r="L53" i="9"/>
  <c r="L2" i="9"/>
  <c r="L50" i="9"/>
  <c r="K4" i="9"/>
  <c r="K8" i="9"/>
  <c r="K37" i="9"/>
  <c r="K55" i="9"/>
  <c r="K3" i="9"/>
  <c r="K7" i="9"/>
  <c r="K75" i="9"/>
  <c r="K81" i="9"/>
  <c r="K82" i="9"/>
  <c r="K86" i="9"/>
  <c r="K56" i="9"/>
  <c r="K83" i="9"/>
  <c r="K46" i="9"/>
  <c r="K9" i="9"/>
  <c r="K48" i="9"/>
  <c r="K63" i="9"/>
  <c r="K85" i="9"/>
  <c r="K6" i="9"/>
  <c r="K12" i="9"/>
  <c r="K38" i="9"/>
  <c r="K41" i="9"/>
  <c r="K44" i="9"/>
  <c r="K70" i="9"/>
  <c r="K65" i="9"/>
  <c r="K76" i="9"/>
  <c r="K15" i="9"/>
  <c r="K33" i="9"/>
  <c r="K27" i="9"/>
  <c r="K62" i="9"/>
  <c r="K66" i="9"/>
  <c r="K64" i="9"/>
  <c r="K35" i="9"/>
  <c r="K26" i="9"/>
  <c r="K42" i="9"/>
  <c r="K36" i="9"/>
  <c r="K18" i="9"/>
  <c r="K57" i="9"/>
  <c r="K51" i="9"/>
  <c r="K24" i="9"/>
  <c r="K54" i="9"/>
  <c r="K80" i="9"/>
  <c r="K10" i="9"/>
  <c r="K16" i="9"/>
  <c r="K69" i="9"/>
  <c r="K5" i="9"/>
  <c r="K11" i="9"/>
  <c r="K25" i="9"/>
  <c r="K73" i="9"/>
  <c r="K40" i="9"/>
  <c r="K14" i="9"/>
  <c r="K88" i="9"/>
  <c r="K23" i="9"/>
  <c r="K60" i="9"/>
  <c r="K47" i="9"/>
  <c r="K71" i="9"/>
  <c r="K74" i="9"/>
  <c r="K22" i="9"/>
  <c r="K61" i="9"/>
  <c r="K72" i="9"/>
  <c r="K45" i="9"/>
  <c r="K87" i="9"/>
  <c r="K39" i="9"/>
  <c r="K31" i="9"/>
  <c r="K84" i="9"/>
  <c r="K34" i="9"/>
  <c r="K29" i="9"/>
  <c r="K49" i="9"/>
  <c r="K58" i="9"/>
  <c r="K32" i="9"/>
  <c r="K53" i="9"/>
  <c r="K2" i="9"/>
  <c r="K50" i="9"/>
  <c r="J4" i="9"/>
  <c r="J8" i="9"/>
  <c r="J37" i="9"/>
  <c r="J55" i="9"/>
  <c r="J3" i="9"/>
  <c r="J7" i="9"/>
  <c r="J75" i="9"/>
  <c r="J81" i="9"/>
  <c r="J82" i="9"/>
  <c r="J86" i="9"/>
  <c r="J56" i="9"/>
  <c r="J83" i="9"/>
  <c r="J46" i="9"/>
  <c r="J9" i="9"/>
  <c r="J48" i="9"/>
  <c r="J63" i="9"/>
  <c r="J85" i="9"/>
  <c r="J6" i="9"/>
  <c r="J12" i="9"/>
  <c r="J38" i="9"/>
  <c r="J41" i="9"/>
  <c r="J44" i="9"/>
  <c r="J70" i="9"/>
  <c r="J65" i="9"/>
  <c r="J76" i="9"/>
  <c r="J15" i="9"/>
  <c r="J33" i="9"/>
  <c r="J27" i="9"/>
  <c r="J62" i="9"/>
  <c r="J66" i="9"/>
  <c r="J64" i="9"/>
  <c r="J35" i="9"/>
  <c r="J26" i="9"/>
  <c r="J42" i="9"/>
  <c r="J36" i="9"/>
  <c r="J18" i="9"/>
  <c r="J57" i="9"/>
  <c r="J51" i="9"/>
  <c r="J24" i="9"/>
  <c r="J54" i="9"/>
  <c r="J80" i="9"/>
  <c r="J10" i="9"/>
  <c r="J16" i="9"/>
  <c r="J69" i="9"/>
  <c r="J5" i="9"/>
  <c r="J11" i="9"/>
  <c r="J25" i="9"/>
  <c r="J73" i="9"/>
  <c r="J40" i="9"/>
  <c r="J14" i="9"/>
  <c r="J88" i="9"/>
  <c r="J23" i="9"/>
  <c r="J60" i="9"/>
  <c r="J47" i="9"/>
  <c r="J71" i="9"/>
  <c r="J74" i="9"/>
  <c r="J22" i="9"/>
  <c r="J61" i="9"/>
  <c r="J72" i="9"/>
  <c r="J45" i="9"/>
  <c r="J87" i="9"/>
  <c r="J39" i="9"/>
  <c r="J31" i="9"/>
  <c r="J84" i="9"/>
  <c r="J34" i="9"/>
  <c r="J29" i="9"/>
  <c r="J49" i="9"/>
  <c r="J58" i="9"/>
  <c r="J32" i="9"/>
  <c r="J53" i="9"/>
  <c r="J2" i="9"/>
  <c r="J50" i="9"/>
  <c r="I4" i="9"/>
  <c r="I8" i="9"/>
  <c r="I37" i="9"/>
  <c r="I55" i="9"/>
  <c r="I3" i="9"/>
  <c r="I7" i="9"/>
  <c r="I75" i="9"/>
  <c r="I81" i="9"/>
  <c r="I82" i="9"/>
  <c r="I86" i="9"/>
  <c r="I56" i="9"/>
  <c r="I83" i="9"/>
  <c r="I46" i="9"/>
  <c r="I9" i="9"/>
  <c r="I48" i="9"/>
  <c r="I63" i="9"/>
  <c r="I85" i="9"/>
  <c r="I6" i="9"/>
  <c r="I12" i="9"/>
  <c r="I38" i="9"/>
  <c r="I41" i="9"/>
  <c r="I44" i="9"/>
  <c r="I70" i="9"/>
  <c r="I65" i="9"/>
  <c r="I76" i="9"/>
  <c r="I15" i="9"/>
  <c r="I33" i="9"/>
  <c r="I27" i="9"/>
  <c r="I62" i="9"/>
  <c r="I66" i="9"/>
  <c r="I64" i="9"/>
  <c r="I35" i="9"/>
  <c r="I26" i="9"/>
  <c r="I42" i="9"/>
  <c r="I36" i="9"/>
  <c r="I18" i="9"/>
  <c r="I57" i="9"/>
  <c r="I51" i="9"/>
  <c r="I24" i="9"/>
  <c r="I54" i="9"/>
  <c r="I80" i="9"/>
  <c r="I10" i="9"/>
  <c r="I16" i="9"/>
  <c r="I69" i="9"/>
  <c r="I5" i="9"/>
  <c r="I11" i="9"/>
  <c r="I25" i="9"/>
  <c r="I73" i="9"/>
  <c r="I40" i="9"/>
  <c r="I14" i="9"/>
  <c r="I88" i="9"/>
  <c r="I23" i="9"/>
  <c r="I60" i="9"/>
  <c r="I47" i="9"/>
  <c r="I71" i="9"/>
  <c r="I74" i="9"/>
  <c r="I22" i="9"/>
  <c r="I61" i="9"/>
  <c r="I72" i="9"/>
  <c r="I45" i="9"/>
  <c r="I87" i="9"/>
  <c r="I39" i="9"/>
  <c r="I31" i="9"/>
  <c r="I84" i="9"/>
  <c r="I34" i="9"/>
  <c r="I29" i="9"/>
  <c r="I49" i="9"/>
  <c r="I58" i="9"/>
  <c r="I32" i="9"/>
  <c r="I53" i="9"/>
  <c r="I2" i="9"/>
  <c r="I50" i="9"/>
  <c r="AY88" i="9"/>
  <c r="AX88" i="9"/>
  <c r="AW88" i="9"/>
  <c r="M88" i="9"/>
  <c r="D88" i="9"/>
  <c r="AY83" i="9"/>
  <c r="AX83" i="9"/>
  <c r="AW83" i="9"/>
  <c r="M83" i="9"/>
  <c r="D83" i="9"/>
  <c r="AY79" i="9"/>
  <c r="AX79" i="9"/>
  <c r="AW79" i="9"/>
  <c r="M79" i="9"/>
  <c r="D79" i="9"/>
  <c r="AY72" i="9"/>
  <c r="AX72" i="9"/>
  <c r="AW72" i="9"/>
  <c r="M72" i="9"/>
  <c r="D72" i="9"/>
  <c r="AY69" i="9"/>
  <c r="AX69" i="9"/>
  <c r="AW69" i="9"/>
  <c r="M69" i="9"/>
  <c r="D69" i="9"/>
  <c r="AY64" i="9"/>
  <c r="AX64" i="9"/>
  <c r="AW64" i="9"/>
  <c r="M64" i="9"/>
  <c r="D64" i="9"/>
  <c r="AY61" i="9"/>
  <c r="AX61" i="9"/>
  <c r="AW61" i="9"/>
  <c r="M61" i="9"/>
  <c r="D61" i="9"/>
  <c r="AY58" i="9"/>
  <c r="AX58" i="9"/>
  <c r="AW58" i="9"/>
  <c r="M58" i="9"/>
  <c r="D58" i="9"/>
  <c r="AY56" i="9"/>
  <c r="AX56" i="9"/>
  <c r="AW56" i="9"/>
  <c r="M56" i="9"/>
  <c r="D56" i="9"/>
  <c r="AY54" i="9"/>
  <c r="AX54" i="9"/>
  <c r="AW54" i="9"/>
  <c r="M54" i="9"/>
  <c r="D54" i="9"/>
  <c r="AY52" i="9"/>
  <c r="AX52" i="9"/>
  <c r="AW52" i="9"/>
  <c r="M52" i="9"/>
  <c r="D52" i="9"/>
  <c r="AY48" i="9"/>
  <c r="AX48" i="9"/>
  <c r="AW48" i="9"/>
  <c r="M48" i="9"/>
  <c r="D48" i="9"/>
  <c r="AY47" i="9"/>
  <c r="AX47" i="9"/>
  <c r="AW47" i="9"/>
  <c r="M47" i="9"/>
  <c r="D47" i="9"/>
  <c r="AY44" i="9"/>
  <c r="AX44" i="9"/>
  <c r="AW44" i="9"/>
  <c r="M44" i="9"/>
  <c r="D44" i="9"/>
  <c r="AY42" i="9"/>
  <c r="AX42" i="9"/>
  <c r="AW42" i="9"/>
  <c r="M42" i="9"/>
  <c r="D42" i="9"/>
  <c r="AY39" i="9"/>
  <c r="AX39" i="9"/>
  <c r="AW39" i="9"/>
  <c r="M39" i="9"/>
  <c r="D39" i="9"/>
  <c r="AY36" i="9"/>
  <c r="AX36" i="9"/>
  <c r="AW36" i="9"/>
  <c r="M36" i="9"/>
  <c r="D36" i="9"/>
  <c r="AY26" i="9"/>
  <c r="AX26" i="9"/>
  <c r="AW26" i="9"/>
  <c r="M26" i="9"/>
  <c r="D26" i="9"/>
  <c r="AY17" i="9"/>
  <c r="AX17" i="9"/>
  <c r="AW17" i="9"/>
  <c r="M17" i="9"/>
  <c r="D17" i="9"/>
  <c r="AY15" i="9"/>
  <c r="AX15" i="9"/>
  <c r="AW15" i="9"/>
  <c r="M15" i="9"/>
  <c r="D15" i="9"/>
  <c r="AY14" i="9"/>
  <c r="AX14" i="9"/>
  <c r="AW14" i="9"/>
  <c r="M14" i="9"/>
  <c r="D14" i="9"/>
  <c r="AY78" i="9"/>
  <c r="AX78" i="9"/>
  <c r="AW78" i="9"/>
  <c r="M78" i="9"/>
  <c r="D78" i="9"/>
  <c r="AY50" i="9"/>
  <c r="AX50" i="9"/>
  <c r="AW50" i="9"/>
  <c r="M50" i="9"/>
  <c r="D50" i="9"/>
  <c r="AY43" i="9"/>
  <c r="AX43" i="9"/>
  <c r="AW43" i="9"/>
  <c r="M43" i="9"/>
  <c r="D43" i="9"/>
  <c r="AY31" i="9"/>
  <c r="AX31" i="9"/>
  <c r="AW31" i="9"/>
  <c r="M31" i="9"/>
  <c r="D31" i="9"/>
  <c r="AY19" i="9"/>
  <c r="AX19" i="9"/>
  <c r="AW19" i="9"/>
  <c r="M19" i="9"/>
  <c r="D19" i="9"/>
  <c r="AY10" i="9"/>
  <c r="AX10" i="9"/>
  <c r="AW10" i="9"/>
  <c r="M10" i="9"/>
  <c r="D10" i="9"/>
  <c r="AY76" i="9"/>
  <c r="AX76" i="9"/>
  <c r="AW76" i="9"/>
  <c r="M76" i="9"/>
  <c r="D76" i="9"/>
  <c r="AY32" i="9"/>
  <c r="AX32" i="9"/>
  <c r="AW32" i="9"/>
  <c r="M32" i="9"/>
  <c r="D32" i="9"/>
  <c r="AY84" i="9"/>
  <c r="AX84" i="9"/>
  <c r="AW84" i="9"/>
  <c r="M84" i="9"/>
  <c r="D84" i="9"/>
  <c r="AY65" i="9"/>
  <c r="AX65" i="9"/>
  <c r="AW65" i="9"/>
  <c r="M65" i="9"/>
  <c r="D65" i="9"/>
  <c r="AY41" i="9"/>
  <c r="AX41" i="9"/>
  <c r="AW41" i="9"/>
  <c r="M41" i="9"/>
  <c r="D41" i="9"/>
  <c r="AY35" i="9"/>
  <c r="AX35" i="9"/>
  <c r="AW35" i="9"/>
  <c r="M35" i="9"/>
  <c r="D35" i="9"/>
  <c r="AY9" i="9"/>
  <c r="AX9" i="9"/>
  <c r="AW9" i="9"/>
  <c r="M9" i="9"/>
  <c r="D9" i="9"/>
  <c r="AY86" i="9"/>
  <c r="AX86" i="9"/>
  <c r="AW86" i="9"/>
  <c r="M86" i="9"/>
  <c r="D86" i="9"/>
  <c r="AY82" i="9"/>
  <c r="AX82" i="9"/>
  <c r="AW82" i="9"/>
  <c r="M82" i="9"/>
  <c r="D82" i="9"/>
  <c r="AY81" i="9"/>
  <c r="AX81" i="9"/>
  <c r="AW81" i="9"/>
  <c r="M81" i="9"/>
  <c r="D81" i="9"/>
  <c r="AY77" i="9"/>
  <c r="AX77" i="9"/>
  <c r="AW77" i="9"/>
  <c r="M77" i="9"/>
  <c r="D77" i="9"/>
  <c r="AY75" i="9"/>
  <c r="AX75" i="9"/>
  <c r="AW75" i="9"/>
  <c r="M75" i="9"/>
  <c r="D75" i="9"/>
  <c r="AY66" i="9"/>
  <c r="AX66" i="9"/>
  <c r="AW66" i="9"/>
  <c r="M66" i="9"/>
  <c r="D66" i="9"/>
  <c r="AY62" i="9"/>
  <c r="AX62" i="9"/>
  <c r="AW62" i="9"/>
  <c r="M62" i="9"/>
  <c r="D62" i="9"/>
  <c r="AY38" i="9"/>
  <c r="AX38" i="9"/>
  <c r="AW38" i="9"/>
  <c r="M38" i="9"/>
  <c r="D38" i="9"/>
  <c r="AY27" i="9"/>
  <c r="AX27" i="9"/>
  <c r="AW27" i="9"/>
  <c r="M27" i="9"/>
  <c r="D27" i="9"/>
  <c r="AY12" i="9"/>
  <c r="AX12" i="9"/>
  <c r="AW12" i="9"/>
  <c r="M12" i="9"/>
  <c r="D12" i="9"/>
  <c r="AY7" i="9"/>
  <c r="AX7" i="9"/>
  <c r="AW7" i="9"/>
  <c r="M7" i="9"/>
  <c r="D7" i="9"/>
  <c r="AY6" i="9"/>
  <c r="AX6" i="9"/>
  <c r="AW6" i="9"/>
  <c r="M6" i="9"/>
  <c r="D6" i="9"/>
  <c r="AY3" i="9"/>
  <c r="AX3" i="9"/>
  <c r="AW3" i="9"/>
  <c r="M3" i="9"/>
  <c r="D3" i="9"/>
  <c r="AY49" i="9"/>
  <c r="AX49" i="9"/>
  <c r="AW49" i="9"/>
  <c r="M49" i="9"/>
  <c r="D49" i="9"/>
  <c r="AY34" i="9"/>
  <c r="AX34" i="9"/>
  <c r="AW34" i="9"/>
  <c r="M34" i="9"/>
  <c r="D34" i="9"/>
  <c r="AY24" i="9"/>
  <c r="AX24" i="9"/>
  <c r="AW24" i="9"/>
  <c r="M24" i="9"/>
  <c r="D24" i="9"/>
  <c r="AY20" i="9"/>
  <c r="AX20" i="9"/>
  <c r="AW20" i="9"/>
  <c r="M20" i="9"/>
  <c r="D20" i="9"/>
  <c r="AY2" i="9"/>
  <c r="AX2" i="9"/>
  <c r="AW2" i="9"/>
  <c r="M2" i="9"/>
  <c r="D2" i="9"/>
  <c r="AY85" i="9"/>
  <c r="AX85" i="9"/>
  <c r="AW85" i="9"/>
  <c r="M85" i="9"/>
  <c r="D85" i="9"/>
  <c r="AY80" i="9"/>
  <c r="AX80" i="9"/>
  <c r="AW80" i="9"/>
  <c r="M80" i="9"/>
  <c r="D80" i="9"/>
  <c r="AY74" i="9"/>
  <c r="AX74" i="9"/>
  <c r="AW74" i="9"/>
  <c r="M74" i="9"/>
  <c r="D74" i="9"/>
  <c r="AY70" i="9"/>
  <c r="AX70" i="9"/>
  <c r="AW70" i="9"/>
  <c r="M70" i="9"/>
  <c r="D70" i="9"/>
  <c r="AY63" i="9"/>
  <c r="AX63" i="9"/>
  <c r="AW63" i="9"/>
  <c r="M63" i="9"/>
  <c r="D63" i="9"/>
  <c r="AY55" i="9"/>
  <c r="AX55" i="9"/>
  <c r="AW55" i="9"/>
  <c r="M55" i="9"/>
  <c r="D55" i="9"/>
  <c r="AY40" i="9"/>
  <c r="AX40" i="9"/>
  <c r="AW40" i="9"/>
  <c r="M40" i="9"/>
  <c r="D40" i="9"/>
  <c r="AY37" i="9"/>
  <c r="AX37" i="9"/>
  <c r="AW37" i="9"/>
  <c r="M37" i="9"/>
  <c r="D37" i="9"/>
  <c r="AY33" i="9"/>
  <c r="AX33" i="9"/>
  <c r="AW33" i="9"/>
  <c r="M33" i="9"/>
  <c r="D33" i="9"/>
  <c r="AY8" i="9"/>
  <c r="AX8" i="9"/>
  <c r="AW8" i="9"/>
  <c r="M8" i="9"/>
  <c r="D8" i="9"/>
  <c r="AY60" i="9"/>
  <c r="AX60" i="9"/>
  <c r="AW60" i="9"/>
  <c r="M60" i="9"/>
  <c r="D60" i="9"/>
  <c r="AY29" i="9"/>
  <c r="AX29" i="9"/>
  <c r="AW29" i="9"/>
  <c r="M29" i="9"/>
  <c r="D29" i="9"/>
  <c r="AY23" i="9"/>
  <c r="AX23" i="9"/>
  <c r="AW23" i="9"/>
  <c r="M23" i="9"/>
  <c r="D23" i="9"/>
  <c r="AY87" i="9"/>
  <c r="AX87" i="9"/>
  <c r="AW87" i="9"/>
  <c r="M87" i="9"/>
  <c r="D87" i="9"/>
  <c r="AY73" i="9"/>
  <c r="AX73" i="9"/>
  <c r="AW73" i="9"/>
  <c r="M73" i="9"/>
  <c r="D73" i="9"/>
  <c r="AY68" i="9"/>
  <c r="AX68" i="9"/>
  <c r="AW68" i="9"/>
  <c r="M68" i="9"/>
  <c r="D68" i="9"/>
  <c r="AY67" i="9"/>
  <c r="AX67" i="9"/>
  <c r="AW67" i="9"/>
  <c r="M67" i="9"/>
  <c r="D67" i="9"/>
  <c r="AY59" i="9"/>
  <c r="AX59" i="9"/>
  <c r="AW59" i="9"/>
  <c r="M59" i="9"/>
  <c r="D59" i="9"/>
  <c r="AY57" i="9"/>
  <c r="AX57" i="9"/>
  <c r="AW57" i="9"/>
  <c r="M57" i="9"/>
  <c r="D57" i="9"/>
  <c r="AY46" i="9"/>
  <c r="AX46" i="9"/>
  <c r="AW46" i="9"/>
  <c r="M46" i="9"/>
  <c r="D46" i="9"/>
  <c r="AY30" i="9"/>
  <c r="AX30" i="9"/>
  <c r="AW30" i="9"/>
  <c r="M30" i="9"/>
  <c r="D30" i="9"/>
  <c r="AY28" i="9"/>
  <c r="AX28" i="9"/>
  <c r="AW28" i="9"/>
  <c r="M28" i="9"/>
  <c r="D28" i="9"/>
  <c r="AY25" i="9"/>
  <c r="AX25" i="9"/>
  <c r="AW25" i="9"/>
  <c r="M25" i="9"/>
  <c r="D25" i="9"/>
  <c r="AY22" i="9"/>
  <c r="AX22" i="9"/>
  <c r="AW22" i="9"/>
  <c r="M22" i="9"/>
  <c r="D22" i="9"/>
  <c r="AY21" i="9"/>
  <c r="AX21" i="9"/>
  <c r="AW21" i="9"/>
  <c r="M21" i="9"/>
  <c r="D21" i="9"/>
  <c r="AY18" i="9"/>
  <c r="AX18" i="9"/>
  <c r="AW18" i="9"/>
  <c r="M18" i="9"/>
  <c r="D18" i="9"/>
  <c r="AY16" i="9"/>
  <c r="AX16" i="9"/>
  <c r="AW16" i="9"/>
  <c r="M16" i="9"/>
  <c r="D16" i="9"/>
  <c r="AY11" i="9"/>
  <c r="AX11" i="9"/>
  <c r="AW11" i="9"/>
  <c r="M11" i="9"/>
  <c r="D11" i="9"/>
  <c r="AY5" i="9"/>
  <c r="AX5" i="9"/>
  <c r="AW5" i="9"/>
  <c r="M5" i="9"/>
  <c r="D5" i="9"/>
  <c r="AY51" i="9"/>
  <c r="AX51" i="9"/>
  <c r="AW51" i="9"/>
  <c r="M51" i="9"/>
  <c r="D51" i="9"/>
  <c r="AY71" i="9"/>
  <c r="AX71" i="9"/>
  <c r="AW71" i="9"/>
  <c r="M71" i="9"/>
  <c r="D71" i="9"/>
  <c r="AY53" i="9"/>
  <c r="AX53" i="9"/>
  <c r="AW53" i="9"/>
  <c r="M53" i="9"/>
  <c r="D53" i="9"/>
  <c r="AY45" i="9"/>
  <c r="AX45" i="9"/>
  <c r="AW45" i="9"/>
  <c r="M45" i="9"/>
  <c r="D45" i="9"/>
  <c r="AY13" i="9"/>
  <c r="AX13" i="9"/>
  <c r="AW13" i="9"/>
  <c r="M13" i="9"/>
  <c r="D13" i="9"/>
  <c r="AY4" i="9"/>
  <c r="AX4" i="9"/>
  <c r="AW4" i="9"/>
  <c r="D4" i="9"/>
  <c r="E25" i="12"/>
  <c r="D25" i="12"/>
  <c r="C25" i="12"/>
  <c r="AZ92" i="5"/>
  <c r="AZ101" i="5"/>
  <c r="AZ2" i="5"/>
  <c r="AZ3" i="5"/>
  <c r="AZ48" i="5"/>
  <c r="AZ49" i="5"/>
  <c r="AZ102" i="5"/>
  <c r="AZ103" i="5"/>
  <c r="AZ50" i="5"/>
  <c r="AZ80" i="5"/>
  <c r="AZ128" i="5"/>
  <c r="AZ51" i="5"/>
  <c r="AZ116" i="5"/>
  <c r="AZ52" i="5"/>
  <c r="AZ4" i="5"/>
  <c r="AZ129" i="5"/>
  <c r="AZ74" i="5"/>
  <c r="AZ104" i="5"/>
  <c r="AZ28" i="5"/>
  <c r="AZ53" i="5"/>
  <c r="AZ105" i="5"/>
  <c r="AZ5" i="5"/>
  <c r="AZ29" i="5"/>
  <c r="AZ6" i="5"/>
  <c r="AZ136" i="5"/>
  <c r="AZ7" i="5"/>
  <c r="AZ30" i="5"/>
  <c r="AZ8" i="5"/>
  <c r="AZ54" i="5"/>
  <c r="AZ137" i="5"/>
  <c r="AZ55" i="5"/>
  <c r="AZ9" i="5"/>
  <c r="AZ31" i="5"/>
  <c r="AZ138" i="5"/>
  <c r="AZ56" i="5"/>
  <c r="AZ32" i="5"/>
  <c r="AZ130" i="5"/>
  <c r="AZ33" i="5"/>
  <c r="AZ93" i="5"/>
  <c r="AZ57" i="5"/>
  <c r="AZ58" i="5"/>
  <c r="AZ75" i="5"/>
  <c r="AZ94" i="5"/>
  <c r="AZ59" i="5"/>
  <c r="AZ10" i="5"/>
  <c r="AZ34" i="5"/>
  <c r="AZ117" i="5"/>
  <c r="AZ35" i="5"/>
  <c r="AZ139" i="5"/>
  <c r="AZ11" i="5"/>
  <c r="AZ12" i="5"/>
  <c r="AZ106" i="5"/>
  <c r="AZ13" i="5"/>
  <c r="AZ60" i="5"/>
  <c r="AZ76" i="5"/>
  <c r="AZ14" i="5"/>
  <c r="AZ15" i="5"/>
  <c r="AZ61" i="5"/>
  <c r="AZ77" i="5"/>
  <c r="AZ62" i="5"/>
  <c r="AZ118" i="5"/>
  <c r="AZ131" i="5"/>
  <c r="AZ125" i="5"/>
  <c r="AZ81" i="5"/>
  <c r="AZ95" i="5"/>
  <c r="AZ63" i="5"/>
  <c r="AZ82" i="5"/>
  <c r="AZ119" i="5"/>
  <c r="AZ36" i="5"/>
  <c r="AZ140" i="5"/>
  <c r="AZ83" i="5"/>
  <c r="AZ107" i="5"/>
  <c r="AZ141" i="5"/>
  <c r="AZ120" i="5"/>
  <c r="AZ84" i="5"/>
  <c r="AZ37" i="5"/>
  <c r="AZ16" i="5"/>
  <c r="AZ85" i="5"/>
  <c r="AZ121" i="5"/>
  <c r="AZ17" i="5"/>
  <c r="AZ38" i="5"/>
  <c r="AZ142" i="5"/>
  <c r="AZ132" i="5"/>
  <c r="AZ18" i="5"/>
  <c r="AZ143" i="5"/>
  <c r="AZ19" i="5"/>
  <c r="AZ20" i="5"/>
  <c r="AZ64" i="5"/>
  <c r="AZ144" i="5"/>
  <c r="AZ145" i="5"/>
  <c r="AZ96" i="5"/>
  <c r="AZ39" i="5"/>
  <c r="AZ133" i="5"/>
  <c r="AZ40" i="5"/>
  <c r="AZ146" i="5"/>
  <c r="AZ134" i="5"/>
  <c r="AZ78" i="5"/>
  <c r="AZ21" i="5"/>
  <c r="AZ22" i="5"/>
  <c r="AZ147" i="5"/>
  <c r="AZ86" i="5"/>
  <c r="AZ97" i="5"/>
  <c r="AZ148" i="5"/>
  <c r="AZ65" i="5"/>
  <c r="AZ149" i="5"/>
  <c r="AZ66" i="5"/>
  <c r="AZ79" i="5"/>
  <c r="AZ150" i="5"/>
  <c r="AZ108" i="5"/>
  <c r="AZ87" i="5"/>
  <c r="AZ151" i="5"/>
  <c r="AZ122" i="5"/>
  <c r="AZ109" i="5"/>
  <c r="AZ123" i="5"/>
  <c r="AZ41" i="5"/>
  <c r="AZ67" i="5"/>
  <c r="AZ68" i="5"/>
  <c r="AZ69" i="5"/>
  <c r="AZ152" i="5"/>
  <c r="AZ23" i="5"/>
  <c r="AZ88" i="5"/>
  <c r="AZ24" i="5"/>
  <c r="AZ25" i="5"/>
  <c r="AZ26" i="5"/>
  <c r="AZ110" i="5"/>
  <c r="AZ153" i="5"/>
  <c r="AZ98" i="5"/>
  <c r="AZ42" i="5"/>
  <c r="AZ43" i="5"/>
  <c r="AZ126" i="5"/>
  <c r="AZ99" i="5"/>
  <c r="AZ70" i="5"/>
  <c r="AZ89" i="5"/>
  <c r="AZ111" i="5"/>
  <c r="AZ127" i="5"/>
  <c r="AZ112" i="5"/>
  <c r="AZ135" i="5"/>
  <c r="AZ27" i="5"/>
  <c r="AZ154" i="5"/>
  <c r="AZ71" i="5"/>
  <c r="AZ90" i="5"/>
  <c r="AZ113" i="5"/>
  <c r="AZ114" i="5"/>
  <c r="AZ155" i="5"/>
  <c r="AZ44" i="5"/>
  <c r="AZ124" i="5"/>
  <c r="AZ91" i="5"/>
  <c r="AZ45" i="5"/>
  <c r="AZ72" i="5"/>
  <c r="AZ115" i="5"/>
  <c r="AZ156" i="5"/>
  <c r="AZ73" i="5"/>
  <c r="AZ157" i="5"/>
  <c r="AZ100" i="5"/>
  <c r="AZ46" i="5"/>
  <c r="AZ47" i="5"/>
  <c r="AY92" i="5"/>
  <c r="AY101" i="5"/>
  <c r="AY2" i="5"/>
  <c r="AY3" i="5"/>
  <c r="AY48" i="5"/>
  <c r="AY49" i="5"/>
  <c r="AY102" i="5"/>
  <c r="AY103" i="5"/>
  <c r="AY50" i="5"/>
  <c r="AY80" i="5"/>
  <c r="AY128" i="5"/>
  <c r="AY51" i="5"/>
  <c r="AY116" i="5"/>
  <c r="AY52" i="5"/>
  <c r="AY4" i="5"/>
  <c r="AY129" i="5"/>
  <c r="AY74" i="5"/>
  <c r="AY104" i="5"/>
  <c r="AY28" i="5"/>
  <c r="AY53" i="5"/>
  <c r="AY105" i="5"/>
  <c r="AY5" i="5"/>
  <c r="AY29" i="5"/>
  <c r="AY6" i="5"/>
  <c r="AY136" i="5"/>
  <c r="AY7" i="5"/>
  <c r="AY30" i="5"/>
  <c r="AY8" i="5"/>
  <c r="AY54" i="5"/>
  <c r="AY137" i="5"/>
  <c r="AY55" i="5"/>
  <c r="AY9" i="5"/>
  <c r="AY31" i="5"/>
  <c r="AY138" i="5"/>
  <c r="AY56" i="5"/>
  <c r="AY32" i="5"/>
  <c r="AY130" i="5"/>
  <c r="AY33" i="5"/>
  <c r="AY93" i="5"/>
  <c r="AY57" i="5"/>
  <c r="AY58" i="5"/>
  <c r="AY75" i="5"/>
  <c r="AY94" i="5"/>
  <c r="AY59" i="5"/>
  <c r="AY10" i="5"/>
  <c r="AY34" i="5"/>
  <c r="AY117" i="5"/>
  <c r="AY35" i="5"/>
  <c r="AY139" i="5"/>
  <c r="AY11" i="5"/>
  <c r="AY12" i="5"/>
  <c r="AY106" i="5"/>
  <c r="AY13" i="5"/>
  <c r="AY60" i="5"/>
  <c r="AY76" i="5"/>
  <c r="AY14" i="5"/>
  <c r="AY15" i="5"/>
  <c r="AY61" i="5"/>
  <c r="AY77" i="5"/>
  <c r="AY62" i="5"/>
  <c r="AY118" i="5"/>
  <c r="AY131" i="5"/>
  <c r="AY125" i="5"/>
  <c r="AY81" i="5"/>
  <c r="AY95" i="5"/>
  <c r="AY63" i="5"/>
  <c r="AY82" i="5"/>
  <c r="AY119" i="5"/>
  <c r="AY36" i="5"/>
  <c r="AY140" i="5"/>
  <c r="AY83" i="5"/>
  <c r="AY107" i="5"/>
  <c r="AY141" i="5"/>
  <c r="AY120" i="5"/>
  <c r="AY84" i="5"/>
  <c r="AY37" i="5"/>
  <c r="AY16" i="5"/>
  <c r="AY85" i="5"/>
  <c r="AY121" i="5"/>
  <c r="AY17" i="5"/>
  <c r="AY38" i="5"/>
  <c r="AY142" i="5"/>
  <c r="AY132" i="5"/>
  <c r="AY18" i="5"/>
  <c r="AY143" i="5"/>
  <c r="AY19" i="5"/>
  <c r="AY20" i="5"/>
  <c r="AY64" i="5"/>
  <c r="AY144" i="5"/>
  <c r="AY145" i="5"/>
  <c r="AY96" i="5"/>
  <c r="AY39" i="5"/>
  <c r="AY133" i="5"/>
  <c r="AY40" i="5"/>
  <c r="AY146" i="5"/>
  <c r="AY134" i="5"/>
  <c r="AY78" i="5"/>
  <c r="AY21" i="5"/>
  <c r="AY22" i="5"/>
  <c r="AY147" i="5"/>
  <c r="AY86" i="5"/>
  <c r="AY97" i="5"/>
  <c r="AY148" i="5"/>
  <c r="AY65" i="5"/>
  <c r="AY149" i="5"/>
  <c r="AY66" i="5"/>
  <c r="AY79" i="5"/>
  <c r="AY150" i="5"/>
  <c r="AY108" i="5"/>
  <c r="AY87" i="5"/>
  <c r="AY151" i="5"/>
  <c r="AY122" i="5"/>
  <c r="AY109" i="5"/>
  <c r="AY123" i="5"/>
  <c r="AY41" i="5"/>
  <c r="AY67" i="5"/>
  <c r="AY68" i="5"/>
  <c r="AY69" i="5"/>
  <c r="AY152" i="5"/>
  <c r="AY23" i="5"/>
  <c r="AY88" i="5"/>
  <c r="AY24" i="5"/>
  <c r="AY25" i="5"/>
  <c r="AY26" i="5"/>
  <c r="AY110" i="5"/>
  <c r="AY153" i="5"/>
  <c r="AY98" i="5"/>
  <c r="AY42" i="5"/>
  <c r="AY43" i="5"/>
  <c r="AY126" i="5"/>
  <c r="AY99" i="5"/>
  <c r="AY70" i="5"/>
  <c r="AY89" i="5"/>
  <c r="AY111" i="5"/>
  <c r="AY127" i="5"/>
  <c r="AY112" i="5"/>
  <c r="AY135" i="5"/>
  <c r="AY27" i="5"/>
  <c r="AY154" i="5"/>
  <c r="AY71" i="5"/>
  <c r="AY90" i="5"/>
  <c r="AY113" i="5"/>
  <c r="AY114" i="5"/>
  <c r="AY155" i="5"/>
  <c r="AY44" i="5"/>
  <c r="AY124" i="5"/>
  <c r="AY91" i="5"/>
  <c r="AY45" i="5"/>
  <c r="AY72" i="5"/>
  <c r="AY115" i="5"/>
  <c r="AY156" i="5"/>
  <c r="AY73" i="5"/>
  <c r="AY157" i="5"/>
  <c r="AY100" i="5"/>
  <c r="AY46" i="5"/>
  <c r="AY47" i="5"/>
  <c r="AX92" i="5"/>
  <c r="AX101" i="5"/>
  <c r="AX2" i="5"/>
  <c r="AX3" i="5"/>
  <c r="AX48" i="5"/>
  <c r="AX49" i="5"/>
  <c r="AX102" i="5"/>
  <c r="AX103" i="5"/>
  <c r="AX50" i="5"/>
  <c r="AX80" i="5"/>
  <c r="AX128" i="5"/>
  <c r="AX51" i="5"/>
  <c r="AX116" i="5"/>
  <c r="AX52" i="5"/>
  <c r="AX4" i="5"/>
  <c r="AX129" i="5"/>
  <c r="AX74" i="5"/>
  <c r="AX104" i="5"/>
  <c r="AX28" i="5"/>
  <c r="AX53" i="5"/>
  <c r="AX105" i="5"/>
  <c r="AX5" i="5"/>
  <c r="AX29" i="5"/>
  <c r="AX6" i="5"/>
  <c r="AX136" i="5"/>
  <c r="AX7" i="5"/>
  <c r="AX30" i="5"/>
  <c r="AX8" i="5"/>
  <c r="AX54" i="5"/>
  <c r="AX137" i="5"/>
  <c r="AX55" i="5"/>
  <c r="AX9" i="5"/>
  <c r="AX31" i="5"/>
  <c r="AX138" i="5"/>
  <c r="AX56" i="5"/>
  <c r="AX32" i="5"/>
  <c r="AX130" i="5"/>
  <c r="AX33" i="5"/>
  <c r="AX93" i="5"/>
  <c r="AX57" i="5"/>
  <c r="AX58" i="5"/>
  <c r="AX75" i="5"/>
  <c r="AX94" i="5"/>
  <c r="AX59" i="5"/>
  <c r="AX10" i="5"/>
  <c r="AX34" i="5"/>
  <c r="AX117" i="5"/>
  <c r="AX35" i="5"/>
  <c r="AX139" i="5"/>
  <c r="AX11" i="5"/>
  <c r="AX12" i="5"/>
  <c r="AX106" i="5"/>
  <c r="AX13" i="5"/>
  <c r="AX60" i="5"/>
  <c r="AX76" i="5"/>
  <c r="AX14" i="5"/>
  <c r="AX15" i="5"/>
  <c r="AX61" i="5"/>
  <c r="AX77" i="5"/>
  <c r="AX62" i="5"/>
  <c r="AX118" i="5"/>
  <c r="AX131" i="5"/>
  <c r="AX125" i="5"/>
  <c r="AX81" i="5"/>
  <c r="AX95" i="5"/>
  <c r="AX63" i="5"/>
  <c r="AX82" i="5"/>
  <c r="AX119" i="5"/>
  <c r="AX36" i="5"/>
  <c r="AX140" i="5"/>
  <c r="AX83" i="5"/>
  <c r="AX107" i="5"/>
  <c r="AX141" i="5"/>
  <c r="AX120" i="5"/>
  <c r="AX84" i="5"/>
  <c r="AX37" i="5"/>
  <c r="AX16" i="5"/>
  <c r="AX85" i="5"/>
  <c r="AX121" i="5"/>
  <c r="AX17" i="5"/>
  <c r="AX38" i="5"/>
  <c r="AX142" i="5"/>
  <c r="AX132" i="5"/>
  <c r="AX18" i="5"/>
  <c r="AX143" i="5"/>
  <c r="AX19" i="5"/>
  <c r="AX20" i="5"/>
  <c r="AX64" i="5"/>
  <c r="AX144" i="5"/>
  <c r="AX145" i="5"/>
  <c r="AX96" i="5"/>
  <c r="AX39" i="5"/>
  <c r="AX133" i="5"/>
  <c r="AX40" i="5"/>
  <c r="AX146" i="5"/>
  <c r="AX134" i="5"/>
  <c r="AX78" i="5"/>
  <c r="AX21" i="5"/>
  <c r="AX22" i="5"/>
  <c r="AX147" i="5"/>
  <c r="AX86" i="5"/>
  <c r="AX97" i="5"/>
  <c r="AX148" i="5"/>
  <c r="AX65" i="5"/>
  <c r="AX149" i="5"/>
  <c r="AX66" i="5"/>
  <c r="AX79" i="5"/>
  <c r="AX150" i="5"/>
  <c r="AX108" i="5"/>
  <c r="AX87" i="5"/>
  <c r="AX151" i="5"/>
  <c r="AX122" i="5"/>
  <c r="AX109" i="5"/>
  <c r="AX123" i="5"/>
  <c r="AX41" i="5"/>
  <c r="AX67" i="5"/>
  <c r="AX68" i="5"/>
  <c r="AX69" i="5"/>
  <c r="AX152" i="5"/>
  <c r="AX23" i="5"/>
  <c r="AX88" i="5"/>
  <c r="AX24" i="5"/>
  <c r="AX25" i="5"/>
  <c r="AX26" i="5"/>
  <c r="AX110" i="5"/>
  <c r="AX153" i="5"/>
  <c r="AX98" i="5"/>
  <c r="AX42" i="5"/>
  <c r="AX43" i="5"/>
  <c r="AX126" i="5"/>
  <c r="AX99" i="5"/>
  <c r="AX70" i="5"/>
  <c r="AX89" i="5"/>
  <c r="AX111" i="5"/>
  <c r="AX127" i="5"/>
  <c r="AX112" i="5"/>
  <c r="AX135" i="5"/>
  <c r="AX27" i="5"/>
  <c r="AX154" i="5"/>
  <c r="AX71" i="5"/>
  <c r="AX90" i="5"/>
  <c r="AX113" i="5"/>
  <c r="AX114" i="5"/>
  <c r="AX155" i="5"/>
  <c r="AX44" i="5"/>
  <c r="AX124" i="5"/>
  <c r="AX91" i="5"/>
  <c r="AX45" i="5"/>
  <c r="AX72" i="5"/>
  <c r="AX115" i="5"/>
  <c r="AX156" i="5"/>
  <c r="AX73" i="5"/>
  <c r="AX157" i="5"/>
  <c r="AX100" i="5"/>
  <c r="AX46" i="5"/>
  <c r="AX47" i="5"/>
  <c r="AW92" i="5"/>
  <c r="AW101" i="5"/>
  <c r="AW2" i="5"/>
  <c r="AW3" i="5"/>
  <c r="AW48" i="5"/>
  <c r="AW49" i="5"/>
  <c r="AW102" i="5"/>
  <c r="AW103" i="5"/>
  <c r="AW50" i="5"/>
  <c r="AW80" i="5"/>
  <c r="AW128" i="5"/>
  <c r="AW51" i="5"/>
  <c r="AW116" i="5"/>
  <c r="AW52" i="5"/>
  <c r="AW4" i="5"/>
  <c r="AW129" i="5"/>
  <c r="AW74" i="5"/>
  <c r="AW104" i="5"/>
  <c r="AW28" i="5"/>
  <c r="AW53" i="5"/>
  <c r="AW105" i="5"/>
  <c r="AW5" i="5"/>
  <c r="AW29" i="5"/>
  <c r="AW6" i="5"/>
  <c r="AW136" i="5"/>
  <c r="AW7" i="5"/>
  <c r="AW30" i="5"/>
  <c r="AW8" i="5"/>
  <c r="AW54" i="5"/>
  <c r="AW137" i="5"/>
  <c r="AW55" i="5"/>
  <c r="AW9" i="5"/>
  <c r="AW31" i="5"/>
  <c r="AW138" i="5"/>
  <c r="AW56" i="5"/>
  <c r="AW32" i="5"/>
  <c r="AW130" i="5"/>
  <c r="AW33" i="5"/>
  <c r="AW93" i="5"/>
  <c r="AW57" i="5"/>
  <c r="AW58" i="5"/>
  <c r="AW75" i="5"/>
  <c r="AW94" i="5"/>
  <c r="AW59" i="5"/>
  <c r="AW10" i="5"/>
  <c r="AW34" i="5"/>
  <c r="AW117" i="5"/>
  <c r="AW35" i="5"/>
  <c r="AW139" i="5"/>
  <c r="AW11" i="5"/>
  <c r="AW12" i="5"/>
  <c r="AW106" i="5"/>
  <c r="AW13" i="5"/>
  <c r="AW60" i="5"/>
  <c r="AW76" i="5"/>
  <c r="AW14" i="5"/>
  <c r="AW15" i="5"/>
  <c r="AW61" i="5"/>
  <c r="AW77" i="5"/>
  <c r="AW62" i="5"/>
  <c r="AW118" i="5"/>
  <c r="AW131" i="5"/>
  <c r="AW125" i="5"/>
  <c r="AW81" i="5"/>
  <c r="AW95" i="5"/>
  <c r="AW63" i="5"/>
  <c r="AW82" i="5"/>
  <c r="AW119" i="5"/>
  <c r="AW36" i="5"/>
  <c r="AW140" i="5"/>
  <c r="AW83" i="5"/>
  <c r="AW107" i="5"/>
  <c r="AW141" i="5"/>
  <c r="AW120" i="5"/>
  <c r="AW84" i="5"/>
  <c r="AW37" i="5"/>
  <c r="AW16" i="5"/>
  <c r="AW85" i="5"/>
  <c r="AW121" i="5"/>
  <c r="AW17" i="5"/>
  <c r="AW38" i="5"/>
  <c r="AW142" i="5"/>
  <c r="AW132" i="5"/>
  <c r="AW18" i="5"/>
  <c r="AW143" i="5"/>
  <c r="AW19" i="5"/>
  <c r="AW20" i="5"/>
  <c r="AW64" i="5"/>
  <c r="AW144" i="5"/>
  <c r="AW145" i="5"/>
  <c r="AW96" i="5"/>
  <c r="AW39" i="5"/>
  <c r="AW133" i="5"/>
  <c r="AW40" i="5"/>
  <c r="AW146" i="5"/>
  <c r="AW134" i="5"/>
  <c r="AW78" i="5"/>
  <c r="AW21" i="5"/>
  <c r="AW22" i="5"/>
  <c r="AW147" i="5"/>
  <c r="AW86" i="5"/>
  <c r="AW97" i="5"/>
  <c r="AW148" i="5"/>
  <c r="AW65" i="5"/>
  <c r="AW149" i="5"/>
  <c r="AW66" i="5"/>
  <c r="AW79" i="5"/>
  <c r="AW150" i="5"/>
  <c r="AW108" i="5"/>
  <c r="AW87" i="5"/>
  <c r="AW151" i="5"/>
  <c r="AW122" i="5"/>
  <c r="AW109" i="5"/>
  <c r="AW123" i="5"/>
  <c r="AW41" i="5"/>
  <c r="AW67" i="5"/>
  <c r="AW68" i="5"/>
  <c r="AW69" i="5"/>
  <c r="AW152" i="5"/>
  <c r="AW23" i="5"/>
  <c r="AW88" i="5"/>
  <c r="AW24" i="5"/>
  <c r="AW25" i="5"/>
  <c r="AW26" i="5"/>
  <c r="AW110" i="5"/>
  <c r="AW153" i="5"/>
  <c r="AW98" i="5"/>
  <c r="AW42" i="5"/>
  <c r="AW43" i="5"/>
  <c r="AW126" i="5"/>
  <c r="AW99" i="5"/>
  <c r="AW70" i="5"/>
  <c r="AW89" i="5"/>
  <c r="AW111" i="5"/>
  <c r="AW127" i="5"/>
  <c r="AW112" i="5"/>
  <c r="AW135" i="5"/>
  <c r="AW27" i="5"/>
  <c r="AW154" i="5"/>
  <c r="AW71" i="5"/>
  <c r="AW90" i="5"/>
  <c r="AW113" i="5"/>
  <c r="AW114" i="5"/>
  <c r="AW155" i="5"/>
  <c r="AW44" i="5"/>
  <c r="AW124" i="5"/>
  <c r="AW91" i="5"/>
  <c r="AW45" i="5"/>
  <c r="AW72" i="5"/>
  <c r="AW115" i="5"/>
  <c r="AW156" i="5"/>
  <c r="AW73" i="5"/>
  <c r="AW157" i="5"/>
  <c r="AW100" i="5"/>
  <c r="AW46" i="5"/>
  <c r="AW47" i="5"/>
  <c r="AL138" i="5"/>
  <c r="AL57" i="5"/>
  <c r="AL143" i="5"/>
  <c r="AL146" i="5"/>
  <c r="AL147" i="5"/>
  <c r="AL148" i="5"/>
  <c r="AL67" i="5"/>
  <c r="AL155" i="5"/>
  <c r="AK138" i="5"/>
  <c r="AK57" i="5"/>
  <c r="AK143" i="5"/>
  <c r="AK146" i="5"/>
  <c r="AK147" i="5"/>
  <c r="AK148" i="5"/>
  <c r="AK67" i="5"/>
  <c r="AK155" i="5"/>
  <c r="AJ138" i="5"/>
  <c r="AJ57" i="5"/>
  <c r="AJ143" i="5"/>
  <c r="AJ146" i="5"/>
  <c r="AJ147" i="5"/>
  <c r="AJ148" i="5"/>
  <c r="AJ67" i="5"/>
  <c r="AJ155" i="5"/>
  <c r="AI138" i="5"/>
  <c r="AI57" i="5"/>
  <c r="AI143" i="5"/>
  <c r="AI146" i="5"/>
  <c r="AI147" i="5"/>
  <c r="AI148" i="5"/>
  <c r="AI67" i="5"/>
  <c r="AI155" i="5"/>
  <c r="AH138" i="5"/>
  <c r="AH57" i="5"/>
  <c r="AH143" i="5"/>
  <c r="AH146" i="5"/>
  <c r="AH147" i="5"/>
  <c r="AH148" i="5"/>
  <c r="AH67" i="5"/>
  <c r="AH155" i="5"/>
  <c r="AG138" i="5"/>
  <c r="AG57" i="5"/>
  <c r="AG143" i="5"/>
  <c r="AG146" i="5"/>
  <c r="AG147" i="5"/>
  <c r="AG148" i="5"/>
  <c r="AG67" i="5"/>
  <c r="AG155" i="5"/>
  <c r="AF138" i="5"/>
  <c r="AF57" i="5"/>
  <c r="AF143" i="5"/>
  <c r="AF146" i="5"/>
  <c r="AF147" i="5"/>
  <c r="AF148" i="5"/>
  <c r="AF67" i="5"/>
  <c r="AF155" i="5"/>
  <c r="AE138" i="5"/>
  <c r="AE57" i="5"/>
  <c r="AE143" i="5"/>
  <c r="AE146" i="5"/>
  <c r="AE147" i="5"/>
  <c r="AE148" i="5"/>
  <c r="AE67" i="5"/>
  <c r="AE155" i="5"/>
  <c r="AD138" i="5"/>
  <c r="AD57" i="5"/>
  <c r="AD143" i="5"/>
  <c r="AD146" i="5"/>
  <c r="AD147" i="5"/>
  <c r="AD148" i="5"/>
  <c r="AD67" i="5"/>
  <c r="AD155" i="5"/>
  <c r="AC138" i="5"/>
  <c r="AC57" i="5"/>
  <c r="AC143" i="5"/>
  <c r="AC146" i="5"/>
  <c r="AC147" i="5"/>
  <c r="AC148" i="5"/>
  <c r="AC67" i="5"/>
  <c r="AC155" i="5"/>
  <c r="AB138" i="5"/>
  <c r="AB57" i="5"/>
  <c r="AB143" i="5"/>
  <c r="AB146" i="5"/>
  <c r="AB147" i="5"/>
  <c r="AB148" i="5"/>
  <c r="AB67" i="5"/>
  <c r="AB155" i="5"/>
  <c r="AA138" i="5"/>
  <c r="AA57" i="5"/>
  <c r="AA143" i="5"/>
  <c r="AA146" i="5"/>
  <c r="AA147" i="5"/>
  <c r="AA148" i="5"/>
  <c r="AA67" i="5"/>
  <c r="AA155" i="5"/>
  <c r="Z138" i="5"/>
  <c r="Z57" i="5"/>
  <c r="Z143" i="5"/>
  <c r="Z146" i="5"/>
  <c r="Z147" i="5"/>
  <c r="Z148" i="5"/>
  <c r="Z67" i="5"/>
  <c r="Z155" i="5"/>
  <c r="Y138" i="5"/>
  <c r="Y57" i="5"/>
  <c r="Y143" i="5"/>
  <c r="Y146" i="5"/>
  <c r="Y147" i="5"/>
  <c r="Y148" i="5"/>
  <c r="Y67" i="5"/>
  <c r="Y155" i="5"/>
  <c r="X138" i="5"/>
  <c r="X57" i="5"/>
  <c r="X143" i="5"/>
  <c r="X146" i="5"/>
  <c r="X147" i="5"/>
  <c r="X148" i="5"/>
  <c r="X67" i="5"/>
  <c r="X155" i="5"/>
  <c r="W138" i="5"/>
  <c r="W57" i="5"/>
  <c r="W143" i="5"/>
  <c r="W146" i="5"/>
  <c r="W147" i="5"/>
  <c r="W148" i="5"/>
  <c r="W67" i="5"/>
  <c r="W155" i="5"/>
  <c r="V138" i="5"/>
  <c r="V57" i="5"/>
  <c r="V143" i="5"/>
  <c r="V146" i="5"/>
  <c r="V147" i="5"/>
  <c r="V148" i="5"/>
  <c r="V67" i="5"/>
  <c r="V155" i="5"/>
  <c r="U138" i="5"/>
  <c r="U57" i="5"/>
  <c r="U143" i="5"/>
  <c r="U146" i="5"/>
  <c r="U147" i="5"/>
  <c r="U148" i="5"/>
  <c r="U67" i="5"/>
  <c r="U155" i="5"/>
  <c r="T138" i="5"/>
  <c r="T57" i="5"/>
  <c r="T143" i="5"/>
  <c r="T146" i="5"/>
  <c r="T147" i="5"/>
  <c r="T148" i="5"/>
  <c r="T67" i="5"/>
  <c r="T155" i="5"/>
  <c r="S138" i="5"/>
  <c r="S57" i="5"/>
  <c r="S143" i="5"/>
  <c r="S146" i="5"/>
  <c r="S147" i="5"/>
  <c r="S148" i="5"/>
  <c r="S67" i="5"/>
  <c r="S155" i="5"/>
  <c r="R138" i="5"/>
  <c r="R57" i="5"/>
  <c r="R143" i="5"/>
  <c r="R146" i="5"/>
  <c r="R147" i="5"/>
  <c r="R148" i="5"/>
  <c r="R67" i="5"/>
  <c r="R155" i="5"/>
  <c r="Q138" i="5"/>
  <c r="Q57" i="5"/>
  <c r="Q143" i="5"/>
  <c r="Q146" i="5"/>
  <c r="Q147" i="5"/>
  <c r="Q148" i="5"/>
  <c r="Q67" i="5"/>
  <c r="Q155" i="5"/>
  <c r="P48" i="5"/>
  <c r="P50" i="5"/>
  <c r="P6" i="5"/>
  <c r="P57" i="5"/>
  <c r="P60" i="5"/>
  <c r="P118" i="5"/>
  <c r="P121" i="5"/>
  <c r="P147" i="5"/>
  <c r="P67" i="5"/>
  <c r="P69" i="5"/>
  <c r="P25" i="5"/>
  <c r="P110" i="5"/>
  <c r="O84" i="5"/>
  <c r="N92" i="5"/>
  <c r="N101" i="5"/>
  <c r="N2" i="5"/>
  <c r="N3" i="5"/>
  <c r="N48" i="5"/>
  <c r="N49" i="5"/>
  <c r="N102" i="5"/>
  <c r="N103" i="5"/>
  <c r="N50" i="5"/>
  <c r="N80" i="5"/>
  <c r="N128" i="5"/>
  <c r="N51" i="5"/>
  <c r="N116" i="5"/>
  <c r="N52" i="5"/>
  <c r="N4" i="5"/>
  <c r="N129" i="5"/>
  <c r="N74" i="5"/>
  <c r="N104" i="5"/>
  <c r="N28" i="5"/>
  <c r="N53" i="5"/>
  <c r="N105" i="5"/>
  <c r="N5" i="5"/>
  <c r="N29" i="5"/>
  <c r="N6" i="5"/>
  <c r="N136" i="5"/>
  <c r="N7" i="5"/>
  <c r="N30" i="5"/>
  <c r="N8" i="5"/>
  <c r="N54" i="5"/>
  <c r="N137" i="5"/>
  <c r="N55" i="5"/>
  <c r="N9" i="5"/>
  <c r="N31" i="5"/>
  <c r="N138" i="5"/>
  <c r="N56" i="5"/>
  <c r="N32" i="5"/>
  <c r="N130" i="5"/>
  <c r="N33" i="5"/>
  <c r="N93" i="5"/>
  <c r="N57" i="5"/>
  <c r="N58" i="5"/>
  <c r="N75" i="5"/>
  <c r="N94" i="5"/>
  <c r="N59" i="5"/>
  <c r="N10" i="5"/>
  <c r="N34" i="5"/>
  <c r="N117" i="5"/>
  <c r="N35" i="5"/>
  <c r="N139" i="5"/>
  <c r="N11" i="5"/>
  <c r="N12" i="5"/>
  <c r="N106" i="5"/>
  <c r="N13" i="5"/>
  <c r="N60" i="5"/>
  <c r="N76" i="5"/>
  <c r="N14" i="5"/>
  <c r="N15" i="5"/>
  <c r="N61" i="5"/>
  <c r="N77" i="5"/>
  <c r="N62" i="5"/>
  <c r="N118" i="5"/>
  <c r="N131" i="5"/>
  <c r="N125" i="5"/>
  <c r="N81" i="5"/>
  <c r="N95" i="5"/>
  <c r="N63" i="5"/>
  <c r="N82" i="5"/>
  <c r="N119" i="5"/>
  <c r="N36" i="5"/>
  <c r="N140" i="5"/>
  <c r="N83" i="5"/>
  <c r="N107" i="5"/>
  <c r="N141" i="5"/>
  <c r="N120" i="5"/>
  <c r="N84" i="5"/>
  <c r="N37" i="5"/>
  <c r="N16" i="5"/>
  <c r="N85" i="5"/>
  <c r="N121" i="5"/>
  <c r="N17" i="5"/>
  <c r="N38" i="5"/>
  <c r="N142" i="5"/>
  <c r="N132" i="5"/>
  <c r="N18" i="5"/>
  <c r="N143" i="5"/>
  <c r="N19" i="5"/>
  <c r="N20" i="5"/>
  <c r="N64" i="5"/>
  <c r="N144" i="5"/>
  <c r="N145" i="5"/>
  <c r="N96" i="5"/>
  <c r="N39" i="5"/>
  <c r="N133" i="5"/>
  <c r="N40" i="5"/>
  <c r="N146" i="5"/>
  <c r="N134" i="5"/>
  <c r="N78" i="5"/>
  <c r="N21" i="5"/>
  <c r="N22" i="5"/>
  <c r="N147" i="5"/>
  <c r="N86" i="5"/>
  <c r="N97" i="5"/>
  <c r="N148" i="5"/>
  <c r="N65" i="5"/>
  <c r="N149" i="5"/>
  <c r="N66" i="5"/>
  <c r="N79" i="5"/>
  <c r="N150" i="5"/>
  <c r="N108" i="5"/>
  <c r="N87" i="5"/>
  <c r="N151" i="5"/>
  <c r="N122" i="5"/>
  <c r="N109" i="5"/>
  <c r="N123" i="5"/>
  <c r="N41" i="5"/>
  <c r="N67" i="5"/>
  <c r="N68" i="5"/>
  <c r="N69" i="5"/>
  <c r="N152" i="5"/>
  <c r="N23" i="5"/>
  <c r="N88" i="5"/>
  <c r="N24" i="5"/>
  <c r="N25" i="5"/>
  <c r="N26" i="5"/>
  <c r="N110" i="5"/>
  <c r="N153" i="5"/>
  <c r="N98" i="5"/>
  <c r="N42" i="5"/>
  <c r="N43" i="5"/>
  <c r="N126" i="5"/>
  <c r="N99" i="5"/>
  <c r="N70" i="5"/>
  <c r="N89" i="5"/>
  <c r="N111" i="5"/>
  <c r="N127" i="5"/>
  <c r="N112" i="5"/>
  <c r="N135" i="5"/>
  <c r="N27" i="5"/>
  <c r="N154" i="5"/>
  <c r="N71" i="5"/>
  <c r="N90" i="5"/>
  <c r="N113" i="5"/>
  <c r="N114" i="5"/>
  <c r="N155" i="5"/>
  <c r="N44" i="5"/>
  <c r="N124" i="5"/>
  <c r="N91" i="5"/>
  <c r="N45" i="5"/>
  <c r="N72" i="5"/>
  <c r="N115" i="5"/>
  <c r="N156" i="5"/>
  <c r="N73" i="5"/>
  <c r="N157" i="5"/>
  <c r="N100" i="5"/>
  <c r="N46" i="5"/>
  <c r="N47" i="5"/>
  <c r="M92" i="5"/>
  <c r="M101" i="5"/>
  <c r="M2" i="5"/>
  <c r="M3" i="5"/>
  <c r="M48" i="5"/>
  <c r="M49" i="5"/>
  <c r="M102" i="5"/>
  <c r="M103" i="5"/>
  <c r="M50" i="5"/>
  <c r="M80" i="5"/>
  <c r="M128" i="5"/>
  <c r="M51" i="5"/>
  <c r="M116" i="5"/>
  <c r="M52" i="5"/>
  <c r="M4" i="5"/>
  <c r="M129" i="5"/>
  <c r="M74" i="5"/>
  <c r="M104" i="5"/>
  <c r="M28" i="5"/>
  <c r="M53" i="5"/>
  <c r="M105" i="5"/>
  <c r="M5" i="5"/>
  <c r="M29" i="5"/>
  <c r="M6" i="5"/>
  <c r="M136" i="5"/>
  <c r="M7" i="5"/>
  <c r="M30" i="5"/>
  <c r="M8" i="5"/>
  <c r="M54" i="5"/>
  <c r="M137" i="5"/>
  <c r="M55" i="5"/>
  <c r="M9" i="5"/>
  <c r="M31" i="5"/>
  <c r="M138" i="5"/>
  <c r="M56" i="5"/>
  <c r="M32" i="5"/>
  <c r="M130" i="5"/>
  <c r="M33" i="5"/>
  <c r="M93" i="5"/>
  <c r="M57" i="5"/>
  <c r="M58" i="5"/>
  <c r="M75" i="5"/>
  <c r="M94" i="5"/>
  <c r="M59" i="5"/>
  <c r="M10" i="5"/>
  <c r="M34" i="5"/>
  <c r="M117" i="5"/>
  <c r="M35" i="5"/>
  <c r="M139" i="5"/>
  <c r="M11" i="5"/>
  <c r="M12" i="5"/>
  <c r="M106" i="5"/>
  <c r="M13" i="5"/>
  <c r="M60" i="5"/>
  <c r="M76" i="5"/>
  <c r="M14" i="5"/>
  <c r="M15" i="5"/>
  <c r="M61" i="5"/>
  <c r="M77" i="5"/>
  <c r="M62" i="5"/>
  <c r="M118" i="5"/>
  <c r="M131" i="5"/>
  <c r="M125" i="5"/>
  <c r="M81" i="5"/>
  <c r="M95" i="5"/>
  <c r="M63" i="5"/>
  <c r="M82" i="5"/>
  <c r="M119" i="5"/>
  <c r="M36" i="5"/>
  <c r="M140" i="5"/>
  <c r="M83" i="5"/>
  <c r="M107" i="5"/>
  <c r="M141" i="5"/>
  <c r="M120" i="5"/>
  <c r="M84" i="5"/>
  <c r="M37" i="5"/>
  <c r="M16" i="5"/>
  <c r="M85" i="5"/>
  <c r="M121" i="5"/>
  <c r="M17" i="5"/>
  <c r="M38" i="5"/>
  <c r="M142" i="5"/>
  <c r="M132" i="5"/>
  <c r="M18" i="5"/>
  <c r="M143" i="5"/>
  <c r="M19" i="5"/>
  <c r="M20" i="5"/>
  <c r="M64" i="5"/>
  <c r="M144" i="5"/>
  <c r="M145" i="5"/>
  <c r="M96" i="5"/>
  <c r="M39" i="5"/>
  <c r="M133" i="5"/>
  <c r="M40" i="5"/>
  <c r="M146" i="5"/>
  <c r="M134" i="5"/>
  <c r="M78" i="5"/>
  <c r="M21" i="5"/>
  <c r="M22" i="5"/>
  <c r="M147" i="5"/>
  <c r="M86" i="5"/>
  <c r="M97" i="5"/>
  <c r="M148" i="5"/>
  <c r="M65" i="5"/>
  <c r="M149" i="5"/>
  <c r="M66" i="5"/>
  <c r="M79" i="5"/>
  <c r="M150" i="5"/>
  <c r="M108" i="5"/>
  <c r="M87" i="5"/>
  <c r="M151" i="5"/>
  <c r="M122" i="5"/>
  <c r="M109" i="5"/>
  <c r="M123" i="5"/>
  <c r="M41" i="5"/>
  <c r="M67" i="5"/>
  <c r="M68" i="5"/>
  <c r="M69" i="5"/>
  <c r="M152" i="5"/>
  <c r="M23" i="5"/>
  <c r="M88" i="5"/>
  <c r="M24" i="5"/>
  <c r="M25" i="5"/>
  <c r="M26" i="5"/>
  <c r="M110" i="5"/>
  <c r="M153" i="5"/>
  <c r="M98" i="5"/>
  <c r="M42" i="5"/>
  <c r="M43" i="5"/>
  <c r="M126" i="5"/>
  <c r="M99" i="5"/>
  <c r="M70" i="5"/>
  <c r="M89" i="5"/>
  <c r="M111" i="5"/>
  <c r="M127" i="5"/>
  <c r="M112" i="5"/>
  <c r="M135" i="5"/>
  <c r="M27" i="5"/>
  <c r="M154" i="5"/>
  <c r="M71" i="5"/>
  <c r="M90" i="5"/>
  <c r="M113" i="5"/>
  <c r="M114" i="5"/>
  <c r="M155" i="5"/>
  <c r="M44" i="5"/>
  <c r="M124" i="5"/>
  <c r="M91" i="5"/>
  <c r="M45" i="5"/>
  <c r="M72" i="5"/>
  <c r="M115" i="5"/>
  <c r="M156" i="5"/>
  <c r="M73" i="5"/>
  <c r="M157" i="5"/>
  <c r="M100" i="5"/>
  <c r="M46" i="5"/>
  <c r="M47" i="5"/>
  <c r="L92" i="5"/>
  <c r="L101" i="5"/>
  <c r="L2" i="5"/>
  <c r="L3" i="5"/>
  <c r="L48" i="5"/>
  <c r="L49" i="5"/>
  <c r="L102" i="5"/>
  <c r="L103" i="5"/>
  <c r="L50" i="5"/>
  <c r="L80" i="5"/>
  <c r="L128" i="5"/>
  <c r="L51" i="5"/>
  <c r="L116" i="5"/>
  <c r="L52" i="5"/>
  <c r="L4" i="5"/>
  <c r="L129" i="5"/>
  <c r="L74" i="5"/>
  <c r="L104" i="5"/>
  <c r="L28" i="5"/>
  <c r="L53" i="5"/>
  <c r="L105" i="5"/>
  <c r="L5" i="5"/>
  <c r="L29" i="5"/>
  <c r="L6" i="5"/>
  <c r="L136" i="5"/>
  <c r="L7" i="5"/>
  <c r="L30" i="5"/>
  <c r="L8" i="5"/>
  <c r="L54" i="5"/>
  <c r="L137" i="5"/>
  <c r="L55" i="5"/>
  <c r="L9" i="5"/>
  <c r="L31" i="5"/>
  <c r="L138" i="5"/>
  <c r="L56" i="5"/>
  <c r="L32" i="5"/>
  <c r="L130" i="5"/>
  <c r="L33" i="5"/>
  <c r="L93" i="5"/>
  <c r="L57" i="5"/>
  <c r="L58" i="5"/>
  <c r="L75" i="5"/>
  <c r="L94" i="5"/>
  <c r="L59" i="5"/>
  <c r="L10" i="5"/>
  <c r="L34" i="5"/>
  <c r="L117" i="5"/>
  <c r="L35" i="5"/>
  <c r="L139" i="5"/>
  <c r="L11" i="5"/>
  <c r="L12" i="5"/>
  <c r="L106" i="5"/>
  <c r="L13" i="5"/>
  <c r="L60" i="5"/>
  <c r="L76" i="5"/>
  <c r="L14" i="5"/>
  <c r="L15" i="5"/>
  <c r="L61" i="5"/>
  <c r="L77" i="5"/>
  <c r="L62" i="5"/>
  <c r="L118" i="5"/>
  <c r="L131" i="5"/>
  <c r="L125" i="5"/>
  <c r="L81" i="5"/>
  <c r="L95" i="5"/>
  <c r="L63" i="5"/>
  <c r="L82" i="5"/>
  <c r="L119" i="5"/>
  <c r="L36" i="5"/>
  <c r="L140" i="5"/>
  <c r="L83" i="5"/>
  <c r="L107" i="5"/>
  <c r="L141" i="5"/>
  <c r="L120" i="5"/>
  <c r="L84" i="5"/>
  <c r="L37" i="5"/>
  <c r="L16" i="5"/>
  <c r="L85" i="5"/>
  <c r="L121" i="5"/>
  <c r="L17" i="5"/>
  <c r="L38" i="5"/>
  <c r="L142" i="5"/>
  <c r="L132" i="5"/>
  <c r="L18" i="5"/>
  <c r="L143" i="5"/>
  <c r="L19" i="5"/>
  <c r="L20" i="5"/>
  <c r="L64" i="5"/>
  <c r="L144" i="5"/>
  <c r="L145" i="5"/>
  <c r="L96" i="5"/>
  <c r="L39" i="5"/>
  <c r="L133" i="5"/>
  <c r="L40" i="5"/>
  <c r="L146" i="5"/>
  <c r="L134" i="5"/>
  <c r="L78" i="5"/>
  <c r="L21" i="5"/>
  <c r="L22" i="5"/>
  <c r="L147" i="5"/>
  <c r="L86" i="5"/>
  <c r="L97" i="5"/>
  <c r="L148" i="5"/>
  <c r="L65" i="5"/>
  <c r="L149" i="5"/>
  <c r="L66" i="5"/>
  <c r="L79" i="5"/>
  <c r="L150" i="5"/>
  <c r="L108" i="5"/>
  <c r="L87" i="5"/>
  <c r="L151" i="5"/>
  <c r="L122" i="5"/>
  <c r="L109" i="5"/>
  <c r="L123" i="5"/>
  <c r="L41" i="5"/>
  <c r="L67" i="5"/>
  <c r="L68" i="5"/>
  <c r="L69" i="5"/>
  <c r="L152" i="5"/>
  <c r="L23" i="5"/>
  <c r="L88" i="5"/>
  <c r="L24" i="5"/>
  <c r="L25" i="5"/>
  <c r="L26" i="5"/>
  <c r="L110" i="5"/>
  <c r="L153" i="5"/>
  <c r="L98" i="5"/>
  <c r="L42" i="5"/>
  <c r="L43" i="5"/>
  <c r="L126" i="5"/>
  <c r="L99" i="5"/>
  <c r="L70" i="5"/>
  <c r="L89" i="5"/>
  <c r="L111" i="5"/>
  <c r="L127" i="5"/>
  <c r="L112" i="5"/>
  <c r="L135" i="5"/>
  <c r="L27" i="5"/>
  <c r="L154" i="5"/>
  <c r="L71" i="5"/>
  <c r="L90" i="5"/>
  <c r="L113" i="5"/>
  <c r="L114" i="5"/>
  <c r="L155" i="5"/>
  <c r="L44" i="5"/>
  <c r="L124" i="5"/>
  <c r="L91" i="5"/>
  <c r="L45" i="5"/>
  <c r="L72" i="5"/>
  <c r="L115" i="5"/>
  <c r="L156" i="5"/>
  <c r="L73" i="5"/>
  <c r="L157" i="5"/>
  <c r="L100" i="5"/>
  <c r="L46" i="5"/>
  <c r="L47" i="5"/>
  <c r="K92" i="5"/>
  <c r="K101" i="5"/>
  <c r="K2" i="5"/>
  <c r="K3" i="5"/>
  <c r="K48" i="5"/>
  <c r="K49" i="5"/>
  <c r="K102" i="5"/>
  <c r="K103" i="5"/>
  <c r="K50" i="5"/>
  <c r="K80" i="5"/>
  <c r="K128" i="5"/>
  <c r="K51" i="5"/>
  <c r="K116" i="5"/>
  <c r="K52" i="5"/>
  <c r="K4" i="5"/>
  <c r="K129" i="5"/>
  <c r="K74" i="5"/>
  <c r="K104" i="5"/>
  <c r="K28" i="5"/>
  <c r="K53" i="5"/>
  <c r="K105" i="5"/>
  <c r="K5" i="5"/>
  <c r="K29" i="5"/>
  <c r="K6" i="5"/>
  <c r="K136" i="5"/>
  <c r="K7" i="5"/>
  <c r="K30" i="5"/>
  <c r="K8" i="5"/>
  <c r="K54" i="5"/>
  <c r="K137" i="5"/>
  <c r="K55" i="5"/>
  <c r="K9" i="5"/>
  <c r="K31" i="5"/>
  <c r="K138" i="5"/>
  <c r="K56" i="5"/>
  <c r="K32" i="5"/>
  <c r="K130" i="5"/>
  <c r="K33" i="5"/>
  <c r="K93" i="5"/>
  <c r="K57" i="5"/>
  <c r="K58" i="5"/>
  <c r="K75" i="5"/>
  <c r="K94" i="5"/>
  <c r="K59" i="5"/>
  <c r="K10" i="5"/>
  <c r="K34" i="5"/>
  <c r="K117" i="5"/>
  <c r="K35" i="5"/>
  <c r="K139" i="5"/>
  <c r="K11" i="5"/>
  <c r="K12" i="5"/>
  <c r="K106" i="5"/>
  <c r="K13" i="5"/>
  <c r="K60" i="5"/>
  <c r="K76" i="5"/>
  <c r="K14" i="5"/>
  <c r="K15" i="5"/>
  <c r="K61" i="5"/>
  <c r="K77" i="5"/>
  <c r="K62" i="5"/>
  <c r="K118" i="5"/>
  <c r="K131" i="5"/>
  <c r="K125" i="5"/>
  <c r="K81" i="5"/>
  <c r="K95" i="5"/>
  <c r="K63" i="5"/>
  <c r="K82" i="5"/>
  <c r="K119" i="5"/>
  <c r="K36" i="5"/>
  <c r="K140" i="5"/>
  <c r="K83" i="5"/>
  <c r="K107" i="5"/>
  <c r="K141" i="5"/>
  <c r="K120" i="5"/>
  <c r="K84" i="5"/>
  <c r="K37" i="5"/>
  <c r="K16" i="5"/>
  <c r="K85" i="5"/>
  <c r="K121" i="5"/>
  <c r="K17" i="5"/>
  <c r="K38" i="5"/>
  <c r="K142" i="5"/>
  <c r="K132" i="5"/>
  <c r="K18" i="5"/>
  <c r="K143" i="5"/>
  <c r="K19" i="5"/>
  <c r="K20" i="5"/>
  <c r="K64" i="5"/>
  <c r="K144" i="5"/>
  <c r="K145" i="5"/>
  <c r="K96" i="5"/>
  <c r="K39" i="5"/>
  <c r="K133" i="5"/>
  <c r="K40" i="5"/>
  <c r="K146" i="5"/>
  <c r="K134" i="5"/>
  <c r="K78" i="5"/>
  <c r="K21" i="5"/>
  <c r="K22" i="5"/>
  <c r="K147" i="5"/>
  <c r="K86" i="5"/>
  <c r="K97" i="5"/>
  <c r="K148" i="5"/>
  <c r="K65" i="5"/>
  <c r="K149" i="5"/>
  <c r="K66" i="5"/>
  <c r="K79" i="5"/>
  <c r="K150" i="5"/>
  <c r="K108" i="5"/>
  <c r="K87" i="5"/>
  <c r="K151" i="5"/>
  <c r="K122" i="5"/>
  <c r="K109" i="5"/>
  <c r="K123" i="5"/>
  <c r="K41" i="5"/>
  <c r="K67" i="5"/>
  <c r="K68" i="5"/>
  <c r="K69" i="5"/>
  <c r="K152" i="5"/>
  <c r="K23" i="5"/>
  <c r="K88" i="5"/>
  <c r="K24" i="5"/>
  <c r="K25" i="5"/>
  <c r="K26" i="5"/>
  <c r="K110" i="5"/>
  <c r="K153" i="5"/>
  <c r="K98" i="5"/>
  <c r="K42" i="5"/>
  <c r="K43" i="5"/>
  <c r="K126" i="5"/>
  <c r="K99" i="5"/>
  <c r="K70" i="5"/>
  <c r="K89" i="5"/>
  <c r="K111" i="5"/>
  <c r="K127" i="5"/>
  <c r="K112" i="5"/>
  <c r="K135" i="5"/>
  <c r="K27" i="5"/>
  <c r="K154" i="5"/>
  <c r="K71" i="5"/>
  <c r="K90" i="5"/>
  <c r="K113" i="5"/>
  <c r="K114" i="5"/>
  <c r="K155" i="5"/>
  <c r="K44" i="5"/>
  <c r="K124" i="5"/>
  <c r="K91" i="5"/>
  <c r="K45" i="5"/>
  <c r="K72" i="5"/>
  <c r="K115" i="5"/>
  <c r="K156" i="5"/>
  <c r="K73" i="5"/>
  <c r="K157" i="5"/>
  <c r="K100" i="5"/>
  <c r="K46" i="5"/>
  <c r="K47" i="5"/>
  <c r="J92" i="5"/>
  <c r="J101" i="5"/>
  <c r="J2" i="5"/>
  <c r="J3" i="5"/>
  <c r="J48" i="5"/>
  <c r="J49" i="5"/>
  <c r="J102" i="5"/>
  <c r="J103" i="5"/>
  <c r="J50" i="5"/>
  <c r="J80" i="5"/>
  <c r="J128" i="5"/>
  <c r="J51" i="5"/>
  <c r="J116" i="5"/>
  <c r="J52" i="5"/>
  <c r="J4" i="5"/>
  <c r="J129" i="5"/>
  <c r="J74" i="5"/>
  <c r="J104" i="5"/>
  <c r="J28" i="5"/>
  <c r="J53" i="5"/>
  <c r="J105" i="5"/>
  <c r="J5" i="5"/>
  <c r="J29" i="5"/>
  <c r="J6" i="5"/>
  <c r="J136" i="5"/>
  <c r="J7" i="5"/>
  <c r="J30" i="5"/>
  <c r="J8" i="5"/>
  <c r="J54" i="5"/>
  <c r="J137" i="5"/>
  <c r="J55" i="5"/>
  <c r="J9" i="5"/>
  <c r="J31" i="5"/>
  <c r="J138" i="5"/>
  <c r="J56" i="5"/>
  <c r="J32" i="5"/>
  <c r="J130" i="5"/>
  <c r="J33" i="5"/>
  <c r="J93" i="5"/>
  <c r="J57" i="5"/>
  <c r="J58" i="5"/>
  <c r="J75" i="5"/>
  <c r="J94" i="5"/>
  <c r="J59" i="5"/>
  <c r="J10" i="5"/>
  <c r="J34" i="5"/>
  <c r="J117" i="5"/>
  <c r="J35" i="5"/>
  <c r="J139" i="5"/>
  <c r="J11" i="5"/>
  <c r="J12" i="5"/>
  <c r="J106" i="5"/>
  <c r="J13" i="5"/>
  <c r="J60" i="5"/>
  <c r="J76" i="5"/>
  <c r="J14" i="5"/>
  <c r="J15" i="5"/>
  <c r="J61" i="5"/>
  <c r="J77" i="5"/>
  <c r="J62" i="5"/>
  <c r="J118" i="5"/>
  <c r="J131" i="5"/>
  <c r="J125" i="5"/>
  <c r="J81" i="5"/>
  <c r="J95" i="5"/>
  <c r="J63" i="5"/>
  <c r="J82" i="5"/>
  <c r="J119" i="5"/>
  <c r="J36" i="5"/>
  <c r="J140" i="5"/>
  <c r="J83" i="5"/>
  <c r="J107" i="5"/>
  <c r="J141" i="5"/>
  <c r="J120" i="5"/>
  <c r="J84" i="5"/>
  <c r="J37" i="5"/>
  <c r="J16" i="5"/>
  <c r="J85" i="5"/>
  <c r="J121" i="5"/>
  <c r="J17" i="5"/>
  <c r="J38" i="5"/>
  <c r="J142" i="5"/>
  <c r="J132" i="5"/>
  <c r="J18" i="5"/>
  <c r="J143" i="5"/>
  <c r="J19" i="5"/>
  <c r="J20" i="5"/>
  <c r="J64" i="5"/>
  <c r="J144" i="5"/>
  <c r="J145" i="5"/>
  <c r="J96" i="5"/>
  <c r="J39" i="5"/>
  <c r="J133" i="5"/>
  <c r="J40" i="5"/>
  <c r="J146" i="5"/>
  <c r="J134" i="5"/>
  <c r="J78" i="5"/>
  <c r="J21" i="5"/>
  <c r="J22" i="5"/>
  <c r="J147" i="5"/>
  <c r="J86" i="5"/>
  <c r="J97" i="5"/>
  <c r="J148" i="5"/>
  <c r="J65" i="5"/>
  <c r="J149" i="5"/>
  <c r="J66" i="5"/>
  <c r="J79" i="5"/>
  <c r="J150" i="5"/>
  <c r="J108" i="5"/>
  <c r="J87" i="5"/>
  <c r="J151" i="5"/>
  <c r="J122" i="5"/>
  <c r="J109" i="5"/>
  <c r="J123" i="5"/>
  <c r="J41" i="5"/>
  <c r="J67" i="5"/>
  <c r="J68" i="5"/>
  <c r="J69" i="5"/>
  <c r="J152" i="5"/>
  <c r="J23" i="5"/>
  <c r="J88" i="5"/>
  <c r="J24" i="5"/>
  <c r="J25" i="5"/>
  <c r="J26" i="5"/>
  <c r="J110" i="5"/>
  <c r="J153" i="5"/>
  <c r="J98" i="5"/>
  <c r="J42" i="5"/>
  <c r="J43" i="5"/>
  <c r="J126" i="5"/>
  <c r="J99" i="5"/>
  <c r="J70" i="5"/>
  <c r="J89" i="5"/>
  <c r="J111" i="5"/>
  <c r="J127" i="5"/>
  <c r="J112" i="5"/>
  <c r="J135" i="5"/>
  <c r="J27" i="5"/>
  <c r="J154" i="5"/>
  <c r="J71" i="5"/>
  <c r="J90" i="5"/>
  <c r="J113" i="5"/>
  <c r="J114" i="5"/>
  <c r="J155" i="5"/>
  <c r="J44" i="5"/>
  <c r="J124" i="5"/>
  <c r="J91" i="5"/>
  <c r="J45" i="5"/>
  <c r="J72" i="5"/>
  <c r="J115" i="5"/>
  <c r="J156" i="5"/>
  <c r="J73" i="5"/>
  <c r="J157" i="5"/>
  <c r="J100" i="5"/>
  <c r="J46" i="5"/>
  <c r="J47" i="5"/>
  <c r="E92" i="5"/>
  <c r="E101" i="5"/>
  <c r="E2" i="5"/>
  <c r="E3" i="5"/>
  <c r="E48" i="5"/>
  <c r="E49" i="5"/>
  <c r="E102" i="5"/>
  <c r="E103" i="5"/>
  <c r="E50" i="5"/>
  <c r="E80" i="5"/>
  <c r="E128" i="5"/>
  <c r="E51" i="5"/>
  <c r="E116" i="5"/>
  <c r="E52" i="5"/>
  <c r="E4" i="5"/>
  <c r="E129" i="5"/>
  <c r="E74" i="5"/>
  <c r="E104" i="5"/>
  <c r="E28" i="5"/>
  <c r="E53" i="5"/>
  <c r="E105" i="5"/>
  <c r="E5" i="5"/>
  <c r="E29" i="5"/>
  <c r="E6" i="5"/>
  <c r="E136" i="5"/>
  <c r="E7" i="5"/>
  <c r="E30" i="5"/>
  <c r="E8" i="5"/>
  <c r="E54" i="5"/>
  <c r="E137" i="5"/>
  <c r="E55" i="5"/>
  <c r="E9" i="5"/>
  <c r="E31" i="5"/>
  <c r="E138" i="5"/>
  <c r="E56" i="5"/>
  <c r="E32" i="5"/>
  <c r="E130" i="5"/>
  <c r="E33" i="5"/>
  <c r="E93" i="5"/>
  <c r="E57" i="5"/>
  <c r="E58" i="5"/>
  <c r="E75" i="5"/>
  <c r="E94" i="5"/>
  <c r="E59" i="5"/>
  <c r="E10" i="5"/>
  <c r="E34" i="5"/>
  <c r="E117" i="5"/>
  <c r="E35" i="5"/>
  <c r="E139" i="5"/>
  <c r="E11" i="5"/>
  <c r="E12" i="5"/>
  <c r="E106" i="5"/>
  <c r="E13" i="5"/>
  <c r="E60" i="5"/>
  <c r="E76" i="5"/>
  <c r="E14" i="5"/>
  <c r="E15" i="5"/>
  <c r="E61" i="5"/>
  <c r="E77" i="5"/>
  <c r="E62" i="5"/>
  <c r="E118" i="5"/>
  <c r="E131" i="5"/>
  <c r="E125" i="5"/>
  <c r="E81" i="5"/>
  <c r="E95" i="5"/>
  <c r="E63" i="5"/>
  <c r="E82" i="5"/>
  <c r="E119" i="5"/>
  <c r="E36" i="5"/>
  <c r="E140" i="5"/>
  <c r="E83" i="5"/>
  <c r="E107" i="5"/>
  <c r="E141" i="5"/>
  <c r="E120" i="5"/>
  <c r="E84" i="5"/>
  <c r="E37" i="5"/>
  <c r="E16" i="5"/>
  <c r="E85" i="5"/>
  <c r="E121" i="5"/>
  <c r="E17" i="5"/>
  <c r="E38" i="5"/>
  <c r="E142" i="5"/>
  <c r="E132" i="5"/>
  <c r="E18" i="5"/>
  <c r="E143" i="5"/>
  <c r="E19" i="5"/>
  <c r="E20" i="5"/>
  <c r="E64" i="5"/>
  <c r="E144" i="5"/>
  <c r="E145" i="5"/>
  <c r="E96" i="5"/>
  <c r="E39" i="5"/>
  <c r="E133" i="5"/>
  <c r="E40" i="5"/>
  <c r="E146" i="5"/>
  <c r="E134" i="5"/>
  <c r="E78" i="5"/>
  <c r="E21" i="5"/>
  <c r="E22" i="5"/>
  <c r="E147" i="5"/>
  <c r="E86" i="5"/>
  <c r="E97" i="5"/>
  <c r="E148" i="5"/>
  <c r="E65" i="5"/>
  <c r="E149" i="5"/>
  <c r="E66" i="5"/>
  <c r="E79" i="5"/>
  <c r="E150" i="5"/>
  <c r="E108" i="5"/>
  <c r="E87" i="5"/>
  <c r="E151" i="5"/>
  <c r="E122" i="5"/>
  <c r="E109" i="5"/>
  <c r="E123" i="5"/>
  <c r="E41" i="5"/>
  <c r="E67" i="5"/>
  <c r="E68" i="5"/>
  <c r="E69" i="5"/>
  <c r="E152" i="5"/>
  <c r="E23" i="5"/>
  <c r="E88" i="5"/>
  <c r="E24" i="5"/>
  <c r="E25" i="5"/>
  <c r="E26" i="5"/>
  <c r="E110" i="5"/>
  <c r="E153" i="5"/>
  <c r="E98" i="5"/>
  <c r="E42" i="5"/>
  <c r="E43" i="5"/>
  <c r="E126" i="5"/>
  <c r="E99" i="5"/>
  <c r="E70" i="5"/>
  <c r="E89" i="5"/>
  <c r="E111" i="5"/>
  <c r="E127" i="5"/>
  <c r="E112" i="5"/>
  <c r="E135" i="5"/>
  <c r="E27" i="5"/>
  <c r="E154" i="5"/>
  <c r="E71" i="5"/>
  <c r="E90" i="5"/>
  <c r="E113" i="5"/>
  <c r="E114" i="5"/>
  <c r="E155" i="5"/>
  <c r="E44" i="5"/>
  <c r="E124" i="5"/>
  <c r="E91" i="5"/>
  <c r="E45" i="5"/>
  <c r="E72" i="5"/>
  <c r="E115" i="5"/>
  <c r="E156" i="5"/>
  <c r="E73" i="5"/>
  <c r="E157" i="5"/>
  <c r="E100" i="5"/>
  <c r="E46" i="5"/>
  <c r="E47" i="5"/>
  <c r="D42" i="3"/>
  <c r="D40" i="3"/>
  <c r="D39" i="3"/>
  <c r="D38" i="3"/>
  <c r="D37" i="3"/>
  <c r="D33" i="3"/>
  <c r="D32" i="3"/>
  <c r="D31" i="3"/>
  <c r="D30" i="3"/>
  <c r="D29" i="3"/>
  <c r="D28" i="3"/>
  <c r="D16" i="3"/>
  <c r="D15" i="3"/>
  <c r="D14" i="3"/>
  <c r="L9" i="3"/>
  <c r="F7" i="4" s="1"/>
  <c r="AQ158" i="5" s="1"/>
  <c r="K9" i="3"/>
  <c r="E7" i="4" s="1"/>
  <c r="AP158" i="5" s="1"/>
  <c r="J9" i="3"/>
  <c r="D7" i="4" s="1"/>
  <c r="AO158" i="5" s="1"/>
  <c r="I9" i="3"/>
  <c r="C7" i="4" s="1"/>
  <c r="AN158" i="5" s="1"/>
  <c r="H9" i="3"/>
  <c r="B7" i="4" s="1"/>
  <c r="AM158" i="5" s="1"/>
  <c r="L8" i="3"/>
  <c r="F6" i="4" s="1"/>
  <c r="K8" i="3"/>
  <c r="E6" i="4" s="1"/>
  <c r="J8" i="3"/>
  <c r="D6" i="4" s="1"/>
  <c r="I8" i="3"/>
  <c r="C6" i="4" s="1"/>
  <c r="H8" i="3"/>
  <c r="B6" i="4" s="1"/>
  <c r="L7" i="3"/>
  <c r="F5" i="4" s="1"/>
  <c r="K7" i="3"/>
  <c r="E5" i="4" s="1"/>
  <c r="J7" i="3"/>
  <c r="D5" i="4" s="1"/>
  <c r="I7" i="3"/>
  <c r="C5" i="4" s="1"/>
  <c r="H7" i="3"/>
  <c r="B5" i="4" s="1"/>
  <c r="L6" i="3"/>
  <c r="F4" i="4" s="1"/>
  <c r="K6" i="3"/>
  <c r="E4" i="4" s="1"/>
  <c r="J6" i="3"/>
  <c r="D4" i="4" s="1"/>
  <c r="I6" i="3"/>
  <c r="C4" i="4" s="1"/>
  <c r="H6" i="3"/>
  <c r="B4" i="4" s="1"/>
  <c r="L5" i="3"/>
  <c r="F3" i="4" s="1"/>
  <c r="K5" i="3"/>
  <c r="E3" i="4" s="1"/>
  <c r="J5" i="3"/>
  <c r="D3" i="4" s="1"/>
  <c r="I5" i="3"/>
  <c r="C3" i="4" s="1"/>
  <c r="H5" i="3"/>
  <c r="B3" i="4" s="1"/>
  <c r="L4" i="3"/>
  <c r="F2" i="4" s="1"/>
  <c r="K4" i="3"/>
  <c r="E2" i="4" s="1"/>
  <c r="J4" i="3"/>
  <c r="D2" i="4" s="1"/>
  <c r="I4" i="3"/>
  <c r="C2" i="4" s="1"/>
  <c r="H4" i="3"/>
  <c r="B2" i="4" s="1"/>
  <c r="BU166" i="2"/>
  <c r="BT166" i="2"/>
  <c r="AL47" i="5" s="1"/>
  <c r="BS166" i="2"/>
  <c r="AK47" i="5" s="1"/>
  <c r="BR166" i="2"/>
  <c r="AJ47" i="5" s="1"/>
  <c r="BQ166" i="2"/>
  <c r="AI47" i="5" s="1"/>
  <c r="BP166" i="2"/>
  <c r="AH47" i="5" s="1"/>
  <c r="BO166" i="2"/>
  <c r="AG47" i="5" s="1"/>
  <c r="BN166" i="2"/>
  <c r="AF47" i="5" s="1"/>
  <c r="BM166" i="2"/>
  <c r="AE47" i="5" s="1"/>
  <c r="BL166" i="2"/>
  <c r="AD47" i="5" s="1"/>
  <c r="BK166" i="2"/>
  <c r="AC47" i="5" s="1"/>
  <c r="BJ166" i="2"/>
  <c r="AB47" i="5" s="1"/>
  <c r="BI166" i="2"/>
  <c r="AA47" i="5" s="1"/>
  <c r="BH166" i="2"/>
  <c r="Z47" i="5" s="1"/>
  <c r="BG166" i="2"/>
  <c r="Y47" i="5" s="1"/>
  <c r="BF166" i="2"/>
  <c r="X47" i="5" s="1"/>
  <c r="BE166" i="2"/>
  <c r="W47" i="5" s="1"/>
  <c r="BD166" i="2"/>
  <c r="V47" i="5" s="1"/>
  <c r="BC166" i="2"/>
  <c r="U47" i="5" s="1"/>
  <c r="BB166" i="2"/>
  <c r="T47" i="5" s="1"/>
  <c r="BA166" i="2"/>
  <c r="S47" i="5" s="1"/>
  <c r="AZ166" i="2"/>
  <c r="R47" i="5" s="1"/>
  <c r="AY166" i="2"/>
  <c r="Q47" i="5" s="1"/>
  <c r="BU165" i="2"/>
  <c r="BT165" i="2"/>
  <c r="AL46" i="5" s="1"/>
  <c r="BS165" i="2"/>
  <c r="AK46" i="5" s="1"/>
  <c r="BR165" i="2"/>
  <c r="AJ46" i="5" s="1"/>
  <c r="BQ165" i="2"/>
  <c r="AI46" i="5" s="1"/>
  <c r="BP165" i="2"/>
  <c r="AH46" i="5" s="1"/>
  <c r="BO165" i="2"/>
  <c r="AG46" i="5" s="1"/>
  <c r="BN165" i="2"/>
  <c r="AF46" i="5" s="1"/>
  <c r="BM165" i="2"/>
  <c r="AE46" i="5" s="1"/>
  <c r="BL165" i="2"/>
  <c r="AD46" i="5" s="1"/>
  <c r="BK165" i="2"/>
  <c r="AC46" i="5" s="1"/>
  <c r="BJ165" i="2"/>
  <c r="AB46" i="5" s="1"/>
  <c r="BI165" i="2"/>
  <c r="AA46" i="5" s="1"/>
  <c r="BH165" i="2"/>
  <c r="Z46" i="5" s="1"/>
  <c r="BG165" i="2"/>
  <c r="Y46" i="5" s="1"/>
  <c r="BF165" i="2"/>
  <c r="X46" i="5" s="1"/>
  <c r="BE165" i="2"/>
  <c r="W46" i="5" s="1"/>
  <c r="BD165" i="2"/>
  <c r="V46" i="5" s="1"/>
  <c r="BC165" i="2"/>
  <c r="U46" i="5" s="1"/>
  <c r="BB165" i="2"/>
  <c r="T46" i="5" s="1"/>
  <c r="BA165" i="2"/>
  <c r="S46" i="5" s="1"/>
  <c r="AZ165" i="2"/>
  <c r="R46" i="5" s="1"/>
  <c r="AY165" i="2"/>
  <c r="Q46" i="5" s="1"/>
  <c r="BU164" i="2"/>
  <c r="BT164" i="2"/>
  <c r="AL100" i="5" s="1"/>
  <c r="BS164" i="2"/>
  <c r="AK100" i="5" s="1"/>
  <c r="BR164" i="2"/>
  <c r="AJ100" i="5" s="1"/>
  <c r="BQ164" i="2"/>
  <c r="AI100" i="5" s="1"/>
  <c r="BP164" i="2"/>
  <c r="AH100" i="5" s="1"/>
  <c r="BO164" i="2"/>
  <c r="AG100" i="5" s="1"/>
  <c r="BN164" i="2"/>
  <c r="AF100" i="5" s="1"/>
  <c r="BM164" i="2"/>
  <c r="AE100" i="5" s="1"/>
  <c r="BL164" i="2"/>
  <c r="AD100" i="5" s="1"/>
  <c r="BK164" i="2"/>
  <c r="AC100" i="5" s="1"/>
  <c r="BJ164" i="2"/>
  <c r="AB100" i="5" s="1"/>
  <c r="BI164" i="2"/>
  <c r="AA100" i="5" s="1"/>
  <c r="BH164" i="2"/>
  <c r="Z100" i="5" s="1"/>
  <c r="BG164" i="2"/>
  <c r="Y100" i="5" s="1"/>
  <c r="BF164" i="2"/>
  <c r="X100" i="5" s="1"/>
  <c r="BE164" i="2"/>
  <c r="W100" i="5" s="1"/>
  <c r="BD164" i="2"/>
  <c r="V100" i="5" s="1"/>
  <c r="BC164" i="2"/>
  <c r="U100" i="5" s="1"/>
  <c r="BB164" i="2"/>
  <c r="T100" i="5" s="1"/>
  <c r="BA164" i="2"/>
  <c r="S100" i="5" s="1"/>
  <c r="AZ164" i="2"/>
  <c r="R100" i="5" s="1"/>
  <c r="AY164" i="2"/>
  <c r="Q100" i="5" s="1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S157" i="5" s="1"/>
  <c r="AZ163" i="2"/>
  <c r="AY163" i="2"/>
  <c r="Q157" i="5" s="1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R73" i="5" s="1"/>
  <c r="AY162" i="2"/>
  <c r="BU161" i="2"/>
  <c r="BT161" i="2"/>
  <c r="AL156" i="5" s="1"/>
  <c r="BS161" i="2"/>
  <c r="AK156" i="5" s="1"/>
  <c r="BR161" i="2"/>
  <c r="AJ156" i="5" s="1"/>
  <c r="BQ161" i="2"/>
  <c r="AI156" i="5" s="1"/>
  <c r="BP161" i="2"/>
  <c r="AH156" i="5" s="1"/>
  <c r="BO161" i="2"/>
  <c r="AG156" i="5" s="1"/>
  <c r="BN161" i="2"/>
  <c r="AF156" i="5" s="1"/>
  <c r="BM161" i="2"/>
  <c r="AE156" i="5" s="1"/>
  <c r="BL161" i="2"/>
  <c r="AD156" i="5" s="1"/>
  <c r="BK161" i="2"/>
  <c r="AC156" i="5" s="1"/>
  <c r="BJ161" i="2"/>
  <c r="AB156" i="5" s="1"/>
  <c r="BI161" i="2"/>
  <c r="AA156" i="5" s="1"/>
  <c r="BH161" i="2"/>
  <c r="Z156" i="5" s="1"/>
  <c r="BG161" i="2"/>
  <c r="Y156" i="5" s="1"/>
  <c r="BF161" i="2"/>
  <c r="X156" i="5" s="1"/>
  <c r="BE161" i="2"/>
  <c r="W156" i="5" s="1"/>
  <c r="BD161" i="2"/>
  <c r="V156" i="5" s="1"/>
  <c r="BC161" i="2"/>
  <c r="U156" i="5" s="1"/>
  <c r="BB161" i="2"/>
  <c r="T156" i="5" s="1"/>
  <c r="BA161" i="2"/>
  <c r="S156" i="5" s="1"/>
  <c r="AZ161" i="2"/>
  <c r="R156" i="5" s="1"/>
  <c r="AY161" i="2"/>
  <c r="Q156" i="5" s="1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R115" i="5" s="1"/>
  <c r="AY160" i="2"/>
  <c r="BU159" i="2"/>
  <c r="BT159" i="2"/>
  <c r="AL72" i="5" s="1"/>
  <c r="BS159" i="2"/>
  <c r="AK72" i="5" s="1"/>
  <c r="BR159" i="2"/>
  <c r="AJ72" i="5" s="1"/>
  <c r="BQ159" i="2"/>
  <c r="AI72" i="5" s="1"/>
  <c r="BP159" i="2"/>
  <c r="AH72" i="5" s="1"/>
  <c r="BO159" i="2"/>
  <c r="AG72" i="5" s="1"/>
  <c r="BN159" i="2"/>
  <c r="AF72" i="5" s="1"/>
  <c r="BM159" i="2"/>
  <c r="AE72" i="5" s="1"/>
  <c r="BL159" i="2"/>
  <c r="AD72" i="5" s="1"/>
  <c r="BK159" i="2"/>
  <c r="AC72" i="5" s="1"/>
  <c r="BJ159" i="2"/>
  <c r="AB72" i="5" s="1"/>
  <c r="BI159" i="2"/>
  <c r="AA72" i="5" s="1"/>
  <c r="BH159" i="2"/>
  <c r="Z72" i="5" s="1"/>
  <c r="BG159" i="2"/>
  <c r="Y72" i="5" s="1"/>
  <c r="BF159" i="2"/>
  <c r="X72" i="5" s="1"/>
  <c r="BE159" i="2"/>
  <c r="W72" i="5" s="1"/>
  <c r="BD159" i="2"/>
  <c r="V72" i="5" s="1"/>
  <c r="BC159" i="2"/>
  <c r="U72" i="5" s="1"/>
  <c r="BB159" i="2"/>
  <c r="T72" i="5" s="1"/>
  <c r="BA159" i="2"/>
  <c r="S72" i="5" s="1"/>
  <c r="AZ159" i="2"/>
  <c r="R72" i="5" s="1"/>
  <c r="AY159" i="2"/>
  <c r="Q72" i="5" s="1"/>
  <c r="BU158" i="2"/>
  <c r="BT158" i="2"/>
  <c r="AL45" i="5" s="1"/>
  <c r="BS158" i="2"/>
  <c r="AK45" i="5" s="1"/>
  <c r="BR158" i="2"/>
  <c r="AJ45" i="5" s="1"/>
  <c r="BQ158" i="2"/>
  <c r="AI45" i="5" s="1"/>
  <c r="BP158" i="2"/>
  <c r="AH45" i="5" s="1"/>
  <c r="BO158" i="2"/>
  <c r="AG45" i="5" s="1"/>
  <c r="BN158" i="2"/>
  <c r="AF45" i="5" s="1"/>
  <c r="BM158" i="2"/>
  <c r="AE45" i="5" s="1"/>
  <c r="BL158" i="2"/>
  <c r="AD45" i="5" s="1"/>
  <c r="BK158" i="2"/>
  <c r="AC45" i="5" s="1"/>
  <c r="BJ158" i="2"/>
  <c r="AB45" i="5" s="1"/>
  <c r="BI158" i="2"/>
  <c r="AA45" i="5" s="1"/>
  <c r="BH158" i="2"/>
  <c r="Z45" i="5" s="1"/>
  <c r="BG158" i="2"/>
  <c r="Y45" i="5" s="1"/>
  <c r="BF158" i="2"/>
  <c r="X45" i="5" s="1"/>
  <c r="BE158" i="2"/>
  <c r="W45" i="5" s="1"/>
  <c r="BD158" i="2"/>
  <c r="V45" i="5" s="1"/>
  <c r="BC158" i="2"/>
  <c r="U45" i="5" s="1"/>
  <c r="BB158" i="2"/>
  <c r="T45" i="5" s="1"/>
  <c r="BA158" i="2"/>
  <c r="S45" i="5" s="1"/>
  <c r="AZ158" i="2"/>
  <c r="R45" i="5" s="1"/>
  <c r="AY158" i="2"/>
  <c r="Q45" i="5" s="1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S91" i="5" s="1"/>
  <c r="AZ157" i="2"/>
  <c r="AY157" i="2"/>
  <c r="Q91" i="5" s="1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S124" i="5" s="1"/>
  <c r="AZ156" i="2"/>
  <c r="AY156" i="2"/>
  <c r="Q124" i="5" s="1"/>
  <c r="BU155" i="2"/>
  <c r="BT155" i="2"/>
  <c r="AL44" i="5" s="1"/>
  <c r="BS155" i="2"/>
  <c r="AK44" i="5" s="1"/>
  <c r="BR155" i="2"/>
  <c r="AJ44" i="5" s="1"/>
  <c r="BQ155" i="2"/>
  <c r="AI44" i="5" s="1"/>
  <c r="BP155" i="2"/>
  <c r="AH44" i="5" s="1"/>
  <c r="BO155" i="2"/>
  <c r="AG44" i="5" s="1"/>
  <c r="BN155" i="2"/>
  <c r="AF44" i="5" s="1"/>
  <c r="BM155" i="2"/>
  <c r="AE44" i="5" s="1"/>
  <c r="BL155" i="2"/>
  <c r="AD44" i="5" s="1"/>
  <c r="BK155" i="2"/>
  <c r="AC44" i="5" s="1"/>
  <c r="BJ155" i="2"/>
  <c r="AB44" i="5" s="1"/>
  <c r="BI155" i="2"/>
  <c r="AA44" i="5" s="1"/>
  <c r="BH155" i="2"/>
  <c r="Z44" i="5" s="1"/>
  <c r="BG155" i="2"/>
  <c r="Y44" i="5" s="1"/>
  <c r="BF155" i="2"/>
  <c r="X44" i="5" s="1"/>
  <c r="BE155" i="2"/>
  <c r="W44" i="5" s="1"/>
  <c r="BD155" i="2"/>
  <c r="V44" i="5" s="1"/>
  <c r="BC155" i="2"/>
  <c r="U44" i="5" s="1"/>
  <c r="BB155" i="2"/>
  <c r="T44" i="5" s="1"/>
  <c r="BA155" i="2"/>
  <c r="S44" i="5" s="1"/>
  <c r="AZ155" i="2"/>
  <c r="R44" i="5" s="1"/>
  <c r="AY155" i="2"/>
  <c r="Q44" i="5" s="1"/>
  <c r="BU154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T114" i="5" s="1"/>
  <c r="BA153" i="2"/>
  <c r="AZ153" i="2"/>
  <c r="AY153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BU150" i="2"/>
  <c r="BT150" i="2"/>
  <c r="AL71" i="5" s="1"/>
  <c r="BS150" i="2"/>
  <c r="AK71" i="5" s="1"/>
  <c r="BR150" i="2"/>
  <c r="AJ71" i="5" s="1"/>
  <c r="BQ150" i="2"/>
  <c r="AI71" i="5" s="1"/>
  <c r="BP150" i="2"/>
  <c r="AH71" i="5" s="1"/>
  <c r="BO150" i="2"/>
  <c r="AG71" i="5" s="1"/>
  <c r="BN150" i="2"/>
  <c r="AF71" i="5" s="1"/>
  <c r="BM150" i="2"/>
  <c r="AE71" i="5" s="1"/>
  <c r="BL150" i="2"/>
  <c r="AD71" i="5" s="1"/>
  <c r="BK150" i="2"/>
  <c r="AC71" i="5" s="1"/>
  <c r="BJ150" i="2"/>
  <c r="AB71" i="5" s="1"/>
  <c r="BI150" i="2"/>
  <c r="AA71" i="5" s="1"/>
  <c r="BH150" i="2"/>
  <c r="Z71" i="5" s="1"/>
  <c r="BG150" i="2"/>
  <c r="Y71" i="5" s="1"/>
  <c r="BF150" i="2"/>
  <c r="X71" i="5" s="1"/>
  <c r="BE150" i="2"/>
  <c r="W71" i="5" s="1"/>
  <c r="BD150" i="2"/>
  <c r="V71" i="5" s="1"/>
  <c r="BC150" i="2"/>
  <c r="U71" i="5" s="1"/>
  <c r="BB150" i="2"/>
  <c r="T71" i="5" s="1"/>
  <c r="BA150" i="2"/>
  <c r="S71" i="5" s="1"/>
  <c r="AZ150" i="2"/>
  <c r="R71" i="5" s="1"/>
  <c r="AY150" i="2"/>
  <c r="Q71" i="5" s="1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BU148" i="2"/>
  <c r="BT148" i="2"/>
  <c r="AL27" i="5" s="1"/>
  <c r="BS148" i="2"/>
  <c r="AK27" i="5" s="1"/>
  <c r="BR148" i="2"/>
  <c r="AJ27" i="5" s="1"/>
  <c r="BQ148" i="2"/>
  <c r="AI27" i="5" s="1"/>
  <c r="BP148" i="2"/>
  <c r="AH27" i="5" s="1"/>
  <c r="BO148" i="2"/>
  <c r="AG27" i="5" s="1"/>
  <c r="BN148" i="2"/>
  <c r="AF27" i="5" s="1"/>
  <c r="BM148" i="2"/>
  <c r="AE27" i="5" s="1"/>
  <c r="BL148" i="2"/>
  <c r="AD27" i="5" s="1"/>
  <c r="BK148" i="2"/>
  <c r="AC27" i="5" s="1"/>
  <c r="BJ148" i="2"/>
  <c r="AB27" i="5" s="1"/>
  <c r="BI148" i="2"/>
  <c r="AA27" i="5" s="1"/>
  <c r="BH148" i="2"/>
  <c r="Z27" i="5" s="1"/>
  <c r="BG148" i="2"/>
  <c r="Y27" i="5" s="1"/>
  <c r="BF148" i="2"/>
  <c r="X27" i="5" s="1"/>
  <c r="BE148" i="2"/>
  <c r="W27" i="5" s="1"/>
  <c r="BD148" i="2"/>
  <c r="V27" i="5" s="1"/>
  <c r="BC148" i="2"/>
  <c r="U27" i="5" s="1"/>
  <c r="BB148" i="2"/>
  <c r="T27" i="5" s="1"/>
  <c r="BA148" i="2"/>
  <c r="S27" i="5" s="1"/>
  <c r="AZ148" i="2"/>
  <c r="R27" i="5" s="1"/>
  <c r="AY148" i="2"/>
  <c r="Q27" i="5" s="1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BU141" i="2"/>
  <c r="BT141" i="2"/>
  <c r="AL99" i="5" s="1"/>
  <c r="BS141" i="2"/>
  <c r="AK99" i="5" s="1"/>
  <c r="BR141" i="2"/>
  <c r="AJ99" i="5" s="1"/>
  <c r="BQ141" i="2"/>
  <c r="AI99" i="5" s="1"/>
  <c r="BP141" i="2"/>
  <c r="AH99" i="5" s="1"/>
  <c r="BO141" i="2"/>
  <c r="AG99" i="5" s="1"/>
  <c r="BN141" i="2"/>
  <c r="AF99" i="5" s="1"/>
  <c r="BM141" i="2"/>
  <c r="AE99" i="5" s="1"/>
  <c r="BL141" i="2"/>
  <c r="AD99" i="5" s="1"/>
  <c r="BK141" i="2"/>
  <c r="AC99" i="5" s="1"/>
  <c r="BJ141" i="2"/>
  <c r="AB99" i="5" s="1"/>
  <c r="BI141" i="2"/>
  <c r="AA99" i="5" s="1"/>
  <c r="BH141" i="2"/>
  <c r="Z99" i="5" s="1"/>
  <c r="BG141" i="2"/>
  <c r="Y99" i="5" s="1"/>
  <c r="BF141" i="2"/>
  <c r="X99" i="5" s="1"/>
  <c r="BE141" i="2"/>
  <c r="W99" i="5" s="1"/>
  <c r="BD141" i="2"/>
  <c r="V99" i="5" s="1"/>
  <c r="BC141" i="2"/>
  <c r="U99" i="5" s="1"/>
  <c r="BB141" i="2"/>
  <c r="T99" i="5" s="1"/>
  <c r="BA141" i="2"/>
  <c r="S99" i="5" s="1"/>
  <c r="AZ141" i="2"/>
  <c r="R99" i="5" s="1"/>
  <c r="AY141" i="2"/>
  <c r="Q99" i="5" s="1"/>
  <c r="BU140" i="2"/>
  <c r="BT140" i="2"/>
  <c r="AL126" i="5" s="1"/>
  <c r="BS140" i="2"/>
  <c r="AK126" i="5" s="1"/>
  <c r="BR140" i="2"/>
  <c r="AJ126" i="5" s="1"/>
  <c r="BQ140" i="2"/>
  <c r="AI126" i="5" s="1"/>
  <c r="BP140" i="2"/>
  <c r="AH126" i="5" s="1"/>
  <c r="BO140" i="2"/>
  <c r="AG126" i="5" s="1"/>
  <c r="BN140" i="2"/>
  <c r="AF126" i="5" s="1"/>
  <c r="BM140" i="2"/>
  <c r="AE126" i="5" s="1"/>
  <c r="BL140" i="2"/>
  <c r="AD126" i="5" s="1"/>
  <c r="BK140" i="2"/>
  <c r="AC126" i="5" s="1"/>
  <c r="BJ140" i="2"/>
  <c r="AB126" i="5" s="1"/>
  <c r="BI140" i="2"/>
  <c r="AA126" i="5" s="1"/>
  <c r="BH140" i="2"/>
  <c r="Z126" i="5" s="1"/>
  <c r="BG140" i="2"/>
  <c r="Y126" i="5" s="1"/>
  <c r="BF140" i="2"/>
  <c r="X126" i="5" s="1"/>
  <c r="BE140" i="2"/>
  <c r="W126" i="5" s="1"/>
  <c r="BD140" i="2"/>
  <c r="V126" i="5" s="1"/>
  <c r="BC140" i="2"/>
  <c r="U126" i="5" s="1"/>
  <c r="BB140" i="2"/>
  <c r="T126" i="5" s="1"/>
  <c r="BA140" i="2"/>
  <c r="S126" i="5" s="1"/>
  <c r="AZ140" i="2"/>
  <c r="R126" i="5" s="1"/>
  <c r="AY140" i="2"/>
  <c r="Q126" i="5" s="1"/>
  <c r="BU139" i="2"/>
  <c r="BT139" i="2"/>
  <c r="AL43" i="5" s="1"/>
  <c r="BS139" i="2"/>
  <c r="AK43" i="5" s="1"/>
  <c r="BR139" i="2"/>
  <c r="AJ43" i="5" s="1"/>
  <c r="BQ139" i="2"/>
  <c r="AI43" i="5" s="1"/>
  <c r="BP139" i="2"/>
  <c r="AH43" i="5" s="1"/>
  <c r="BO139" i="2"/>
  <c r="AG43" i="5" s="1"/>
  <c r="BN139" i="2"/>
  <c r="AF43" i="5" s="1"/>
  <c r="BM139" i="2"/>
  <c r="AE43" i="5" s="1"/>
  <c r="BL139" i="2"/>
  <c r="AD43" i="5" s="1"/>
  <c r="BK139" i="2"/>
  <c r="AC43" i="5" s="1"/>
  <c r="BJ139" i="2"/>
  <c r="AB43" i="5" s="1"/>
  <c r="BI139" i="2"/>
  <c r="AA43" i="5" s="1"/>
  <c r="BH139" i="2"/>
  <c r="Z43" i="5" s="1"/>
  <c r="BG139" i="2"/>
  <c r="Y43" i="5" s="1"/>
  <c r="BF139" i="2"/>
  <c r="X43" i="5" s="1"/>
  <c r="BE139" i="2"/>
  <c r="W43" i="5" s="1"/>
  <c r="BD139" i="2"/>
  <c r="V43" i="5" s="1"/>
  <c r="BC139" i="2"/>
  <c r="U43" i="5" s="1"/>
  <c r="BB139" i="2"/>
  <c r="T43" i="5" s="1"/>
  <c r="BA139" i="2"/>
  <c r="S43" i="5" s="1"/>
  <c r="AZ139" i="2"/>
  <c r="R43" i="5" s="1"/>
  <c r="AY139" i="2"/>
  <c r="Q43" i="5" s="1"/>
  <c r="BU138" i="2"/>
  <c r="BT138" i="2"/>
  <c r="AL42" i="5" s="1"/>
  <c r="BS138" i="2"/>
  <c r="AK42" i="5" s="1"/>
  <c r="BR138" i="2"/>
  <c r="AJ42" i="5" s="1"/>
  <c r="BQ138" i="2"/>
  <c r="AI42" i="5" s="1"/>
  <c r="BP138" i="2"/>
  <c r="AH42" i="5" s="1"/>
  <c r="BO138" i="2"/>
  <c r="AG42" i="5" s="1"/>
  <c r="BN138" i="2"/>
  <c r="AF42" i="5" s="1"/>
  <c r="BM138" i="2"/>
  <c r="AE42" i="5" s="1"/>
  <c r="BL138" i="2"/>
  <c r="AD42" i="5" s="1"/>
  <c r="BK138" i="2"/>
  <c r="AC42" i="5" s="1"/>
  <c r="BJ138" i="2"/>
  <c r="AB42" i="5" s="1"/>
  <c r="BI138" i="2"/>
  <c r="AA42" i="5" s="1"/>
  <c r="BH138" i="2"/>
  <c r="Z42" i="5" s="1"/>
  <c r="BG138" i="2"/>
  <c r="Y42" i="5" s="1"/>
  <c r="BF138" i="2"/>
  <c r="X42" i="5" s="1"/>
  <c r="BE138" i="2"/>
  <c r="W42" i="5" s="1"/>
  <c r="BD138" i="2"/>
  <c r="V42" i="5" s="1"/>
  <c r="BC138" i="2"/>
  <c r="U42" i="5" s="1"/>
  <c r="BB138" i="2"/>
  <c r="T42" i="5" s="1"/>
  <c r="BA138" i="2"/>
  <c r="S42" i="5" s="1"/>
  <c r="AZ138" i="2"/>
  <c r="R42" i="5" s="1"/>
  <c r="AY138" i="2"/>
  <c r="Q42" i="5" s="1"/>
  <c r="BU137" i="2"/>
  <c r="BT137" i="2"/>
  <c r="AL98" i="5" s="1"/>
  <c r="BS137" i="2"/>
  <c r="AK98" i="5" s="1"/>
  <c r="BR137" i="2"/>
  <c r="AJ98" i="5" s="1"/>
  <c r="BQ137" i="2"/>
  <c r="AI98" i="5" s="1"/>
  <c r="BP137" i="2"/>
  <c r="AH98" i="5" s="1"/>
  <c r="BO137" i="2"/>
  <c r="AG98" i="5" s="1"/>
  <c r="BN137" i="2"/>
  <c r="AF98" i="5" s="1"/>
  <c r="BM137" i="2"/>
  <c r="AE98" i="5" s="1"/>
  <c r="BL137" i="2"/>
  <c r="AD98" i="5" s="1"/>
  <c r="BK137" i="2"/>
  <c r="AC98" i="5" s="1"/>
  <c r="BJ137" i="2"/>
  <c r="AB98" i="5" s="1"/>
  <c r="BI137" i="2"/>
  <c r="AA98" i="5" s="1"/>
  <c r="BH137" i="2"/>
  <c r="Z98" i="5" s="1"/>
  <c r="BG137" i="2"/>
  <c r="Y98" i="5" s="1"/>
  <c r="BF137" i="2"/>
  <c r="X98" i="5" s="1"/>
  <c r="BE137" i="2"/>
  <c r="W98" i="5" s="1"/>
  <c r="BD137" i="2"/>
  <c r="V98" i="5" s="1"/>
  <c r="BC137" i="2"/>
  <c r="U98" i="5" s="1"/>
  <c r="BB137" i="2"/>
  <c r="T98" i="5" s="1"/>
  <c r="BA137" i="2"/>
  <c r="S98" i="5" s="1"/>
  <c r="AZ137" i="2"/>
  <c r="R98" i="5" s="1"/>
  <c r="AY137" i="2"/>
  <c r="Q98" i="5" s="1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BU135" i="2"/>
  <c r="BT135" i="2"/>
  <c r="AL110" i="5" s="1"/>
  <c r="BS135" i="2"/>
  <c r="AK110" i="5" s="1"/>
  <c r="BR135" i="2"/>
  <c r="AJ110" i="5" s="1"/>
  <c r="BQ135" i="2"/>
  <c r="AI110" i="5" s="1"/>
  <c r="BP135" i="2"/>
  <c r="AH110" i="5" s="1"/>
  <c r="BO135" i="2"/>
  <c r="AG110" i="5" s="1"/>
  <c r="BN135" i="2"/>
  <c r="AF110" i="5" s="1"/>
  <c r="BM135" i="2"/>
  <c r="AE110" i="5" s="1"/>
  <c r="BL135" i="2"/>
  <c r="AD110" i="5" s="1"/>
  <c r="BK135" i="2"/>
  <c r="AC110" i="5" s="1"/>
  <c r="BJ135" i="2"/>
  <c r="AB110" i="5" s="1"/>
  <c r="BI135" i="2"/>
  <c r="AA110" i="5" s="1"/>
  <c r="BH135" i="2"/>
  <c r="Z110" i="5" s="1"/>
  <c r="BG135" i="2"/>
  <c r="Y110" i="5" s="1"/>
  <c r="BF135" i="2"/>
  <c r="X110" i="5" s="1"/>
  <c r="BE135" i="2"/>
  <c r="W110" i="5" s="1"/>
  <c r="BD135" i="2"/>
  <c r="V110" i="5" s="1"/>
  <c r="BC135" i="2"/>
  <c r="U110" i="5" s="1"/>
  <c r="BB135" i="2"/>
  <c r="T110" i="5" s="1"/>
  <c r="BA135" i="2"/>
  <c r="S110" i="5" s="1"/>
  <c r="AZ135" i="2"/>
  <c r="R110" i="5" s="1"/>
  <c r="AY135" i="2"/>
  <c r="Q110" i="5" s="1"/>
  <c r="BU134" i="2"/>
  <c r="BT134" i="2"/>
  <c r="AL26" i="5" s="1"/>
  <c r="BS134" i="2"/>
  <c r="AK26" i="5" s="1"/>
  <c r="BR134" i="2"/>
  <c r="AJ26" i="5" s="1"/>
  <c r="BQ134" i="2"/>
  <c r="AI26" i="5" s="1"/>
  <c r="BP134" i="2"/>
  <c r="AH26" i="5" s="1"/>
  <c r="BO134" i="2"/>
  <c r="AG26" i="5" s="1"/>
  <c r="BN134" i="2"/>
  <c r="AF26" i="5" s="1"/>
  <c r="BM134" i="2"/>
  <c r="AE26" i="5" s="1"/>
  <c r="BL134" i="2"/>
  <c r="AD26" i="5" s="1"/>
  <c r="BK134" i="2"/>
  <c r="AC26" i="5" s="1"/>
  <c r="BJ134" i="2"/>
  <c r="AB26" i="5" s="1"/>
  <c r="BI134" i="2"/>
  <c r="AA26" i="5" s="1"/>
  <c r="BH134" i="2"/>
  <c r="Z26" i="5" s="1"/>
  <c r="BG134" i="2"/>
  <c r="Y26" i="5" s="1"/>
  <c r="BF134" i="2"/>
  <c r="X26" i="5" s="1"/>
  <c r="BE134" i="2"/>
  <c r="W26" i="5" s="1"/>
  <c r="BD134" i="2"/>
  <c r="V26" i="5" s="1"/>
  <c r="BC134" i="2"/>
  <c r="U26" i="5" s="1"/>
  <c r="BB134" i="2"/>
  <c r="T26" i="5" s="1"/>
  <c r="BA134" i="2"/>
  <c r="S26" i="5" s="1"/>
  <c r="AZ134" i="2"/>
  <c r="R26" i="5" s="1"/>
  <c r="AY134" i="2"/>
  <c r="Q26" i="5" s="1"/>
  <c r="BU133" i="2"/>
  <c r="BT133" i="2"/>
  <c r="AL25" i="5" s="1"/>
  <c r="BS133" i="2"/>
  <c r="AK25" i="5" s="1"/>
  <c r="BR133" i="2"/>
  <c r="AJ25" i="5" s="1"/>
  <c r="BQ133" i="2"/>
  <c r="AI25" i="5" s="1"/>
  <c r="BP133" i="2"/>
  <c r="AH25" i="5" s="1"/>
  <c r="BO133" i="2"/>
  <c r="AG25" i="5" s="1"/>
  <c r="BN133" i="2"/>
  <c r="AF25" i="5" s="1"/>
  <c r="BM133" i="2"/>
  <c r="AE25" i="5" s="1"/>
  <c r="BL133" i="2"/>
  <c r="AD25" i="5" s="1"/>
  <c r="BK133" i="2"/>
  <c r="AC25" i="5" s="1"/>
  <c r="BJ133" i="2"/>
  <c r="AB25" i="5" s="1"/>
  <c r="BI133" i="2"/>
  <c r="AA25" i="5" s="1"/>
  <c r="BH133" i="2"/>
  <c r="Z25" i="5" s="1"/>
  <c r="BG133" i="2"/>
  <c r="Y25" i="5" s="1"/>
  <c r="BF133" i="2"/>
  <c r="X25" i="5" s="1"/>
  <c r="BE133" i="2"/>
  <c r="W25" i="5" s="1"/>
  <c r="BD133" i="2"/>
  <c r="V25" i="5" s="1"/>
  <c r="BC133" i="2"/>
  <c r="U25" i="5" s="1"/>
  <c r="BB133" i="2"/>
  <c r="T25" i="5" s="1"/>
  <c r="BA133" i="2"/>
  <c r="S25" i="5" s="1"/>
  <c r="AZ133" i="2"/>
  <c r="R25" i="5" s="1"/>
  <c r="AY133" i="2"/>
  <c r="Q25" i="5" s="1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BU130" i="2"/>
  <c r="BT130" i="2"/>
  <c r="AL23" i="5" s="1"/>
  <c r="BS130" i="2"/>
  <c r="AK23" i="5" s="1"/>
  <c r="BR130" i="2"/>
  <c r="AJ23" i="5" s="1"/>
  <c r="BQ130" i="2"/>
  <c r="AI23" i="5" s="1"/>
  <c r="BP130" i="2"/>
  <c r="AH23" i="5" s="1"/>
  <c r="BO130" i="2"/>
  <c r="AG23" i="5" s="1"/>
  <c r="BN130" i="2"/>
  <c r="AF23" i="5" s="1"/>
  <c r="BM130" i="2"/>
  <c r="AE23" i="5" s="1"/>
  <c r="BL130" i="2"/>
  <c r="AD23" i="5" s="1"/>
  <c r="BK130" i="2"/>
  <c r="AC23" i="5" s="1"/>
  <c r="BJ130" i="2"/>
  <c r="AB23" i="5" s="1"/>
  <c r="BI130" i="2"/>
  <c r="AA23" i="5" s="1"/>
  <c r="BH130" i="2"/>
  <c r="Z23" i="5" s="1"/>
  <c r="BG130" i="2"/>
  <c r="Y23" i="5" s="1"/>
  <c r="BF130" i="2"/>
  <c r="X23" i="5" s="1"/>
  <c r="BE130" i="2"/>
  <c r="W23" i="5" s="1"/>
  <c r="BD130" i="2"/>
  <c r="V23" i="5" s="1"/>
  <c r="BC130" i="2"/>
  <c r="U23" i="5" s="1"/>
  <c r="BB130" i="2"/>
  <c r="T23" i="5" s="1"/>
  <c r="BA130" i="2"/>
  <c r="S23" i="5" s="1"/>
  <c r="AZ130" i="2"/>
  <c r="R23" i="5" s="1"/>
  <c r="AY130" i="2"/>
  <c r="Q23" i="5" s="1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BU127" i="2"/>
  <c r="BT127" i="2"/>
  <c r="AL68" i="5" s="1"/>
  <c r="BS127" i="2"/>
  <c r="AK68" i="5" s="1"/>
  <c r="BR127" i="2"/>
  <c r="AJ68" i="5" s="1"/>
  <c r="BQ127" i="2"/>
  <c r="AI68" i="5" s="1"/>
  <c r="BP127" i="2"/>
  <c r="AH68" i="5" s="1"/>
  <c r="BO127" i="2"/>
  <c r="AG68" i="5" s="1"/>
  <c r="BN127" i="2"/>
  <c r="AF68" i="5" s="1"/>
  <c r="BM127" i="2"/>
  <c r="AE68" i="5" s="1"/>
  <c r="BL127" i="2"/>
  <c r="AD68" i="5" s="1"/>
  <c r="BK127" i="2"/>
  <c r="AC68" i="5" s="1"/>
  <c r="BJ127" i="2"/>
  <c r="AB68" i="5" s="1"/>
  <c r="BI127" i="2"/>
  <c r="AA68" i="5" s="1"/>
  <c r="BH127" i="2"/>
  <c r="Z68" i="5" s="1"/>
  <c r="BG127" i="2"/>
  <c r="Y68" i="5" s="1"/>
  <c r="BF127" i="2"/>
  <c r="X68" i="5" s="1"/>
  <c r="BE127" i="2"/>
  <c r="W68" i="5" s="1"/>
  <c r="BD127" i="2"/>
  <c r="V68" i="5" s="1"/>
  <c r="BC127" i="2"/>
  <c r="U68" i="5" s="1"/>
  <c r="BB127" i="2"/>
  <c r="T68" i="5" s="1"/>
  <c r="BA127" i="2"/>
  <c r="S68" i="5" s="1"/>
  <c r="AZ127" i="2"/>
  <c r="R68" i="5" s="1"/>
  <c r="AY127" i="2"/>
  <c r="Q68" i="5" s="1"/>
  <c r="BU126" i="2"/>
  <c r="BU125" i="2"/>
  <c r="BT125" i="2"/>
  <c r="AL41" i="5" s="1"/>
  <c r="BS125" i="2"/>
  <c r="AK41" i="5" s="1"/>
  <c r="BR125" i="2"/>
  <c r="AJ41" i="5" s="1"/>
  <c r="BQ125" i="2"/>
  <c r="AI41" i="5" s="1"/>
  <c r="BP125" i="2"/>
  <c r="AH41" i="5" s="1"/>
  <c r="BO125" i="2"/>
  <c r="AG41" i="5" s="1"/>
  <c r="BN125" i="2"/>
  <c r="AF41" i="5" s="1"/>
  <c r="BM125" i="2"/>
  <c r="AE41" i="5" s="1"/>
  <c r="BL125" i="2"/>
  <c r="AD41" i="5" s="1"/>
  <c r="BK125" i="2"/>
  <c r="AC41" i="5" s="1"/>
  <c r="BJ125" i="2"/>
  <c r="AB41" i="5" s="1"/>
  <c r="BI125" i="2"/>
  <c r="AA41" i="5" s="1"/>
  <c r="BH125" i="2"/>
  <c r="Z41" i="5" s="1"/>
  <c r="BG125" i="2"/>
  <c r="Y41" i="5" s="1"/>
  <c r="BF125" i="2"/>
  <c r="X41" i="5" s="1"/>
  <c r="BE125" i="2"/>
  <c r="W41" i="5" s="1"/>
  <c r="BD125" i="2"/>
  <c r="V41" i="5" s="1"/>
  <c r="BC125" i="2"/>
  <c r="U41" i="5" s="1"/>
  <c r="BB125" i="2"/>
  <c r="T41" i="5" s="1"/>
  <c r="BA125" i="2"/>
  <c r="S41" i="5" s="1"/>
  <c r="AZ125" i="2"/>
  <c r="R41" i="5" s="1"/>
  <c r="AY125" i="2"/>
  <c r="Q41" i="5" s="1"/>
  <c r="BU124" i="2"/>
  <c r="BT124" i="2"/>
  <c r="AL123" i="5" s="1"/>
  <c r="BS124" i="2"/>
  <c r="AK123" i="5" s="1"/>
  <c r="BR124" i="2"/>
  <c r="AJ123" i="5" s="1"/>
  <c r="BQ124" i="2"/>
  <c r="AI123" i="5" s="1"/>
  <c r="BP124" i="2"/>
  <c r="AH123" i="5" s="1"/>
  <c r="BO124" i="2"/>
  <c r="AG123" i="5" s="1"/>
  <c r="BN124" i="2"/>
  <c r="AF123" i="5" s="1"/>
  <c r="BM124" i="2"/>
  <c r="AE123" i="5" s="1"/>
  <c r="BL124" i="2"/>
  <c r="AD123" i="5" s="1"/>
  <c r="BK124" i="2"/>
  <c r="AC123" i="5" s="1"/>
  <c r="BJ124" i="2"/>
  <c r="AB123" i="5" s="1"/>
  <c r="BI124" i="2"/>
  <c r="AA123" i="5" s="1"/>
  <c r="BH124" i="2"/>
  <c r="Z123" i="5" s="1"/>
  <c r="BG124" i="2"/>
  <c r="Y123" i="5" s="1"/>
  <c r="BF124" i="2"/>
  <c r="X123" i="5" s="1"/>
  <c r="BE124" i="2"/>
  <c r="W123" i="5" s="1"/>
  <c r="BD124" i="2"/>
  <c r="V123" i="5" s="1"/>
  <c r="BC124" i="2"/>
  <c r="U123" i="5" s="1"/>
  <c r="BB124" i="2"/>
  <c r="T123" i="5" s="1"/>
  <c r="BA124" i="2"/>
  <c r="S123" i="5" s="1"/>
  <c r="AZ124" i="2"/>
  <c r="R123" i="5" s="1"/>
  <c r="AY124" i="2"/>
  <c r="Q123" i="5" s="1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S108" i="5" s="1"/>
  <c r="AZ119" i="2"/>
  <c r="AY119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Q79" i="5" s="1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BU113" i="2"/>
  <c r="BU112" i="2"/>
  <c r="BT112" i="2"/>
  <c r="AL97" i="5" s="1"/>
  <c r="BS112" i="2"/>
  <c r="AK97" i="5" s="1"/>
  <c r="BR112" i="2"/>
  <c r="AJ97" i="5" s="1"/>
  <c r="BQ112" i="2"/>
  <c r="AI97" i="5" s="1"/>
  <c r="BP112" i="2"/>
  <c r="AH97" i="5" s="1"/>
  <c r="BO112" i="2"/>
  <c r="AG97" i="5" s="1"/>
  <c r="BN112" i="2"/>
  <c r="AF97" i="5" s="1"/>
  <c r="BM112" i="2"/>
  <c r="AE97" i="5" s="1"/>
  <c r="BL112" i="2"/>
  <c r="AD97" i="5" s="1"/>
  <c r="BK112" i="2"/>
  <c r="AC97" i="5" s="1"/>
  <c r="BJ112" i="2"/>
  <c r="AB97" i="5" s="1"/>
  <c r="BI112" i="2"/>
  <c r="AA97" i="5" s="1"/>
  <c r="BH112" i="2"/>
  <c r="Z97" i="5" s="1"/>
  <c r="BG112" i="2"/>
  <c r="Y97" i="5" s="1"/>
  <c r="BF112" i="2"/>
  <c r="X97" i="5" s="1"/>
  <c r="BE112" i="2"/>
  <c r="W97" i="5" s="1"/>
  <c r="BD112" i="2"/>
  <c r="V97" i="5" s="1"/>
  <c r="BC112" i="2"/>
  <c r="U97" i="5" s="1"/>
  <c r="BB112" i="2"/>
  <c r="T97" i="5" s="1"/>
  <c r="BA112" i="2"/>
  <c r="S97" i="5" s="1"/>
  <c r="AZ112" i="2"/>
  <c r="R97" i="5" s="1"/>
  <c r="AY112" i="2"/>
  <c r="Q97" i="5" s="1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S86" i="5" s="1"/>
  <c r="AZ111" i="2"/>
  <c r="AY111" i="2"/>
  <c r="BU110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BU108" i="2"/>
  <c r="BT108" i="2"/>
  <c r="AL21" i="5" s="1"/>
  <c r="BS108" i="2"/>
  <c r="AK21" i="5" s="1"/>
  <c r="BR108" i="2"/>
  <c r="AJ21" i="5" s="1"/>
  <c r="BQ108" i="2"/>
  <c r="AI21" i="5" s="1"/>
  <c r="BP108" i="2"/>
  <c r="AH21" i="5" s="1"/>
  <c r="BO108" i="2"/>
  <c r="AG21" i="5" s="1"/>
  <c r="BN108" i="2"/>
  <c r="AF21" i="5" s="1"/>
  <c r="BM108" i="2"/>
  <c r="AE21" i="5" s="1"/>
  <c r="BL108" i="2"/>
  <c r="AD21" i="5" s="1"/>
  <c r="BK108" i="2"/>
  <c r="AC21" i="5" s="1"/>
  <c r="BJ108" i="2"/>
  <c r="AB21" i="5" s="1"/>
  <c r="BI108" i="2"/>
  <c r="AA21" i="5" s="1"/>
  <c r="BH108" i="2"/>
  <c r="Z21" i="5" s="1"/>
  <c r="BG108" i="2"/>
  <c r="Y21" i="5" s="1"/>
  <c r="BF108" i="2"/>
  <c r="X21" i="5" s="1"/>
  <c r="BE108" i="2"/>
  <c r="W21" i="5" s="1"/>
  <c r="BD108" i="2"/>
  <c r="V21" i="5" s="1"/>
  <c r="BC108" i="2"/>
  <c r="U21" i="5" s="1"/>
  <c r="BB108" i="2"/>
  <c r="T21" i="5" s="1"/>
  <c r="BA108" i="2"/>
  <c r="S21" i="5" s="1"/>
  <c r="AZ108" i="2"/>
  <c r="R21" i="5" s="1"/>
  <c r="AY108" i="2"/>
  <c r="Q21" i="5" s="1"/>
  <c r="BU107" i="2"/>
  <c r="BT107" i="2"/>
  <c r="AL78" i="5" s="1"/>
  <c r="BS107" i="2"/>
  <c r="AK78" i="5" s="1"/>
  <c r="BR107" i="2"/>
  <c r="AJ78" i="5" s="1"/>
  <c r="BQ107" i="2"/>
  <c r="AI78" i="5" s="1"/>
  <c r="BP107" i="2"/>
  <c r="AH78" i="5" s="1"/>
  <c r="BO107" i="2"/>
  <c r="AG78" i="5" s="1"/>
  <c r="BN107" i="2"/>
  <c r="AF78" i="5" s="1"/>
  <c r="BM107" i="2"/>
  <c r="AE78" i="5" s="1"/>
  <c r="BL107" i="2"/>
  <c r="AD78" i="5" s="1"/>
  <c r="BK107" i="2"/>
  <c r="AC78" i="5" s="1"/>
  <c r="BJ107" i="2"/>
  <c r="AB78" i="5" s="1"/>
  <c r="BI107" i="2"/>
  <c r="AA78" i="5" s="1"/>
  <c r="BH107" i="2"/>
  <c r="Z78" i="5" s="1"/>
  <c r="BG107" i="2"/>
  <c r="Y78" i="5" s="1"/>
  <c r="BF107" i="2"/>
  <c r="X78" i="5" s="1"/>
  <c r="BE107" i="2"/>
  <c r="W78" i="5" s="1"/>
  <c r="BD107" i="2"/>
  <c r="V78" i="5" s="1"/>
  <c r="BC107" i="2"/>
  <c r="U78" i="5" s="1"/>
  <c r="BB107" i="2"/>
  <c r="T78" i="5" s="1"/>
  <c r="BA107" i="2"/>
  <c r="S78" i="5" s="1"/>
  <c r="AZ107" i="2"/>
  <c r="R78" i="5" s="1"/>
  <c r="AY107" i="2"/>
  <c r="Q78" i="5" s="1"/>
  <c r="BU106" i="2"/>
  <c r="BT106" i="2"/>
  <c r="AL134" i="5" s="1"/>
  <c r="BS106" i="2"/>
  <c r="AK134" i="5" s="1"/>
  <c r="BR106" i="2"/>
  <c r="AJ134" i="5" s="1"/>
  <c r="BQ106" i="2"/>
  <c r="AI134" i="5" s="1"/>
  <c r="BP106" i="2"/>
  <c r="AH134" i="5" s="1"/>
  <c r="BO106" i="2"/>
  <c r="AG134" i="5" s="1"/>
  <c r="BN106" i="2"/>
  <c r="AF134" i="5" s="1"/>
  <c r="BM106" i="2"/>
  <c r="AE134" i="5" s="1"/>
  <c r="BL106" i="2"/>
  <c r="AD134" i="5" s="1"/>
  <c r="BK106" i="2"/>
  <c r="AC134" i="5" s="1"/>
  <c r="BJ106" i="2"/>
  <c r="AB134" i="5" s="1"/>
  <c r="BI106" i="2"/>
  <c r="AA134" i="5" s="1"/>
  <c r="BH106" i="2"/>
  <c r="Z134" i="5" s="1"/>
  <c r="BG106" i="2"/>
  <c r="Y134" i="5" s="1"/>
  <c r="BF106" i="2"/>
  <c r="X134" i="5" s="1"/>
  <c r="BE106" i="2"/>
  <c r="W134" i="5" s="1"/>
  <c r="BD106" i="2"/>
  <c r="V134" i="5" s="1"/>
  <c r="BC106" i="2"/>
  <c r="U134" i="5" s="1"/>
  <c r="BB106" i="2"/>
  <c r="T134" i="5" s="1"/>
  <c r="BA106" i="2"/>
  <c r="S134" i="5" s="1"/>
  <c r="AZ106" i="2"/>
  <c r="R134" i="5" s="1"/>
  <c r="AY106" i="2"/>
  <c r="Q134" i="5" s="1"/>
  <c r="BU105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BU102" i="2"/>
  <c r="BT102" i="2"/>
  <c r="AL39" i="5" s="1"/>
  <c r="BS102" i="2"/>
  <c r="AK39" i="5" s="1"/>
  <c r="BR102" i="2"/>
  <c r="AJ39" i="5" s="1"/>
  <c r="BQ102" i="2"/>
  <c r="AI39" i="5" s="1"/>
  <c r="BP102" i="2"/>
  <c r="AH39" i="5" s="1"/>
  <c r="BO102" i="2"/>
  <c r="AG39" i="5" s="1"/>
  <c r="BN102" i="2"/>
  <c r="AF39" i="5" s="1"/>
  <c r="BM102" i="2"/>
  <c r="AE39" i="5" s="1"/>
  <c r="BL102" i="2"/>
  <c r="AD39" i="5" s="1"/>
  <c r="BK102" i="2"/>
  <c r="AC39" i="5" s="1"/>
  <c r="BJ102" i="2"/>
  <c r="AB39" i="5" s="1"/>
  <c r="BI102" i="2"/>
  <c r="AA39" i="5" s="1"/>
  <c r="BH102" i="2"/>
  <c r="Z39" i="5" s="1"/>
  <c r="BG102" i="2"/>
  <c r="Y39" i="5" s="1"/>
  <c r="BF102" i="2"/>
  <c r="X39" i="5" s="1"/>
  <c r="BE102" i="2"/>
  <c r="W39" i="5" s="1"/>
  <c r="BD102" i="2"/>
  <c r="V39" i="5" s="1"/>
  <c r="BC102" i="2"/>
  <c r="U39" i="5" s="1"/>
  <c r="BB102" i="2"/>
  <c r="T39" i="5" s="1"/>
  <c r="BA102" i="2"/>
  <c r="S39" i="5" s="1"/>
  <c r="AZ102" i="2"/>
  <c r="R39" i="5" s="1"/>
  <c r="AY102" i="2"/>
  <c r="Q39" i="5" s="1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BU97" i="2"/>
  <c r="BT97" i="2"/>
  <c r="AL20" i="5" s="1"/>
  <c r="BS97" i="2"/>
  <c r="AK20" i="5" s="1"/>
  <c r="BR97" i="2"/>
  <c r="AJ20" i="5" s="1"/>
  <c r="BQ97" i="2"/>
  <c r="AI20" i="5" s="1"/>
  <c r="BP97" i="2"/>
  <c r="AH20" i="5" s="1"/>
  <c r="BO97" i="2"/>
  <c r="AG20" i="5" s="1"/>
  <c r="BN97" i="2"/>
  <c r="AF20" i="5" s="1"/>
  <c r="BM97" i="2"/>
  <c r="AE20" i="5" s="1"/>
  <c r="BL97" i="2"/>
  <c r="AD20" i="5" s="1"/>
  <c r="BK97" i="2"/>
  <c r="AC20" i="5" s="1"/>
  <c r="BJ97" i="2"/>
  <c r="AB20" i="5" s="1"/>
  <c r="BI97" i="2"/>
  <c r="AA20" i="5" s="1"/>
  <c r="BH97" i="2"/>
  <c r="Z20" i="5" s="1"/>
  <c r="BG97" i="2"/>
  <c r="Y20" i="5" s="1"/>
  <c r="BF97" i="2"/>
  <c r="X20" i="5" s="1"/>
  <c r="BE97" i="2"/>
  <c r="W20" i="5" s="1"/>
  <c r="BD97" i="2"/>
  <c r="V20" i="5" s="1"/>
  <c r="BC97" i="2"/>
  <c r="U20" i="5" s="1"/>
  <c r="BB97" i="2"/>
  <c r="T20" i="5" s="1"/>
  <c r="BA97" i="2"/>
  <c r="S20" i="5" s="1"/>
  <c r="AZ97" i="2"/>
  <c r="R20" i="5" s="1"/>
  <c r="AY97" i="2"/>
  <c r="Q20" i="5" s="1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BU95" i="2"/>
  <c r="BU94" i="2"/>
  <c r="BT94" i="2"/>
  <c r="AL18" i="5" s="1"/>
  <c r="BS94" i="2"/>
  <c r="AK18" i="5" s="1"/>
  <c r="BR94" i="2"/>
  <c r="AJ18" i="5" s="1"/>
  <c r="BQ94" i="2"/>
  <c r="AI18" i="5" s="1"/>
  <c r="BP94" i="2"/>
  <c r="AH18" i="5" s="1"/>
  <c r="BO94" i="2"/>
  <c r="AG18" i="5" s="1"/>
  <c r="BN94" i="2"/>
  <c r="AF18" i="5" s="1"/>
  <c r="BM94" i="2"/>
  <c r="AE18" i="5" s="1"/>
  <c r="BL94" i="2"/>
  <c r="AD18" i="5" s="1"/>
  <c r="BK94" i="2"/>
  <c r="AC18" i="5" s="1"/>
  <c r="BJ94" i="2"/>
  <c r="AB18" i="5" s="1"/>
  <c r="BI94" i="2"/>
  <c r="AA18" i="5" s="1"/>
  <c r="BH94" i="2"/>
  <c r="Z18" i="5" s="1"/>
  <c r="BG94" i="2"/>
  <c r="Y18" i="5" s="1"/>
  <c r="BF94" i="2"/>
  <c r="X18" i="5" s="1"/>
  <c r="BE94" i="2"/>
  <c r="W18" i="5" s="1"/>
  <c r="BD94" i="2"/>
  <c r="V18" i="5" s="1"/>
  <c r="BC94" i="2"/>
  <c r="U18" i="5" s="1"/>
  <c r="BB94" i="2"/>
  <c r="T18" i="5" s="1"/>
  <c r="BA94" i="2"/>
  <c r="S18" i="5" s="1"/>
  <c r="AZ94" i="2"/>
  <c r="R18" i="5" s="1"/>
  <c r="AY94" i="2"/>
  <c r="Q18" i="5" s="1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Q132" i="5" s="1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BU91" i="2"/>
  <c r="BT91" i="2"/>
  <c r="AL38" i="5" s="1"/>
  <c r="BS91" i="2"/>
  <c r="AK38" i="5" s="1"/>
  <c r="BR91" i="2"/>
  <c r="AJ38" i="5" s="1"/>
  <c r="BQ91" i="2"/>
  <c r="AI38" i="5" s="1"/>
  <c r="BP91" i="2"/>
  <c r="AH38" i="5" s="1"/>
  <c r="BO91" i="2"/>
  <c r="AG38" i="5" s="1"/>
  <c r="BN91" i="2"/>
  <c r="AF38" i="5" s="1"/>
  <c r="BM91" i="2"/>
  <c r="AE38" i="5" s="1"/>
  <c r="BL91" i="2"/>
  <c r="AD38" i="5" s="1"/>
  <c r="BK91" i="2"/>
  <c r="AC38" i="5" s="1"/>
  <c r="BJ91" i="2"/>
  <c r="AB38" i="5" s="1"/>
  <c r="BI91" i="2"/>
  <c r="AA38" i="5" s="1"/>
  <c r="BH91" i="2"/>
  <c r="Z38" i="5" s="1"/>
  <c r="BG91" i="2"/>
  <c r="Y38" i="5" s="1"/>
  <c r="BF91" i="2"/>
  <c r="X38" i="5" s="1"/>
  <c r="BE91" i="2"/>
  <c r="W38" i="5" s="1"/>
  <c r="BD91" i="2"/>
  <c r="V38" i="5" s="1"/>
  <c r="BC91" i="2"/>
  <c r="U38" i="5" s="1"/>
  <c r="BB91" i="2"/>
  <c r="T38" i="5" s="1"/>
  <c r="BA91" i="2"/>
  <c r="S38" i="5" s="1"/>
  <c r="AZ91" i="2"/>
  <c r="R38" i="5" s="1"/>
  <c r="AY91" i="2"/>
  <c r="Q38" i="5" s="1"/>
  <c r="BU90" i="2"/>
  <c r="BT90" i="2"/>
  <c r="AL17" i="5" s="1"/>
  <c r="BS90" i="2"/>
  <c r="AK17" i="5" s="1"/>
  <c r="BR90" i="2"/>
  <c r="AJ17" i="5" s="1"/>
  <c r="BQ90" i="2"/>
  <c r="AI17" i="5" s="1"/>
  <c r="BP90" i="2"/>
  <c r="AH17" i="5" s="1"/>
  <c r="BO90" i="2"/>
  <c r="AG17" i="5" s="1"/>
  <c r="BN90" i="2"/>
  <c r="AF17" i="5" s="1"/>
  <c r="BM90" i="2"/>
  <c r="AE17" i="5" s="1"/>
  <c r="BL90" i="2"/>
  <c r="AD17" i="5" s="1"/>
  <c r="BK90" i="2"/>
  <c r="AC17" i="5" s="1"/>
  <c r="BJ90" i="2"/>
  <c r="AB17" i="5" s="1"/>
  <c r="BI90" i="2"/>
  <c r="AA17" i="5" s="1"/>
  <c r="BH90" i="2"/>
  <c r="Z17" i="5" s="1"/>
  <c r="BG90" i="2"/>
  <c r="Y17" i="5" s="1"/>
  <c r="BF90" i="2"/>
  <c r="X17" i="5" s="1"/>
  <c r="BE90" i="2"/>
  <c r="W17" i="5" s="1"/>
  <c r="BD90" i="2"/>
  <c r="V17" i="5" s="1"/>
  <c r="BC90" i="2"/>
  <c r="U17" i="5" s="1"/>
  <c r="BB90" i="2"/>
  <c r="T17" i="5" s="1"/>
  <c r="BA90" i="2"/>
  <c r="S17" i="5" s="1"/>
  <c r="AZ90" i="2"/>
  <c r="R17" i="5" s="1"/>
  <c r="AY90" i="2"/>
  <c r="Q17" i="5" s="1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BU88" i="2"/>
  <c r="BT88" i="2"/>
  <c r="AL85" i="5" s="1"/>
  <c r="BS88" i="2"/>
  <c r="AK85" i="5" s="1"/>
  <c r="BR88" i="2"/>
  <c r="AJ85" i="5" s="1"/>
  <c r="BQ88" i="2"/>
  <c r="AI85" i="5" s="1"/>
  <c r="BP88" i="2"/>
  <c r="AH85" i="5" s="1"/>
  <c r="BO88" i="2"/>
  <c r="AG85" i="5" s="1"/>
  <c r="BN88" i="2"/>
  <c r="AF85" i="5" s="1"/>
  <c r="BM88" i="2"/>
  <c r="AE85" i="5" s="1"/>
  <c r="BL88" i="2"/>
  <c r="AD85" i="5" s="1"/>
  <c r="BK88" i="2"/>
  <c r="AC85" i="5" s="1"/>
  <c r="BJ88" i="2"/>
  <c r="AB85" i="5" s="1"/>
  <c r="BI88" i="2"/>
  <c r="AA85" i="5" s="1"/>
  <c r="BH88" i="2"/>
  <c r="Z85" i="5" s="1"/>
  <c r="BG88" i="2"/>
  <c r="Y85" i="5" s="1"/>
  <c r="BF88" i="2"/>
  <c r="X85" i="5" s="1"/>
  <c r="BE88" i="2"/>
  <c r="W85" i="5" s="1"/>
  <c r="BD88" i="2"/>
  <c r="V85" i="5" s="1"/>
  <c r="BC88" i="2"/>
  <c r="U85" i="5" s="1"/>
  <c r="BB88" i="2"/>
  <c r="T85" i="5" s="1"/>
  <c r="BA88" i="2"/>
  <c r="S85" i="5" s="1"/>
  <c r="AZ88" i="2"/>
  <c r="R85" i="5" s="1"/>
  <c r="AY88" i="2"/>
  <c r="Q85" i="5" s="1"/>
  <c r="BU87" i="2"/>
  <c r="BT87" i="2"/>
  <c r="AL16" i="5" s="1"/>
  <c r="BS87" i="2"/>
  <c r="AK16" i="5" s="1"/>
  <c r="BR87" i="2"/>
  <c r="AJ16" i="5" s="1"/>
  <c r="BQ87" i="2"/>
  <c r="AI16" i="5" s="1"/>
  <c r="BP87" i="2"/>
  <c r="AH16" i="5" s="1"/>
  <c r="BO87" i="2"/>
  <c r="AG16" i="5" s="1"/>
  <c r="BN87" i="2"/>
  <c r="AF16" i="5" s="1"/>
  <c r="BM87" i="2"/>
  <c r="AE16" i="5" s="1"/>
  <c r="BL87" i="2"/>
  <c r="AD16" i="5" s="1"/>
  <c r="BK87" i="2"/>
  <c r="AC16" i="5" s="1"/>
  <c r="BJ87" i="2"/>
  <c r="AB16" i="5" s="1"/>
  <c r="BI87" i="2"/>
  <c r="AA16" i="5" s="1"/>
  <c r="BH87" i="2"/>
  <c r="Z16" i="5" s="1"/>
  <c r="BG87" i="2"/>
  <c r="Y16" i="5" s="1"/>
  <c r="BF87" i="2"/>
  <c r="X16" i="5" s="1"/>
  <c r="BE87" i="2"/>
  <c r="W16" i="5" s="1"/>
  <c r="BD87" i="2"/>
  <c r="V16" i="5" s="1"/>
  <c r="BC87" i="2"/>
  <c r="U16" i="5" s="1"/>
  <c r="BB87" i="2"/>
  <c r="T16" i="5" s="1"/>
  <c r="BA87" i="2"/>
  <c r="S16" i="5" s="1"/>
  <c r="AZ87" i="2"/>
  <c r="R16" i="5" s="1"/>
  <c r="AY87" i="2"/>
  <c r="Q16" i="5" s="1"/>
  <c r="BU86" i="2"/>
  <c r="BT86" i="2"/>
  <c r="AL37" i="5" s="1"/>
  <c r="BS86" i="2"/>
  <c r="AK37" i="5" s="1"/>
  <c r="BR86" i="2"/>
  <c r="AJ37" i="5" s="1"/>
  <c r="BQ86" i="2"/>
  <c r="AI37" i="5" s="1"/>
  <c r="BP86" i="2"/>
  <c r="AH37" i="5" s="1"/>
  <c r="BO86" i="2"/>
  <c r="AG37" i="5" s="1"/>
  <c r="BN86" i="2"/>
  <c r="AF37" i="5" s="1"/>
  <c r="BM86" i="2"/>
  <c r="AE37" i="5" s="1"/>
  <c r="BL86" i="2"/>
  <c r="AD37" i="5" s="1"/>
  <c r="BK86" i="2"/>
  <c r="AC37" i="5" s="1"/>
  <c r="BJ86" i="2"/>
  <c r="AB37" i="5" s="1"/>
  <c r="BI86" i="2"/>
  <c r="AA37" i="5" s="1"/>
  <c r="BH86" i="2"/>
  <c r="Z37" i="5" s="1"/>
  <c r="BG86" i="2"/>
  <c r="Y37" i="5" s="1"/>
  <c r="BF86" i="2"/>
  <c r="X37" i="5" s="1"/>
  <c r="BE86" i="2"/>
  <c r="W37" i="5" s="1"/>
  <c r="BD86" i="2"/>
  <c r="V37" i="5" s="1"/>
  <c r="BC86" i="2"/>
  <c r="U37" i="5" s="1"/>
  <c r="BB86" i="2"/>
  <c r="T37" i="5" s="1"/>
  <c r="BA86" i="2"/>
  <c r="S37" i="5" s="1"/>
  <c r="AZ86" i="2"/>
  <c r="R37" i="5" s="1"/>
  <c r="AY86" i="2"/>
  <c r="Q37" i="5" s="1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Q84" i="5" s="1"/>
  <c r="BU84" i="2"/>
  <c r="BT84" i="2"/>
  <c r="AL120" i="5" s="1"/>
  <c r="BS84" i="2"/>
  <c r="AK120" i="5" s="1"/>
  <c r="BR84" i="2"/>
  <c r="AJ120" i="5" s="1"/>
  <c r="BQ84" i="2"/>
  <c r="AI120" i="5" s="1"/>
  <c r="BP84" i="2"/>
  <c r="AH120" i="5" s="1"/>
  <c r="BO84" i="2"/>
  <c r="AG120" i="5" s="1"/>
  <c r="BN84" i="2"/>
  <c r="AF120" i="5" s="1"/>
  <c r="BM84" i="2"/>
  <c r="AE120" i="5" s="1"/>
  <c r="BL84" i="2"/>
  <c r="AD120" i="5" s="1"/>
  <c r="BK84" i="2"/>
  <c r="AC120" i="5" s="1"/>
  <c r="BJ84" i="2"/>
  <c r="AB120" i="5" s="1"/>
  <c r="BI84" i="2"/>
  <c r="AA120" i="5" s="1"/>
  <c r="BH84" i="2"/>
  <c r="Z120" i="5" s="1"/>
  <c r="BG84" i="2"/>
  <c r="Y120" i="5" s="1"/>
  <c r="BF84" i="2"/>
  <c r="X120" i="5" s="1"/>
  <c r="BE84" i="2"/>
  <c r="W120" i="5" s="1"/>
  <c r="BD84" i="2"/>
  <c r="V120" i="5" s="1"/>
  <c r="BC84" i="2"/>
  <c r="U120" i="5" s="1"/>
  <c r="BB84" i="2"/>
  <c r="T120" i="5" s="1"/>
  <c r="BA84" i="2"/>
  <c r="S120" i="5" s="1"/>
  <c r="AZ84" i="2"/>
  <c r="R120" i="5" s="1"/>
  <c r="AY84" i="2"/>
  <c r="Q120" i="5" s="1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BU79" i="2"/>
  <c r="BT79" i="2"/>
  <c r="AL36" i="5" s="1"/>
  <c r="BS79" i="2"/>
  <c r="AK36" i="5" s="1"/>
  <c r="BR79" i="2"/>
  <c r="AJ36" i="5" s="1"/>
  <c r="BQ79" i="2"/>
  <c r="AI36" i="5" s="1"/>
  <c r="BP79" i="2"/>
  <c r="AH36" i="5" s="1"/>
  <c r="BO79" i="2"/>
  <c r="AG36" i="5" s="1"/>
  <c r="BN79" i="2"/>
  <c r="AF36" i="5" s="1"/>
  <c r="BM79" i="2"/>
  <c r="AE36" i="5" s="1"/>
  <c r="BL79" i="2"/>
  <c r="AD36" i="5" s="1"/>
  <c r="BK79" i="2"/>
  <c r="AC36" i="5" s="1"/>
  <c r="BJ79" i="2"/>
  <c r="AB36" i="5" s="1"/>
  <c r="BI79" i="2"/>
  <c r="AA36" i="5" s="1"/>
  <c r="BH79" i="2"/>
  <c r="Z36" i="5" s="1"/>
  <c r="BG79" i="2"/>
  <c r="Y36" i="5" s="1"/>
  <c r="BF79" i="2"/>
  <c r="X36" i="5" s="1"/>
  <c r="BE79" i="2"/>
  <c r="W36" i="5" s="1"/>
  <c r="BD79" i="2"/>
  <c r="V36" i="5" s="1"/>
  <c r="BC79" i="2"/>
  <c r="U36" i="5" s="1"/>
  <c r="BB79" i="2"/>
  <c r="T36" i="5" s="1"/>
  <c r="BA79" i="2"/>
  <c r="S36" i="5" s="1"/>
  <c r="AZ79" i="2"/>
  <c r="R36" i="5" s="1"/>
  <c r="AY79" i="2"/>
  <c r="Q36" i="5" s="1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BU77" i="2"/>
  <c r="BT77" i="2"/>
  <c r="AL82" i="5" s="1"/>
  <c r="BS77" i="2"/>
  <c r="AK82" i="5" s="1"/>
  <c r="BR77" i="2"/>
  <c r="AJ82" i="5" s="1"/>
  <c r="BQ77" i="2"/>
  <c r="AI82" i="5" s="1"/>
  <c r="BP77" i="2"/>
  <c r="AH82" i="5" s="1"/>
  <c r="BO77" i="2"/>
  <c r="AG82" i="5" s="1"/>
  <c r="BN77" i="2"/>
  <c r="AF82" i="5" s="1"/>
  <c r="BM77" i="2"/>
  <c r="AE82" i="5" s="1"/>
  <c r="BL77" i="2"/>
  <c r="AD82" i="5" s="1"/>
  <c r="BK77" i="2"/>
  <c r="AC82" i="5" s="1"/>
  <c r="BJ77" i="2"/>
  <c r="AB82" i="5" s="1"/>
  <c r="BI77" i="2"/>
  <c r="AA82" i="5" s="1"/>
  <c r="BH77" i="2"/>
  <c r="Z82" i="5" s="1"/>
  <c r="BG77" i="2"/>
  <c r="Y82" i="5" s="1"/>
  <c r="BF77" i="2"/>
  <c r="X82" i="5" s="1"/>
  <c r="BE77" i="2"/>
  <c r="W82" i="5" s="1"/>
  <c r="BD77" i="2"/>
  <c r="V82" i="5" s="1"/>
  <c r="BC77" i="2"/>
  <c r="U82" i="5" s="1"/>
  <c r="BB77" i="2"/>
  <c r="T82" i="5" s="1"/>
  <c r="BA77" i="2"/>
  <c r="S82" i="5" s="1"/>
  <c r="AZ77" i="2"/>
  <c r="R82" i="5" s="1"/>
  <c r="AY77" i="2"/>
  <c r="Q82" i="5" s="1"/>
  <c r="BU76" i="2"/>
  <c r="BT76" i="2"/>
  <c r="AL63" i="5" s="1"/>
  <c r="BS76" i="2"/>
  <c r="AK63" i="5" s="1"/>
  <c r="BR76" i="2"/>
  <c r="AJ63" i="5" s="1"/>
  <c r="BQ76" i="2"/>
  <c r="AI63" i="5" s="1"/>
  <c r="BP76" i="2"/>
  <c r="AH63" i="5" s="1"/>
  <c r="BO76" i="2"/>
  <c r="AG63" i="5" s="1"/>
  <c r="BN76" i="2"/>
  <c r="AF63" i="5" s="1"/>
  <c r="BM76" i="2"/>
  <c r="AE63" i="5" s="1"/>
  <c r="BL76" i="2"/>
  <c r="AD63" i="5" s="1"/>
  <c r="BK76" i="2"/>
  <c r="AC63" i="5" s="1"/>
  <c r="BJ76" i="2"/>
  <c r="AB63" i="5" s="1"/>
  <c r="BI76" i="2"/>
  <c r="AA63" i="5" s="1"/>
  <c r="BH76" i="2"/>
  <c r="Z63" i="5" s="1"/>
  <c r="BG76" i="2"/>
  <c r="Y63" i="5" s="1"/>
  <c r="BF76" i="2"/>
  <c r="X63" i="5" s="1"/>
  <c r="BE76" i="2"/>
  <c r="W63" i="5" s="1"/>
  <c r="BD76" i="2"/>
  <c r="V63" i="5" s="1"/>
  <c r="BC76" i="2"/>
  <c r="U63" i="5" s="1"/>
  <c r="BB76" i="2"/>
  <c r="T63" i="5" s="1"/>
  <c r="BA76" i="2"/>
  <c r="S63" i="5" s="1"/>
  <c r="AZ76" i="2"/>
  <c r="R63" i="5" s="1"/>
  <c r="AY76" i="2"/>
  <c r="Q63" i="5" s="1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R81" i="5" s="1"/>
  <c r="AY74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BU71" i="2"/>
  <c r="BT71" i="2"/>
  <c r="AL118" i="5" s="1"/>
  <c r="BS71" i="2"/>
  <c r="AK118" i="5" s="1"/>
  <c r="BR71" i="2"/>
  <c r="AJ118" i="5" s="1"/>
  <c r="BQ71" i="2"/>
  <c r="AI118" i="5" s="1"/>
  <c r="BP71" i="2"/>
  <c r="AH118" i="5" s="1"/>
  <c r="BO71" i="2"/>
  <c r="AG118" i="5" s="1"/>
  <c r="BN71" i="2"/>
  <c r="AF118" i="5" s="1"/>
  <c r="BM71" i="2"/>
  <c r="AE118" i="5" s="1"/>
  <c r="BL71" i="2"/>
  <c r="AD118" i="5" s="1"/>
  <c r="BK71" i="2"/>
  <c r="AC118" i="5" s="1"/>
  <c r="BJ71" i="2"/>
  <c r="AB118" i="5" s="1"/>
  <c r="BI71" i="2"/>
  <c r="AA118" i="5" s="1"/>
  <c r="BH71" i="2"/>
  <c r="Z118" i="5" s="1"/>
  <c r="BG71" i="2"/>
  <c r="Y118" i="5" s="1"/>
  <c r="BF71" i="2"/>
  <c r="X118" i="5" s="1"/>
  <c r="BE71" i="2"/>
  <c r="W118" i="5" s="1"/>
  <c r="BD71" i="2"/>
  <c r="V118" i="5" s="1"/>
  <c r="BC71" i="2"/>
  <c r="U118" i="5" s="1"/>
  <c r="BB71" i="2"/>
  <c r="T118" i="5" s="1"/>
  <c r="BA71" i="2"/>
  <c r="S118" i="5" s="1"/>
  <c r="AZ71" i="2"/>
  <c r="R118" i="5" s="1"/>
  <c r="AY71" i="2"/>
  <c r="Q118" i="5" s="1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BU69" i="2"/>
  <c r="BT69" i="2"/>
  <c r="AL77" i="5" s="1"/>
  <c r="BS69" i="2"/>
  <c r="AK77" i="5" s="1"/>
  <c r="BR69" i="2"/>
  <c r="AJ77" i="5" s="1"/>
  <c r="BQ69" i="2"/>
  <c r="AI77" i="5" s="1"/>
  <c r="BP69" i="2"/>
  <c r="AH77" i="5" s="1"/>
  <c r="BO69" i="2"/>
  <c r="AG77" i="5" s="1"/>
  <c r="BN69" i="2"/>
  <c r="AF77" i="5" s="1"/>
  <c r="BM69" i="2"/>
  <c r="AE77" i="5" s="1"/>
  <c r="BL69" i="2"/>
  <c r="AD77" i="5" s="1"/>
  <c r="BK69" i="2"/>
  <c r="AC77" i="5" s="1"/>
  <c r="BJ69" i="2"/>
  <c r="AB77" i="5" s="1"/>
  <c r="BI69" i="2"/>
  <c r="AA77" i="5" s="1"/>
  <c r="BH69" i="2"/>
  <c r="Z77" i="5" s="1"/>
  <c r="BG69" i="2"/>
  <c r="Y77" i="5" s="1"/>
  <c r="BF69" i="2"/>
  <c r="X77" i="5" s="1"/>
  <c r="BE69" i="2"/>
  <c r="W77" i="5" s="1"/>
  <c r="BD69" i="2"/>
  <c r="V77" i="5" s="1"/>
  <c r="BC69" i="2"/>
  <c r="U77" i="5" s="1"/>
  <c r="BB69" i="2"/>
  <c r="T77" i="5" s="1"/>
  <c r="BA69" i="2"/>
  <c r="S77" i="5" s="1"/>
  <c r="AZ69" i="2"/>
  <c r="R77" i="5" s="1"/>
  <c r="AY69" i="2"/>
  <c r="Q77" i="5" s="1"/>
  <c r="BU68" i="2"/>
  <c r="BT68" i="2"/>
  <c r="AL61" i="5" s="1"/>
  <c r="BS68" i="2"/>
  <c r="AK61" i="5" s="1"/>
  <c r="BR68" i="2"/>
  <c r="AJ61" i="5" s="1"/>
  <c r="BQ68" i="2"/>
  <c r="AI61" i="5" s="1"/>
  <c r="BP68" i="2"/>
  <c r="AH61" i="5" s="1"/>
  <c r="BO68" i="2"/>
  <c r="AG61" i="5" s="1"/>
  <c r="BN68" i="2"/>
  <c r="AF61" i="5" s="1"/>
  <c r="BM68" i="2"/>
  <c r="AE61" i="5" s="1"/>
  <c r="BL68" i="2"/>
  <c r="AD61" i="5" s="1"/>
  <c r="BK68" i="2"/>
  <c r="AC61" i="5" s="1"/>
  <c r="BJ68" i="2"/>
  <c r="AB61" i="5" s="1"/>
  <c r="BI68" i="2"/>
  <c r="AA61" i="5" s="1"/>
  <c r="BH68" i="2"/>
  <c r="Z61" i="5" s="1"/>
  <c r="BG68" i="2"/>
  <c r="Y61" i="5" s="1"/>
  <c r="BF68" i="2"/>
  <c r="X61" i="5" s="1"/>
  <c r="BE68" i="2"/>
  <c r="W61" i="5" s="1"/>
  <c r="BD68" i="2"/>
  <c r="V61" i="5" s="1"/>
  <c r="BC68" i="2"/>
  <c r="U61" i="5" s="1"/>
  <c r="BB68" i="2"/>
  <c r="T61" i="5" s="1"/>
  <c r="BA68" i="2"/>
  <c r="S61" i="5" s="1"/>
  <c r="AZ68" i="2"/>
  <c r="R61" i="5" s="1"/>
  <c r="AY68" i="2"/>
  <c r="Q61" i="5" s="1"/>
  <c r="BU67" i="2"/>
  <c r="BT67" i="2"/>
  <c r="AL15" i="5" s="1"/>
  <c r="BS67" i="2"/>
  <c r="AK15" i="5" s="1"/>
  <c r="BR67" i="2"/>
  <c r="AJ15" i="5" s="1"/>
  <c r="BQ67" i="2"/>
  <c r="AI15" i="5" s="1"/>
  <c r="BP67" i="2"/>
  <c r="AH15" i="5" s="1"/>
  <c r="BO67" i="2"/>
  <c r="AG15" i="5" s="1"/>
  <c r="BN67" i="2"/>
  <c r="AF15" i="5" s="1"/>
  <c r="BM67" i="2"/>
  <c r="AE15" i="5" s="1"/>
  <c r="BL67" i="2"/>
  <c r="AD15" i="5" s="1"/>
  <c r="BK67" i="2"/>
  <c r="AC15" i="5" s="1"/>
  <c r="BJ67" i="2"/>
  <c r="AB15" i="5" s="1"/>
  <c r="BI67" i="2"/>
  <c r="AA15" i="5" s="1"/>
  <c r="BH67" i="2"/>
  <c r="Z15" i="5" s="1"/>
  <c r="BG67" i="2"/>
  <c r="Y15" i="5" s="1"/>
  <c r="BF67" i="2"/>
  <c r="X15" i="5" s="1"/>
  <c r="BE67" i="2"/>
  <c r="W15" i="5" s="1"/>
  <c r="BD67" i="2"/>
  <c r="V15" i="5" s="1"/>
  <c r="BC67" i="2"/>
  <c r="U15" i="5" s="1"/>
  <c r="BB67" i="2"/>
  <c r="T15" i="5" s="1"/>
  <c r="BA67" i="2"/>
  <c r="S15" i="5" s="1"/>
  <c r="AZ67" i="2"/>
  <c r="R15" i="5" s="1"/>
  <c r="AY67" i="2"/>
  <c r="Q15" i="5" s="1"/>
  <c r="BU66" i="2"/>
  <c r="BT66" i="2"/>
  <c r="AL14" i="5" s="1"/>
  <c r="BS66" i="2"/>
  <c r="AK14" i="5" s="1"/>
  <c r="BR66" i="2"/>
  <c r="AJ14" i="5" s="1"/>
  <c r="BQ66" i="2"/>
  <c r="AI14" i="5" s="1"/>
  <c r="BP66" i="2"/>
  <c r="AH14" i="5" s="1"/>
  <c r="BO66" i="2"/>
  <c r="AG14" i="5" s="1"/>
  <c r="BN66" i="2"/>
  <c r="AF14" i="5" s="1"/>
  <c r="BM66" i="2"/>
  <c r="AE14" i="5" s="1"/>
  <c r="BL66" i="2"/>
  <c r="AD14" i="5" s="1"/>
  <c r="BK66" i="2"/>
  <c r="AC14" i="5" s="1"/>
  <c r="BJ66" i="2"/>
  <c r="AB14" i="5" s="1"/>
  <c r="BI66" i="2"/>
  <c r="AA14" i="5" s="1"/>
  <c r="BH66" i="2"/>
  <c r="Z14" i="5" s="1"/>
  <c r="BG66" i="2"/>
  <c r="Y14" i="5" s="1"/>
  <c r="BF66" i="2"/>
  <c r="X14" i="5" s="1"/>
  <c r="BE66" i="2"/>
  <c r="W14" i="5" s="1"/>
  <c r="BD66" i="2"/>
  <c r="V14" i="5" s="1"/>
  <c r="BC66" i="2"/>
  <c r="U14" i="5" s="1"/>
  <c r="BB66" i="2"/>
  <c r="T14" i="5" s="1"/>
  <c r="BA66" i="2"/>
  <c r="S14" i="5" s="1"/>
  <c r="AZ66" i="2"/>
  <c r="R14" i="5" s="1"/>
  <c r="AY66" i="2"/>
  <c r="Q14" i="5" s="1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BU63" i="2"/>
  <c r="BT63" i="2"/>
  <c r="AL13" i="5" s="1"/>
  <c r="BS63" i="2"/>
  <c r="AK13" i="5" s="1"/>
  <c r="BR63" i="2"/>
  <c r="AJ13" i="5" s="1"/>
  <c r="BQ63" i="2"/>
  <c r="AI13" i="5" s="1"/>
  <c r="BP63" i="2"/>
  <c r="AH13" i="5" s="1"/>
  <c r="BO63" i="2"/>
  <c r="AG13" i="5" s="1"/>
  <c r="BN63" i="2"/>
  <c r="AF13" i="5" s="1"/>
  <c r="BM63" i="2"/>
  <c r="AE13" i="5" s="1"/>
  <c r="BL63" i="2"/>
  <c r="AD13" i="5" s="1"/>
  <c r="BK63" i="2"/>
  <c r="AC13" i="5" s="1"/>
  <c r="BJ63" i="2"/>
  <c r="AB13" i="5" s="1"/>
  <c r="BI63" i="2"/>
  <c r="AA13" i="5" s="1"/>
  <c r="BH63" i="2"/>
  <c r="Z13" i="5" s="1"/>
  <c r="BG63" i="2"/>
  <c r="Y13" i="5" s="1"/>
  <c r="BF63" i="2"/>
  <c r="X13" i="5" s="1"/>
  <c r="BE63" i="2"/>
  <c r="W13" i="5" s="1"/>
  <c r="BD63" i="2"/>
  <c r="V13" i="5" s="1"/>
  <c r="BC63" i="2"/>
  <c r="U13" i="5" s="1"/>
  <c r="BB63" i="2"/>
  <c r="T13" i="5" s="1"/>
  <c r="BA63" i="2"/>
  <c r="S13" i="5" s="1"/>
  <c r="AZ63" i="2"/>
  <c r="R13" i="5" s="1"/>
  <c r="AY63" i="2"/>
  <c r="Q13" i="5" s="1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BU61" i="2"/>
  <c r="BT61" i="2"/>
  <c r="AL12" i="5" s="1"/>
  <c r="BS61" i="2"/>
  <c r="AK12" i="5" s="1"/>
  <c r="BR61" i="2"/>
  <c r="AJ12" i="5" s="1"/>
  <c r="BQ61" i="2"/>
  <c r="AI12" i="5" s="1"/>
  <c r="BP61" i="2"/>
  <c r="AH12" i="5" s="1"/>
  <c r="BO61" i="2"/>
  <c r="AG12" i="5" s="1"/>
  <c r="BN61" i="2"/>
  <c r="AF12" i="5" s="1"/>
  <c r="BM61" i="2"/>
  <c r="AE12" i="5" s="1"/>
  <c r="BL61" i="2"/>
  <c r="AD12" i="5" s="1"/>
  <c r="BK61" i="2"/>
  <c r="AC12" i="5" s="1"/>
  <c r="BJ61" i="2"/>
  <c r="AB12" i="5" s="1"/>
  <c r="BI61" i="2"/>
  <c r="AA12" i="5" s="1"/>
  <c r="BH61" i="2"/>
  <c r="Z12" i="5" s="1"/>
  <c r="BG61" i="2"/>
  <c r="Y12" i="5" s="1"/>
  <c r="BF61" i="2"/>
  <c r="X12" i="5" s="1"/>
  <c r="BE61" i="2"/>
  <c r="W12" i="5" s="1"/>
  <c r="BD61" i="2"/>
  <c r="V12" i="5" s="1"/>
  <c r="BC61" i="2"/>
  <c r="U12" i="5" s="1"/>
  <c r="BB61" i="2"/>
  <c r="T12" i="5" s="1"/>
  <c r="BA61" i="2"/>
  <c r="S12" i="5" s="1"/>
  <c r="AZ61" i="2"/>
  <c r="R12" i="5" s="1"/>
  <c r="AY61" i="2"/>
  <c r="Q12" i="5" s="1"/>
  <c r="BU60" i="2"/>
  <c r="BT60" i="2"/>
  <c r="AL11" i="5" s="1"/>
  <c r="BS60" i="2"/>
  <c r="AK11" i="5" s="1"/>
  <c r="BR60" i="2"/>
  <c r="AJ11" i="5" s="1"/>
  <c r="BQ60" i="2"/>
  <c r="AI11" i="5" s="1"/>
  <c r="BP60" i="2"/>
  <c r="AH11" i="5" s="1"/>
  <c r="BO60" i="2"/>
  <c r="AG11" i="5" s="1"/>
  <c r="BN60" i="2"/>
  <c r="AF11" i="5" s="1"/>
  <c r="BM60" i="2"/>
  <c r="AE11" i="5" s="1"/>
  <c r="BL60" i="2"/>
  <c r="AD11" i="5" s="1"/>
  <c r="BK60" i="2"/>
  <c r="AC11" i="5" s="1"/>
  <c r="BJ60" i="2"/>
  <c r="AB11" i="5" s="1"/>
  <c r="BI60" i="2"/>
  <c r="AA11" i="5" s="1"/>
  <c r="BH60" i="2"/>
  <c r="Z11" i="5" s="1"/>
  <c r="BG60" i="2"/>
  <c r="Y11" i="5" s="1"/>
  <c r="BF60" i="2"/>
  <c r="X11" i="5" s="1"/>
  <c r="BE60" i="2"/>
  <c r="W11" i="5" s="1"/>
  <c r="BD60" i="2"/>
  <c r="V11" i="5" s="1"/>
  <c r="BC60" i="2"/>
  <c r="U11" i="5" s="1"/>
  <c r="BB60" i="2"/>
  <c r="T11" i="5" s="1"/>
  <c r="BA60" i="2"/>
  <c r="S11" i="5" s="1"/>
  <c r="AZ60" i="2"/>
  <c r="R11" i="5" s="1"/>
  <c r="AY60" i="2"/>
  <c r="Q11" i="5" s="1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BU58" i="2"/>
  <c r="BT58" i="2"/>
  <c r="AL35" i="5" s="1"/>
  <c r="BS58" i="2"/>
  <c r="AK35" i="5" s="1"/>
  <c r="BR58" i="2"/>
  <c r="AJ35" i="5" s="1"/>
  <c r="BQ58" i="2"/>
  <c r="AI35" i="5" s="1"/>
  <c r="BP58" i="2"/>
  <c r="AH35" i="5" s="1"/>
  <c r="BO58" i="2"/>
  <c r="AG35" i="5" s="1"/>
  <c r="BN58" i="2"/>
  <c r="AF35" i="5" s="1"/>
  <c r="BM58" i="2"/>
  <c r="AE35" i="5" s="1"/>
  <c r="BL58" i="2"/>
  <c r="AD35" i="5" s="1"/>
  <c r="BK58" i="2"/>
  <c r="AC35" i="5" s="1"/>
  <c r="BJ58" i="2"/>
  <c r="AB35" i="5" s="1"/>
  <c r="BI58" i="2"/>
  <c r="AA35" i="5" s="1"/>
  <c r="BH58" i="2"/>
  <c r="Z35" i="5" s="1"/>
  <c r="BG58" i="2"/>
  <c r="Y35" i="5" s="1"/>
  <c r="BF58" i="2"/>
  <c r="X35" i="5" s="1"/>
  <c r="BE58" i="2"/>
  <c r="W35" i="5" s="1"/>
  <c r="BD58" i="2"/>
  <c r="V35" i="5" s="1"/>
  <c r="BC58" i="2"/>
  <c r="U35" i="5" s="1"/>
  <c r="BB58" i="2"/>
  <c r="T35" i="5" s="1"/>
  <c r="BA58" i="2"/>
  <c r="S35" i="5" s="1"/>
  <c r="AZ58" i="2"/>
  <c r="R35" i="5" s="1"/>
  <c r="AY58" i="2"/>
  <c r="Q35" i="5" s="1"/>
  <c r="BT57" i="2"/>
  <c r="AL158" i="5" s="1"/>
  <c r="BS57" i="2"/>
  <c r="AK158" i="5" s="1"/>
  <c r="BR57" i="2"/>
  <c r="AJ158" i="5" s="1"/>
  <c r="BQ57" i="2"/>
  <c r="AI158" i="5" s="1"/>
  <c r="BP57" i="2"/>
  <c r="AH158" i="5" s="1"/>
  <c r="BO57" i="2"/>
  <c r="AG158" i="5" s="1"/>
  <c r="BN57" i="2"/>
  <c r="AF158" i="5" s="1"/>
  <c r="BM57" i="2"/>
  <c r="AE158" i="5" s="1"/>
  <c r="BL57" i="2"/>
  <c r="AD158" i="5" s="1"/>
  <c r="BK57" i="2"/>
  <c r="AC158" i="5" s="1"/>
  <c r="BJ57" i="2"/>
  <c r="AB158" i="5" s="1"/>
  <c r="BI57" i="2"/>
  <c r="AA158" i="5" s="1"/>
  <c r="BH57" i="2"/>
  <c r="Z158" i="5" s="1"/>
  <c r="BG57" i="2"/>
  <c r="Y158" i="5" s="1"/>
  <c r="BF57" i="2"/>
  <c r="X158" i="5" s="1"/>
  <c r="BE57" i="2"/>
  <c r="W158" i="5" s="1"/>
  <c r="BD57" i="2"/>
  <c r="V158" i="5" s="1"/>
  <c r="BC57" i="2"/>
  <c r="U158" i="5" s="1"/>
  <c r="BB57" i="2"/>
  <c r="T158" i="5" s="1"/>
  <c r="BA57" i="2"/>
  <c r="S158" i="5" s="1"/>
  <c r="AZ57" i="2"/>
  <c r="R158" i="5" s="1"/>
  <c r="AY57" i="2"/>
  <c r="Q158" i="5" s="1"/>
  <c r="BU56" i="2"/>
  <c r="BT56" i="2"/>
  <c r="AL117" i="5" s="1"/>
  <c r="BS56" i="2"/>
  <c r="AK117" i="5" s="1"/>
  <c r="BR56" i="2"/>
  <c r="AJ117" i="5" s="1"/>
  <c r="BQ56" i="2"/>
  <c r="AI117" i="5" s="1"/>
  <c r="BP56" i="2"/>
  <c r="AH117" i="5" s="1"/>
  <c r="BO56" i="2"/>
  <c r="AG117" i="5" s="1"/>
  <c r="BN56" i="2"/>
  <c r="AF117" i="5" s="1"/>
  <c r="BM56" i="2"/>
  <c r="AE117" i="5" s="1"/>
  <c r="BL56" i="2"/>
  <c r="AD117" i="5" s="1"/>
  <c r="BK56" i="2"/>
  <c r="AC117" i="5" s="1"/>
  <c r="BJ56" i="2"/>
  <c r="AB117" i="5" s="1"/>
  <c r="BI56" i="2"/>
  <c r="AA117" i="5" s="1"/>
  <c r="BH56" i="2"/>
  <c r="Z117" i="5" s="1"/>
  <c r="BG56" i="2"/>
  <c r="Y117" i="5" s="1"/>
  <c r="BF56" i="2"/>
  <c r="X117" i="5" s="1"/>
  <c r="BE56" i="2"/>
  <c r="W117" i="5" s="1"/>
  <c r="BD56" i="2"/>
  <c r="V117" i="5" s="1"/>
  <c r="BC56" i="2"/>
  <c r="U117" i="5" s="1"/>
  <c r="BB56" i="2"/>
  <c r="T117" i="5" s="1"/>
  <c r="BA56" i="2"/>
  <c r="S117" i="5" s="1"/>
  <c r="AZ56" i="2"/>
  <c r="R117" i="5" s="1"/>
  <c r="AY56" i="2"/>
  <c r="Q117" i="5" s="1"/>
  <c r="BU55" i="2"/>
  <c r="BT55" i="2"/>
  <c r="AL34" i="5" s="1"/>
  <c r="BS55" i="2"/>
  <c r="AK34" i="5" s="1"/>
  <c r="BR55" i="2"/>
  <c r="AJ34" i="5" s="1"/>
  <c r="BQ55" i="2"/>
  <c r="AI34" i="5" s="1"/>
  <c r="BP55" i="2"/>
  <c r="AH34" i="5" s="1"/>
  <c r="BO55" i="2"/>
  <c r="AG34" i="5" s="1"/>
  <c r="BN55" i="2"/>
  <c r="AF34" i="5" s="1"/>
  <c r="BM55" i="2"/>
  <c r="AE34" i="5" s="1"/>
  <c r="BL55" i="2"/>
  <c r="AD34" i="5" s="1"/>
  <c r="BK55" i="2"/>
  <c r="AC34" i="5" s="1"/>
  <c r="BJ55" i="2"/>
  <c r="AB34" i="5" s="1"/>
  <c r="BI55" i="2"/>
  <c r="AA34" i="5" s="1"/>
  <c r="BH55" i="2"/>
  <c r="Z34" i="5" s="1"/>
  <c r="BG55" i="2"/>
  <c r="Y34" i="5" s="1"/>
  <c r="BF55" i="2"/>
  <c r="X34" i="5" s="1"/>
  <c r="BE55" i="2"/>
  <c r="W34" i="5" s="1"/>
  <c r="BD55" i="2"/>
  <c r="V34" i="5" s="1"/>
  <c r="BC55" i="2"/>
  <c r="U34" i="5" s="1"/>
  <c r="BB55" i="2"/>
  <c r="T34" i="5" s="1"/>
  <c r="BA55" i="2"/>
  <c r="S34" i="5" s="1"/>
  <c r="AZ55" i="2"/>
  <c r="R34" i="5" s="1"/>
  <c r="AY55" i="2"/>
  <c r="Q34" i="5" s="1"/>
  <c r="BU54" i="2"/>
  <c r="BT54" i="2"/>
  <c r="AL10" i="5" s="1"/>
  <c r="BS54" i="2"/>
  <c r="AK10" i="5" s="1"/>
  <c r="BR54" i="2"/>
  <c r="AJ10" i="5" s="1"/>
  <c r="BQ54" i="2"/>
  <c r="AI10" i="5" s="1"/>
  <c r="BP54" i="2"/>
  <c r="AH10" i="5" s="1"/>
  <c r="BO54" i="2"/>
  <c r="AG10" i="5" s="1"/>
  <c r="BN54" i="2"/>
  <c r="AF10" i="5" s="1"/>
  <c r="BM54" i="2"/>
  <c r="AE10" i="5" s="1"/>
  <c r="BL54" i="2"/>
  <c r="AD10" i="5" s="1"/>
  <c r="BK54" i="2"/>
  <c r="AC10" i="5" s="1"/>
  <c r="BJ54" i="2"/>
  <c r="AB10" i="5" s="1"/>
  <c r="BI54" i="2"/>
  <c r="AA10" i="5" s="1"/>
  <c r="BH54" i="2"/>
  <c r="Z10" i="5" s="1"/>
  <c r="BG54" i="2"/>
  <c r="Y10" i="5" s="1"/>
  <c r="BF54" i="2"/>
  <c r="X10" i="5" s="1"/>
  <c r="BE54" i="2"/>
  <c r="W10" i="5" s="1"/>
  <c r="BD54" i="2"/>
  <c r="V10" i="5" s="1"/>
  <c r="BC54" i="2"/>
  <c r="U10" i="5" s="1"/>
  <c r="BB54" i="2"/>
  <c r="T10" i="5" s="1"/>
  <c r="BA54" i="2"/>
  <c r="S10" i="5" s="1"/>
  <c r="AZ54" i="2"/>
  <c r="R10" i="5" s="1"/>
  <c r="AY54" i="2"/>
  <c r="Q10" i="5" s="1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BU49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BU47" i="2"/>
  <c r="BT47" i="2"/>
  <c r="AL33" i="5" s="1"/>
  <c r="BS47" i="2"/>
  <c r="AK33" i="5" s="1"/>
  <c r="BR47" i="2"/>
  <c r="AJ33" i="5" s="1"/>
  <c r="BQ47" i="2"/>
  <c r="AI33" i="5" s="1"/>
  <c r="BP47" i="2"/>
  <c r="AH33" i="5" s="1"/>
  <c r="BO47" i="2"/>
  <c r="AG33" i="5" s="1"/>
  <c r="BN47" i="2"/>
  <c r="AF33" i="5" s="1"/>
  <c r="BM47" i="2"/>
  <c r="AE33" i="5" s="1"/>
  <c r="BL47" i="2"/>
  <c r="AD33" i="5" s="1"/>
  <c r="BK47" i="2"/>
  <c r="AC33" i="5" s="1"/>
  <c r="BJ47" i="2"/>
  <c r="AB33" i="5" s="1"/>
  <c r="BI47" i="2"/>
  <c r="AA33" i="5" s="1"/>
  <c r="BH47" i="2"/>
  <c r="Z33" i="5" s="1"/>
  <c r="BG47" i="2"/>
  <c r="Y33" i="5" s="1"/>
  <c r="BF47" i="2"/>
  <c r="X33" i="5" s="1"/>
  <c r="BE47" i="2"/>
  <c r="W33" i="5" s="1"/>
  <c r="BD47" i="2"/>
  <c r="V33" i="5" s="1"/>
  <c r="BC47" i="2"/>
  <c r="U33" i="5" s="1"/>
  <c r="BB47" i="2"/>
  <c r="T33" i="5" s="1"/>
  <c r="BA47" i="2"/>
  <c r="S33" i="5" s="1"/>
  <c r="AZ47" i="2"/>
  <c r="R33" i="5" s="1"/>
  <c r="AY47" i="2"/>
  <c r="Q33" i="5" s="1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S130" i="5" s="1"/>
  <c r="AZ46" i="2"/>
  <c r="AY46" i="2"/>
  <c r="BU45" i="2"/>
  <c r="BT45" i="2"/>
  <c r="AL32" i="5" s="1"/>
  <c r="BS45" i="2"/>
  <c r="AK32" i="5" s="1"/>
  <c r="BR45" i="2"/>
  <c r="AJ32" i="5" s="1"/>
  <c r="BQ45" i="2"/>
  <c r="AI32" i="5" s="1"/>
  <c r="BP45" i="2"/>
  <c r="AH32" i="5" s="1"/>
  <c r="BO45" i="2"/>
  <c r="AG32" i="5" s="1"/>
  <c r="BN45" i="2"/>
  <c r="AF32" i="5" s="1"/>
  <c r="BM45" i="2"/>
  <c r="AE32" i="5" s="1"/>
  <c r="BL45" i="2"/>
  <c r="AD32" i="5" s="1"/>
  <c r="BK45" i="2"/>
  <c r="AC32" i="5" s="1"/>
  <c r="BJ45" i="2"/>
  <c r="AB32" i="5" s="1"/>
  <c r="BI45" i="2"/>
  <c r="AA32" i="5" s="1"/>
  <c r="BH45" i="2"/>
  <c r="Z32" i="5" s="1"/>
  <c r="BG45" i="2"/>
  <c r="Y32" i="5" s="1"/>
  <c r="BF45" i="2"/>
  <c r="X32" i="5" s="1"/>
  <c r="BE45" i="2"/>
  <c r="W32" i="5" s="1"/>
  <c r="BD45" i="2"/>
  <c r="V32" i="5" s="1"/>
  <c r="BC45" i="2"/>
  <c r="U32" i="5" s="1"/>
  <c r="BB45" i="2"/>
  <c r="T32" i="5" s="1"/>
  <c r="BA45" i="2"/>
  <c r="S32" i="5" s="1"/>
  <c r="AZ45" i="2"/>
  <c r="R32" i="5" s="1"/>
  <c r="AY45" i="2"/>
  <c r="Q32" i="5" s="1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Q56" i="5" s="1"/>
  <c r="BU43" i="2"/>
  <c r="BU42" i="2"/>
  <c r="BT42" i="2"/>
  <c r="AL31" i="5" s="1"/>
  <c r="BS42" i="2"/>
  <c r="AK31" i="5" s="1"/>
  <c r="BR42" i="2"/>
  <c r="AJ31" i="5" s="1"/>
  <c r="BQ42" i="2"/>
  <c r="AI31" i="5" s="1"/>
  <c r="BP42" i="2"/>
  <c r="AH31" i="5" s="1"/>
  <c r="BO42" i="2"/>
  <c r="AG31" i="5" s="1"/>
  <c r="BN42" i="2"/>
  <c r="AF31" i="5" s="1"/>
  <c r="BM42" i="2"/>
  <c r="AE31" i="5" s="1"/>
  <c r="BL42" i="2"/>
  <c r="AD31" i="5" s="1"/>
  <c r="BK42" i="2"/>
  <c r="AC31" i="5" s="1"/>
  <c r="BJ42" i="2"/>
  <c r="AB31" i="5" s="1"/>
  <c r="BI42" i="2"/>
  <c r="AA31" i="5" s="1"/>
  <c r="BH42" i="2"/>
  <c r="Z31" i="5" s="1"/>
  <c r="BG42" i="2"/>
  <c r="Y31" i="5" s="1"/>
  <c r="BF42" i="2"/>
  <c r="X31" i="5" s="1"/>
  <c r="BE42" i="2"/>
  <c r="W31" i="5" s="1"/>
  <c r="BD42" i="2"/>
  <c r="V31" i="5" s="1"/>
  <c r="BC42" i="2"/>
  <c r="U31" i="5" s="1"/>
  <c r="BB42" i="2"/>
  <c r="T31" i="5" s="1"/>
  <c r="BA42" i="2"/>
  <c r="S31" i="5" s="1"/>
  <c r="AZ42" i="2"/>
  <c r="R31" i="5" s="1"/>
  <c r="AY42" i="2"/>
  <c r="Q31" i="5" s="1"/>
  <c r="BU41" i="2"/>
  <c r="BT41" i="2"/>
  <c r="AL9" i="5" s="1"/>
  <c r="BS41" i="2"/>
  <c r="AK9" i="5" s="1"/>
  <c r="BR41" i="2"/>
  <c r="AJ9" i="5" s="1"/>
  <c r="BQ41" i="2"/>
  <c r="AI9" i="5" s="1"/>
  <c r="BP41" i="2"/>
  <c r="AH9" i="5" s="1"/>
  <c r="BO41" i="2"/>
  <c r="AG9" i="5" s="1"/>
  <c r="BN41" i="2"/>
  <c r="AF9" i="5" s="1"/>
  <c r="BM41" i="2"/>
  <c r="AE9" i="5" s="1"/>
  <c r="BL41" i="2"/>
  <c r="AD9" i="5" s="1"/>
  <c r="BK41" i="2"/>
  <c r="AC9" i="5" s="1"/>
  <c r="BJ41" i="2"/>
  <c r="AB9" i="5" s="1"/>
  <c r="BI41" i="2"/>
  <c r="AA9" i="5" s="1"/>
  <c r="BH41" i="2"/>
  <c r="Z9" i="5" s="1"/>
  <c r="BG41" i="2"/>
  <c r="Y9" i="5" s="1"/>
  <c r="BF41" i="2"/>
  <c r="X9" i="5" s="1"/>
  <c r="BE41" i="2"/>
  <c r="W9" i="5" s="1"/>
  <c r="BD41" i="2"/>
  <c r="V9" i="5" s="1"/>
  <c r="BC41" i="2"/>
  <c r="U9" i="5" s="1"/>
  <c r="BB41" i="2"/>
  <c r="T9" i="5" s="1"/>
  <c r="BA41" i="2"/>
  <c r="S9" i="5" s="1"/>
  <c r="AZ41" i="2"/>
  <c r="R9" i="5" s="1"/>
  <c r="AY41" i="2"/>
  <c r="Q9" i="5" s="1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BU38" i="2"/>
  <c r="BT38" i="2"/>
  <c r="AL54" i="5" s="1"/>
  <c r="BS38" i="2"/>
  <c r="AK54" i="5" s="1"/>
  <c r="BR38" i="2"/>
  <c r="AJ54" i="5" s="1"/>
  <c r="BQ38" i="2"/>
  <c r="AI54" i="5" s="1"/>
  <c r="BP38" i="2"/>
  <c r="AH54" i="5" s="1"/>
  <c r="BO38" i="2"/>
  <c r="AG54" i="5" s="1"/>
  <c r="BN38" i="2"/>
  <c r="AF54" i="5" s="1"/>
  <c r="BM38" i="2"/>
  <c r="AE54" i="5" s="1"/>
  <c r="BL38" i="2"/>
  <c r="AD54" i="5" s="1"/>
  <c r="BK38" i="2"/>
  <c r="AC54" i="5" s="1"/>
  <c r="BJ38" i="2"/>
  <c r="AB54" i="5" s="1"/>
  <c r="BI38" i="2"/>
  <c r="AA54" i="5" s="1"/>
  <c r="BH38" i="2"/>
  <c r="Z54" i="5" s="1"/>
  <c r="BG38" i="2"/>
  <c r="Y54" i="5" s="1"/>
  <c r="BF38" i="2"/>
  <c r="X54" i="5" s="1"/>
  <c r="BE38" i="2"/>
  <c r="W54" i="5" s="1"/>
  <c r="BD38" i="2"/>
  <c r="V54" i="5" s="1"/>
  <c r="BC38" i="2"/>
  <c r="U54" i="5" s="1"/>
  <c r="BB38" i="2"/>
  <c r="T54" i="5" s="1"/>
  <c r="BA38" i="2"/>
  <c r="S54" i="5" s="1"/>
  <c r="AZ38" i="2"/>
  <c r="R54" i="5" s="1"/>
  <c r="AY38" i="2"/>
  <c r="Q54" i="5" s="1"/>
  <c r="BU37" i="2"/>
  <c r="BT37" i="2"/>
  <c r="AL8" i="5" s="1"/>
  <c r="BS37" i="2"/>
  <c r="AK8" i="5" s="1"/>
  <c r="BR37" i="2"/>
  <c r="AJ8" i="5" s="1"/>
  <c r="BQ37" i="2"/>
  <c r="AI8" i="5" s="1"/>
  <c r="BP37" i="2"/>
  <c r="AH8" i="5" s="1"/>
  <c r="BO37" i="2"/>
  <c r="AG8" i="5" s="1"/>
  <c r="BN37" i="2"/>
  <c r="AF8" i="5" s="1"/>
  <c r="BM37" i="2"/>
  <c r="AE8" i="5" s="1"/>
  <c r="BL37" i="2"/>
  <c r="AD8" i="5" s="1"/>
  <c r="BK37" i="2"/>
  <c r="AC8" i="5" s="1"/>
  <c r="BJ37" i="2"/>
  <c r="AB8" i="5" s="1"/>
  <c r="BI37" i="2"/>
  <c r="AA8" i="5" s="1"/>
  <c r="BH37" i="2"/>
  <c r="Z8" i="5" s="1"/>
  <c r="BG37" i="2"/>
  <c r="Y8" i="5" s="1"/>
  <c r="BF37" i="2"/>
  <c r="X8" i="5" s="1"/>
  <c r="BE37" i="2"/>
  <c r="W8" i="5" s="1"/>
  <c r="BD37" i="2"/>
  <c r="V8" i="5" s="1"/>
  <c r="BC37" i="2"/>
  <c r="U8" i="5" s="1"/>
  <c r="BB37" i="2"/>
  <c r="T8" i="5" s="1"/>
  <c r="BA37" i="2"/>
  <c r="S8" i="5" s="1"/>
  <c r="AZ37" i="2"/>
  <c r="R8" i="5" s="1"/>
  <c r="AY37" i="2"/>
  <c r="Q8" i="5" s="1"/>
  <c r="BU36" i="2"/>
  <c r="BT36" i="2"/>
  <c r="AL30" i="5" s="1"/>
  <c r="BS36" i="2"/>
  <c r="AK30" i="5" s="1"/>
  <c r="BR36" i="2"/>
  <c r="AJ30" i="5" s="1"/>
  <c r="BQ36" i="2"/>
  <c r="AI30" i="5" s="1"/>
  <c r="BP36" i="2"/>
  <c r="AH30" i="5" s="1"/>
  <c r="BO36" i="2"/>
  <c r="AG30" i="5" s="1"/>
  <c r="BN36" i="2"/>
  <c r="AF30" i="5" s="1"/>
  <c r="BM36" i="2"/>
  <c r="AE30" i="5" s="1"/>
  <c r="BL36" i="2"/>
  <c r="AD30" i="5" s="1"/>
  <c r="BK36" i="2"/>
  <c r="AC30" i="5" s="1"/>
  <c r="BJ36" i="2"/>
  <c r="AB30" i="5" s="1"/>
  <c r="BI36" i="2"/>
  <c r="AA30" i="5" s="1"/>
  <c r="BH36" i="2"/>
  <c r="Z30" i="5" s="1"/>
  <c r="BG36" i="2"/>
  <c r="Y30" i="5" s="1"/>
  <c r="BF36" i="2"/>
  <c r="X30" i="5" s="1"/>
  <c r="BE36" i="2"/>
  <c r="W30" i="5" s="1"/>
  <c r="BD36" i="2"/>
  <c r="V30" i="5" s="1"/>
  <c r="BC36" i="2"/>
  <c r="U30" i="5" s="1"/>
  <c r="BB36" i="2"/>
  <c r="T30" i="5" s="1"/>
  <c r="BA36" i="2"/>
  <c r="S30" i="5" s="1"/>
  <c r="AZ36" i="2"/>
  <c r="R30" i="5" s="1"/>
  <c r="AY36" i="2"/>
  <c r="Q30" i="5" s="1"/>
  <c r="BU35" i="2"/>
  <c r="BT35" i="2"/>
  <c r="AL7" i="5" s="1"/>
  <c r="BS35" i="2"/>
  <c r="AK7" i="5" s="1"/>
  <c r="BR35" i="2"/>
  <c r="AJ7" i="5" s="1"/>
  <c r="BQ35" i="2"/>
  <c r="AI7" i="5" s="1"/>
  <c r="BP35" i="2"/>
  <c r="AH7" i="5" s="1"/>
  <c r="BO35" i="2"/>
  <c r="AG7" i="5" s="1"/>
  <c r="BN35" i="2"/>
  <c r="AF7" i="5" s="1"/>
  <c r="BM35" i="2"/>
  <c r="AE7" i="5" s="1"/>
  <c r="BL35" i="2"/>
  <c r="AD7" i="5" s="1"/>
  <c r="BK35" i="2"/>
  <c r="AC7" i="5" s="1"/>
  <c r="BJ35" i="2"/>
  <c r="AB7" i="5" s="1"/>
  <c r="BI35" i="2"/>
  <c r="AA7" i="5" s="1"/>
  <c r="BH35" i="2"/>
  <c r="Z7" i="5" s="1"/>
  <c r="BG35" i="2"/>
  <c r="Y7" i="5" s="1"/>
  <c r="BF35" i="2"/>
  <c r="X7" i="5" s="1"/>
  <c r="BE35" i="2"/>
  <c r="W7" i="5" s="1"/>
  <c r="BD35" i="2"/>
  <c r="V7" i="5" s="1"/>
  <c r="BC35" i="2"/>
  <c r="U7" i="5" s="1"/>
  <c r="BB35" i="2"/>
  <c r="T7" i="5" s="1"/>
  <c r="BA35" i="2"/>
  <c r="S7" i="5" s="1"/>
  <c r="AZ35" i="2"/>
  <c r="R7" i="5" s="1"/>
  <c r="AY35" i="2"/>
  <c r="Q7" i="5" s="1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BU32" i="2"/>
  <c r="BT32" i="2"/>
  <c r="AL29" i="5" s="1"/>
  <c r="BS32" i="2"/>
  <c r="AK29" i="5" s="1"/>
  <c r="BR32" i="2"/>
  <c r="AJ29" i="5" s="1"/>
  <c r="BQ32" i="2"/>
  <c r="AI29" i="5" s="1"/>
  <c r="BP32" i="2"/>
  <c r="AH29" i="5" s="1"/>
  <c r="BO32" i="2"/>
  <c r="AG29" i="5" s="1"/>
  <c r="BN32" i="2"/>
  <c r="AF29" i="5" s="1"/>
  <c r="BM32" i="2"/>
  <c r="AE29" i="5" s="1"/>
  <c r="BL32" i="2"/>
  <c r="AD29" i="5" s="1"/>
  <c r="BK32" i="2"/>
  <c r="AC29" i="5" s="1"/>
  <c r="BJ32" i="2"/>
  <c r="AB29" i="5" s="1"/>
  <c r="BI32" i="2"/>
  <c r="AA29" i="5" s="1"/>
  <c r="BH32" i="2"/>
  <c r="Z29" i="5" s="1"/>
  <c r="BG32" i="2"/>
  <c r="Y29" i="5" s="1"/>
  <c r="BF32" i="2"/>
  <c r="X29" i="5" s="1"/>
  <c r="BE32" i="2"/>
  <c r="W29" i="5" s="1"/>
  <c r="BD32" i="2"/>
  <c r="V29" i="5" s="1"/>
  <c r="BC32" i="2"/>
  <c r="U29" i="5" s="1"/>
  <c r="BB32" i="2"/>
  <c r="T29" i="5" s="1"/>
  <c r="BA32" i="2"/>
  <c r="S29" i="5" s="1"/>
  <c r="AZ32" i="2"/>
  <c r="R29" i="5" s="1"/>
  <c r="AY32" i="2"/>
  <c r="Q29" i="5" s="1"/>
  <c r="BU31" i="2"/>
  <c r="BT31" i="2"/>
  <c r="AL5" i="5" s="1"/>
  <c r="BS31" i="2"/>
  <c r="AK5" i="5" s="1"/>
  <c r="BR31" i="2"/>
  <c r="AJ5" i="5" s="1"/>
  <c r="BQ31" i="2"/>
  <c r="AI5" i="5" s="1"/>
  <c r="BP31" i="2"/>
  <c r="AH5" i="5" s="1"/>
  <c r="BO31" i="2"/>
  <c r="AG5" i="5" s="1"/>
  <c r="BN31" i="2"/>
  <c r="AF5" i="5" s="1"/>
  <c r="BM31" i="2"/>
  <c r="AE5" i="5" s="1"/>
  <c r="BL31" i="2"/>
  <c r="AD5" i="5" s="1"/>
  <c r="BK31" i="2"/>
  <c r="AC5" i="5" s="1"/>
  <c r="BJ31" i="2"/>
  <c r="AB5" i="5" s="1"/>
  <c r="BI31" i="2"/>
  <c r="AA5" i="5" s="1"/>
  <c r="BH31" i="2"/>
  <c r="Z5" i="5" s="1"/>
  <c r="BG31" i="2"/>
  <c r="Y5" i="5" s="1"/>
  <c r="BF31" i="2"/>
  <c r="X5" i="5" s="1"/>
  <c r="BE31" i="2"/>
  <c r="W5" i="5" s="1"/>
  <c r="BD31" i="2"/>
  <c r="V5" i="5" s="1"/>
  <c r="BC31" i="2"/>
  <c r="U5" i="5" s="1"/>
  <c r="BB31" i="2"/>
  <c r="T5" i="5" s="1"/>
  <c r="BA31" i="2"/>
  <c r="S5" i="5" s="1"/>
  <c r="AZ31" i="2"/>
  <c r="R5" i="5" s="1"/>
  <c r="AY31" i="2"/>
  <c r="Q5" i="5" s="1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S105" i="5" s="1"/>
  <c r="AZ30" i="2"/>
  <c r="AY30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BU28" i="2"/>
  <c r="BT28" i="2"/>
  <c r="AL28" i="5" s="1"/>
  <c r="BS28" i="2"/>
  <c r="AK28" i="5" s="1"/>
  <c r="BR28" i="2"/>
  <c r="AJ28" i="5" s="1"/>
  <c r="BQ28" i="2"/>
  <c r="AI28" i="5" s="1"/>
  <c r="BP28" i="2"/>
  <c r="AH28" i="5" s="1"/>
  <c r="BO28" i="2"/>
  <c r="AG28" i="5" s="1"/>
  <c r="BN28" i="2"/>
  <c r="AF28" i="5" s="1"/>
  <c r="BM28" i="2"/>
  <c r="AE28" i="5" s="1"/>
  <c r="BL28" i="2"/>
  <c r="AD28" i="5" s="1"/>
  <c r="BK28" i="2"/>
  <c r="AC28" i="5" s="1"/>
  <c r="BJ28" i="2"/>
  <c r="AB28" i="5" s="1"/>
  <c r="BI28" i="2"/>
  <c r="AA28" i="5" s="1"/>
  <c r="BH28" i="2"/>
  <c r="Z28" i="5" s="1"/>
  <c r="BG28" i="2"/>
  <c r="Y28" i="5" s="1"/>
  <c r="BF28" i="2"/>
  <c r="X28" i="5" s="1"/>
  <c r="BE28" i="2"/>
  <c r="W28" i="5" s="1"/>
  <c r="BD28" i="2"/>
  <c r="V28" i="5" s="1"/>
  <c r="BC28" i="2"/>
  <c r="U28" i="5" s="1"/>
  <c r="BB28" i="2"/>
  <c r="T28" i="5" s="1"/>
  <c r="BA28" i="2"/>
  <c r="S28" i="5" s="1"/>
  <c r="AZ28" i="2"/>
  <c r="R28" i="5" s="1"/>
  <c r="AY28" i="2"/>
  <c r="Q28" i="5" s="1"/>
  <c r="BU27" i="2"/>
  <c r="BT27" i="2"/>
  <c r="AL104" i="5" s="1"/>
  <c r="BS27" i="2"/>
  <c r="AK104" i="5" s="1"/>
  <c r="BR27" i="2"/>
  <c r="AJ104" i="5" s="1"/>
  <c r="BQ27" i="2"/>
  <c r="AI104" i="5" s="1"/>
  <c r="BP27" i="2"/>
  <c r="AH104" i="5" s="1"/>
  <c r="BO27" i="2"/>
  <c r="AG104" i="5" s="1"/>
  <c r="BN27" i="2"/>
  <c r="AF104" i="5" s="1"/>
  <c r="BM27" i="2"/>
  <c r="AE104" i="5" s="1"/>
  <c r="BL27" i="2"/>
  <c r="AD104" i="5" s="1"/>
  <c r="BK27" i="2"/>
  <c r="AC104" i="5" s="1"/>
  <c r="BJ27" i="2"/>
  <c r="AB104" i="5" s="1"/>
  <c r="BI27" i="2"/>
  <c r="AA104" i="5" s="1"/>
  <c r="BH27" i="2"/>
  <c r="Z104" i="5" s="1"/>
  <c r="BG27" i="2"/>
  <c r="Y104" i="5" s="1"/>
  <c r="BF27" i="2"/>
  <c r="X104" i="5" s="1"/>
  <c r="BE27" i="2"/>
  <c r="W104" i="5" s="1"/>
  <c r="BD27" i="2"/>
  <c r="V104" i="5" s="1"/>
  <c r="BC27" i="2"/>
  <c r="U104" i="5" s="1"/>
  <c r="BB27" i="2"/>
  <c r="T104" i="5" s="1"/>
  <c r="BA27" i="2"/>
  <c r="S104" i="5" s="1"/>
  <c r="AZ27" i="2"/>
  <c r="R104" i="5" s="1"/>
  <c r="AY27" i="2"/>
  <c r="Q104" i="5" s="1"/>
  <c r="BU26" i="2"/>
  <c r="BT26" i="2"/>
  <c r="AL74" i="5" s="1"/>
  <c r="BS26" i="2"/>
  <c r="AK74" i="5" s="1"/>
  <c r="BR26" i="2"/>
  <c r="AJ74" i="5" s="1"/>
  <c r="BQ26" i="2"/>
  <c r="AI74" i="5" s="1"/>
  <c r="BP26" i="2"/>
  <c r="AH74" i="5" s="1"/>
  <c r="BO26" i="2"/>
  <c r="AG74" i="5" s="1"/>
  <c r="BN26" i="2"/>
  <c r="AF74" i="5" s="1"/>
  <c r="BM26" i="2"/>
  <c r="AE74" i="5" s="1"/>
  <c r="BL26" i="2"/>
  <c r="AD74" i="5" s="1"/>
  <c r="BK26" i="2"/>
  <c r="AC74" i="5" s="1"/>
  <c r="BJ26" i="2"/>
  <c r="AB74" i="5" s="1"/>
  <c r="BI26" i="2"/>
  <c r="AA74" i="5" s="1"/>
  <c r="BH26" i="2"/>
  <c r="Z74" i="5" s="1"/>
  <c r="BG26" i="2"/>
  <c r="Y74" i="5" s="1"/>
  <c r="BF26" i="2"/>
  <c r="X74" i="5" s="1"/>
  <c r="BE26" i="2"/>
  <c r="W74" i="5" s="1"/>
  <c r="BD26" i="2"/>
  <c r="V74" i="5" s="1"/>
  <c r="BC26" i="2"/>
  <c r="U74" i="5" s="1"/>
  <c r="BB26" i="2"/>
  <c r="T74" i="5" s="1"/>
  <c r="BA26" i="2"/>
  <c r="S74" i="5" s="1"/>
  <c r="AZ26" i="2"/>
  <c r="R74" i="5" s="1"/>
  <c r="AY26" i="2"/>
  <c r="Q74" i="5" s="1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BU24" i="2"/>
  <c r="BT24" i="2"/>
  <c r="AL4" i="5" s="1"/>
  <c r="BS24" i="2"/>
  <c r="AK4" i="5" s="1"/>
  <c r="BR24" i="2"/>
  <c r="AJ4" i="5" s="1"/>
  <c r="BQ24" i="2"/>
  <c r="AI4" i="5" s="1"/>
  <c r="BP24" i="2"/>
  <c r="AH4" i="5" s="1"/>
  <c r="BO24" i="2"/>
  <c r="AG4" i="5" s="1"/>
  <c r="BN24" i="2"/>
  <c r="AF4" i="5" s="1"/>
  <c r="BM24" i="2"/>
  <c r="AE4" i="5" s="1"/>
  <c r="BL24" i="2"/>
  <c r="AD4" i="5" s="1"/>
  <c r="BK24" i="2"/>
  <c r="AC4" i="5" s="1"/>
  <c r="BJ24" i="2"/>
  <c r="AB4" i="5" s="1"/>
  <c r="BI24" i="2"/>
  <c r="AA4" i="5" s="1"/>
  <c r="BH24" i="2"/>
  <c r="Z4" i="5" s="1"/>
  <c r="BG24" i="2"/>
  <c r="Y4" i="5" s="1"/>
  <c r="BF24" i="2"/>
  <c r="X4" i="5" s="1"/>
  <c r="BE24" i="2"/>
  <c r="W4" i="5" s="1"/>
  <c r="BD24" i="2"/>
  <c r="V4" i="5" s="1"/>
  <c r="BC24" i="2"/>
  <c r="U4" i="5" s="1"/>
  <c r="BB24" i="2"/>
  <c r="T4" i="5" s="1"/>
  <c r="BA24" i="2"/>
  <c r="S4" i="5" s="1"/>
  <c r="AZ24" i="2"/>
  <c r="R4" i="5" s="1"/>
  <c r="AY24" i="2"/>
  <c r="Q4" i="5" s="1"/>
  <c r="BU23" i="2"/>
  <c r="BT23" i="2"/>
  <c r="AL52" i="5" s="1"/>
  <c r="BS23" i="2"/>
  <c r="AK52" i="5" s="1"/>
  <c r="BR23" i="2"/>
  <c r="AJ52" i="5" s="1"/>
  <c r="BQ23" i="2"/>
  <c r="AI52" i="5" s="1"/>
  <c r="BP23" i="2"/>
  <c r="AH52" i="5" s="1"/>
  <c r="BO23" i="2"/>
  <c r="AG52" i="5" s="1"/>
  <c r="BN23" i="2"/>
  <c r="AF52" i="5" s="1"/>
  <c r="BM23" i="2"/>
  <c r="AE52" i="5" s="1"/>
  <c r="BL23" i="2"/>
  <c r="AD52" i="5" s="1"/>
  <c r="BK23" i="2"/>
  <c r="AC52" i="5" s="1"/>
  <c r="BJ23" i="2"/>
  <c r="AB52" i="5" s="1"/>
  <c r="BI23" i="2"/>
  <c r="AA52" i="5" s="1"/>
  <c r="BH23" i="2"/>
  <c r="Z52" i="5" s="1"/>
  <c r="BG23" i="2"/>
  <c r="Y52" i="5" s="1"/>
  <c r="BF23" i="2"/>
  <c r="X52" i="5" s="1"/>
  <c r="BE23" i="2"/>
  <c r="W52" i="5" s="1"/>
  <c r="BD23" i="2"/>
  <c r="V52" i="5" s="1"/>
  <c r="BC23" i="2"/>
  <c r="U52" i="5" s="1"/>
  <c r="BB23" i="2"/>
  <c r="T52" i="5" s="1"/>
  <c r="BA23" i="2"/>
  <c r="S52" i="5" s="1"/>
  <c r="AZ23" i="2"/>
  <c r="R52" i="5" s="1"/>
  <c r="AY23" i="2"/>
  <c r="Q52" i="5" s="1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S116" i="5" s="1"/>
  <c r="AZ22" i="2"/>
  <c r="AY22" i="2"/>
  <c r="BU21" i="2"/>
  <c r="BT21" i="2"/>
  <c r="AL51" i="5" s="1"/>
  <c r="BS21" i="2"/>
  <c r="AK51" i="5" s="1"/>
  <c r="BR21" i="2"/>
  <c r="AJ51" i="5" s="1"/>
  <c r="BQ21" i="2"/>
  <c r="AI51" i="5" s="1"/>
  <c r="BP21" i="2"/>
  <c r="AH51" i="5" s="1"/>
  <c r="BO21" i="2"/>
  <c r="AG51" i="5" s="1"/>
  <c r="BN21" i="2"/>
  <c r="AF51" i="5" s="1"/>
  <c r="BM21" i="2"/>
  <c r="AE51" i="5" s="1"/>
  <c r="BL21" i="2"/>
  <c r="AD51" i="5" s="1"/>
  <c r="BK21" i="2"/>
  <c r="AC51" i="5" s="1"/>
  <c r="BJ21" i="2"/>
  <c r="AB51" i="5" s="1"/>
  <c r="BI21" i="2"/>
  <c r="AA51" i="5" s="1"/>
  <c r="BH21" i="2"/>
  <c r="Z51" i="5" s="1"/>
  <c r="BG21" i="2"/>
  <c r="Y51" i="5" s="1"/>
  <c r="BF21" i="2"/>
  <c r="X51" i="5" s="1"/>
  <c r="BE21" i="2"/>
  <c r="W51" i="5" s="1"/>
  <c r="BD21" i="2"/>
  <c r="V51" i="5" s="1"/>
  <c r="BC21" i="2"/>
  <c r="U51" i="5" s="1"/>
  <c r="BB21" i="2"/>
  <c r="T51" i="5" s="1"/>
  <c r="BA21" i="2"/>
  <c r="S51" i="5" s="1"/>
  <c r="AZ21" i="2"/>
  <c r="R51" i="5" s="1"/>
  <c r="AY21" i="2"/>
  <c r="Q51" i="5" s="1"/>
  <c r="BU20" i="2"/>
  <c r="BT20" i="2"/>
  <c r="AL128" i="5" s="1"/>
  <c r="BS20" i="2"/>
  <c r="AK128" i="5" s="1"/>
  <c r="BR20" i="2"/>
  <c r="AJ128" i="5" s="1"/>
  <c r="BQ20" i="2"/>
  <c r="AI128" i="5" s="1"/>
  <c r="BP20" i="2"/>
  <c r="AH128" i="5" s="1"/>
  <c r="BO20" i="2"/>
  <c r="AG128" i="5" s="1"/>
  <c r="BN20" i="2"/>
  <c r="AF128" i="5" s="1"/>
  <c r="BM20" i="2"/>
  <c r="AE128" i="5" s="1"/>
  <c r="BL20" i="2"/>
  <c r="AD128" i="5" s="1"/>
  <c r="BK20" i="2"/>
  <c r="AC128" i="5" s="1"/>
  <c r="BJ20" i="2"/>
  <c r="AB128" i="5" s="1"/>
  <c r="BI20" i="2"/>
  <c r="AA128" i="5" s="1"/>
  <c r="BH20" i="2"/>
  <c r="Z128" i="5" s="1"/>
  <c r="BG20" i="2"/>
  <c r="Y128" i="5" s="1"/>
  <c r="BF20" i="2"/>
  <c r="X128" i="5" s="1"/>
  <c r="BE20" i="2"/>
  <c r="W128" i="5" s="1"/>
  <c r="BD20" i="2"/>
  <c r="V128" i="5" s="1"/>
  <c r="BC20" i="2"/>
  <c r="U128" i="5" s="1"/>
  <c r="BB20" i="2"/>
  <c r="T128" i="5" s="1"/>
  <c r="BA20" i="2"/>
  <c r="S128" i="5" s="1"/>
  <c r="AZ20" i="2"/>
  <c r="R128" i="5" s="1"/>
  <c r="AY20" i="2"/>
  <c r="Q128" i="5" s="1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BU18" i="2"/>
  <c r="BT18" i="2"/>
  <c r="AL50" i="5" s="1"/>
  <c r="BS18" i="2"/>
  <c r="AK50" i="5" s="1"/>
  <c r="BR18" i="2"/>
  <c r="AJ50" i="5" s="1"/>
  <c r="BQ18" i="2"/>
  <c r="AI50" i="5" s="1"/>
  <c r="BP18" i="2"/>
  <c r="AH50" i="5" s="1"/>
  <c r="BO18" i="2"/>
  <c r="AG50" i="5" s="1"/>
  <c r="BN18" i="2"/>
  <c r="AF50" i="5" s="1"/>
  <c r="BM18" i="2"/>
  <c r="AE50" i="5" s="1"/>
  <c r="BL18" i="2"/>
  <c r="AD50" i="5" s="1"/>
  <c r="BK18" i="2"/>
  <c r="AC50" i="5" s="1"/>
  <c r="BJ18" i="2"/>
  <c r="AB50" i="5" s="1"/>
  <c r="BI18" i="2"/>
  <c r="AA50" i="5" s="1"/>
  <c r="BH18" i="2"/>
  <c r="Z50" i="5" s="1"/>
  <c r="BG18" i="2"/>
  <c r="Y50" i="5" s="1"/>
  <c r="BF18" i="2"/>
  <c r="X50" i="5" s="1"/>
  <c r="BE18" i="2"/>
  <c r="W50" i="5" s="1"/>
  <c r="BD18" i="2"/>
  <c r="V50" i="5" s="1"/>
  <c r="BC18" i="2"/>
  <c r="U50" i="5" s="1"/>
  <c r="BB18" i="2"/>
  <c r="T50" i="5" s="1"/>
  <c r="BA18" i="2"/>
  <c r="S50" i="5" s="1"/>
  <c r="AZ18" i="2"/>
  <c r="R50" i="5" s="1"/>
  <c r="AY18" i="2"/>
  <c r="Q50" i="5" s="1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R103" i="5" s="1"/>
  <c r="AY17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BU14" i="2"/>
  <c r="BT14" i="2"/>
  <c r="AL48" i="5" s="1"/>
  <c r="BS14" i="2"/>
  <c r="AK48" i="5" s="1"/>
  <c r="BR14" i="2"/>
  <c r="AJ48" i="5" s="1"/>
  <c r="BQ14" i="2"/>
  <c r="AI48" i="5" s="1"/>
  <c r="BP14" i="2"/>
  <c r="AH48" i="5" s="1"/>
  <c r="BO14" i="2"/>
  <c r="AG48" i="5" s="1"/>
  <c r="BN14" i="2"/>
  <c r="AF48" i="5" s="1"/>
  <c r="BM14" i="2"/>
  <c r="AE48" i="5" s="1"/>
  <c r="BL14" i="2"/>
  <c r="AD48" i="5" s="1"/>
  <c r="BK14" i="2"/>
  <c r="AC48" i="5" s="1"/>
  <c r="BJ14" i="2"/>
  <c r="AB48" i="5" s="1"/>
  <c r="BI14" i="2"/>
  <c r="AA48" i="5" s="1"/>
  <c r="BH14" i="2"/>
  <c r="Z48" i="5" s="1"/>
  <c r="BG14" i="2"/>
  <c r="Y48" i="5" s="1"/>
  <c r="BF14" i="2"/>
  <c r="X48" i="5" s="1"/>
  <c r="BE14" i="2"/>
  <c r="W48" i="5" s="1"/>
  <c r="BD14" i="2"/>
  <c r="V48" i="5" s="1"/>
  <c r="BC14" i="2"/>
  <c r="U48" i="5" s="1"/>
  <c r="BB14" i="2"/>
  <c r="T48" i="5" s="1"/>
  <c r="BA14" i="2"/>
  <c r="S48" i="5" s="1"/>
  <c r="AZ14" i="2"/>
  <c r="R48" i="5" s="1"/>
  <c r="AY14" i="2"/>
  <c r="Q48" i="5" s="1"/>
  <c r="BU13" i="2"/>
  <c r="BT13" i="2"/>
  <c r="AL3" i="5" s="1"/>
  <c r="BS13" i="2"/>
  <c r="AK3" i="5" s="1"/>
  <c r="BR13" i="2"/>
  <c r="AJ3" i="5" s="1"/>
  <c r="BQ13" i="2"/>
  <c r="AI3" i="5" s="1"/>
  <c r="BP13" i="2"/>
  <c r="AH3" i="5" s="1"/>
  <c r="BO13" i="2"/>
  <c r="AG3" i="5" s="1"/>
  <c r="BN13" i="2"/>
  <c r="AF3" i="5" s="1"/>
  <c r="BM13" i="2"/>
  <c r="AE3" i="5" s="1"/>
  <c r="BL13" i="2"/>
  <c r="AD3" i="5" s="1"/>
  <c r="BK13" i="2"/>
  <c r="AC3" i="5" s="1"/>
  <c r="BJ13" i="2"/>
  <c r="AB3" i="5" s="1"/>
  <c r="BI13" i="2"/>
  <c r="AA3" i="5" s="1"/>
  <c r="BH13" i="2"/>
  <c r="Z3" i="5" s="1"/>
  <c r="BG13" i="2"/>
  <c r="Y3" i="5" s="1"/>
  <c r="BF13" i="2"/>
  <c r="X3" i="5" s="1"/>
  <c r="BE13" i="2"/>
  <c r="W3" i="5" s="1"/>
  <c r="BD13" i="2"/>
  <c r="V3" i="5" s="1"/>
  <c r="BC13" i="2"/>
  <c r="U3" i="5" s="1"/>
  <c r="BB13" i="2"/>
  <c r="T3" i="5" s="1"/>
  <c r="BA13" i="2"/>
  <c r="S3" i="5" s="1"/>
  <c r="AZ13" i="2"/>
  <c r="R3" i="5" s="1"/>
  <c r="AY13" i="2"/>
  <c r="Q3" i="5" s="1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J3" i="15" l="1"/>
  <c r="L8" i="15"/>
  <c r="D6" i="15"/>
  <c r="J8" i="15"/>
  <c r="L5" i="15"/>
  <c r="I8" i="15"/>
  <c r="K5" i="15"/>
  <c r="I3" i="15"/>
  <c r="K4" i="15"/>
  <c r="D5" i="15"/>
  <c r="I7" i="15"/>
  <c r="K8" i="15"/>
  <c r="L4" i="15"/>
  <c r="J7" i="15"/>
  <c r="I2" i="15"/>
  <c r="K3" i="15"/>
  <c r="D4" i="15"/>
  <c r="I6" i="15"/>
  <c r="K7" i="15"/>
  <c r="J2" i="15"/>
  <c r="L3" i="15"/>
  <c r="J6" i="15"/>
  <c r="L7" i="15"/>
  <c r="K2" i="15"/>
  <c r="D3" i="15"/>
  <c r="I5" i="15"/>
  <c r="K6" i="15"/>
  <c r="D7" i="15"/>
  <c r="L2" i="15"/>
  <c r="J5" i="15"/>
  <c r="L6" i="15"/>
  <c r="D2" i="15"/>
  <c r="I4" i="15"/>
  <c r="J4" i="15"/>
  <c r="J8" i="14"/>
  <c r="D6" i="14"/>
  <c r="J7" i="14"/>
  <c r="L8" i="14"/>
  <c r="D4" i="14"/>
  <c r="I8" i="14"/>
  <c r="K5" i="14"/>
  <c r="L5" i="14"/>
  <c r="I3" i="14"/>
  <c r="K4" i="14"/>
  <c r="D5" i="14"/>
  <c r="I7" i="14"/>
  <c r="K8" i="14"/>
  <c r="J3" i="14"/>
  <c r="I2" i="14"/>
  <c r="I6" i="14"/>
  <c r="K7" i="14"/>
  <c r="L4" i="14"/>
  <c r="J2" i="14"/>
  <c r="L3" i="14"/>
  <c r="J6" i="14"/>
  <c r="L7" i="14"/>
  <c r="K2" i="14"/>
  <c r="D3" i="14"/>
  <c r="I5" i="14"/>
  <c r="K6" i="14"/>
  <c r="D7" i="14"/>
  <c r="L2" i="14"/>
  <c r="J5" i="14"/>
  <c r="L6" i="14"/>
  <c r="K3" i="14"/>
  <c r="D2" i="14"/>
  <c r="I4" i="14"/>
  <c r="J4" i="14"/>
  <c r="L8" i="13"/>
  <c r="K8" i="13"/>
  <c r="J8" i="13"/>
  <c r="I8" i="13"/>
  <c r="L3" i="13"/>
  <c r="L7" i="13"/>
  <c r="L6" i="13"/>
  <c r="L5" i="13"/>
  <c r="L4" i="13"/>
  <c r="K3" i="13"/>
  <c r="K7" i="13"/>
  <c r="K6" i="13"/>
  <c r="K5" i="13"/>
  <c r="K4" i="13"/>
  <c r="J3" i="13"/>
  <c r="J7" i="13"/>
  <c r="J6" i="13"/>
  <c r="J5" i="13"/>
  <c r="J4" i="13"/>
  <c r="L2" i="13"/>
  <c r="K2" i="13"/>
  <c r="J2" i="13"/>
  <c r="I4" i="13"/>
  <c r="I7" i="13"/>
  <c r="I6" i="13"/>
  <c r="I5" i="13"/>
  <c r="I2" i="13"/>
  <c r="I3" i="13"/>
  <c r="D7" i="13"/>
  <c r="D2" i="13"/>
  <c r="D6" i="13"/>
  <c r="D5" i="13"/>
  <c r="D4" i="13"/>
  <c r="D3" i="13"/>
  <c r="K30" i="3"/>
  <c r="F14" i="4" s="1"/>
  <c r="AU63" i="11" s="1"/>
  <c r="K29" i="3"/>
  <c r="F13" i="4" s="1"/>
  <c r="AU23" i="11" s="1"/>
  <c r="AO45" i="11"/>
  <c r="AO4" i="11"/>
  <c r="AO51" i="11"/>
  <c r="AO71" i="11"/>
  <c r="AO13" i="11"/>
  <c r="AO53" i="11"/>
  <c r="AO51" i="10"/>
  <c r="AO45" i="10"/>
  <c r="AO4" i="10"/>
  <c r="AO53" i="10"/>
  <c r="AO71" i="10"/>
  <c r="AO13" i="10"/>
  <c r="AO53" i="9"/>
  <c r="AO45" i="9"/>
  <c r="AO51" i="9"/>
  <c r="AO13" i="9"/>
  <c r="AO71" i="9"/>
  <c r="AO4" i="9"/>
  <c r="AP4" i="5"/>
  <c r="AP29" i="5"/>
  <c r="AP20" i="5"/>
  <c r="AP31" i="5"/>
  <c r="AP15" i="5"/>
  <c r="AP38" i="5"/>
  <c r="AP43" i="5"/>
  <c r="AP7" i="5"/>
  <c r="AP11" i="5"/>
  <c r="AP21" i="5"/>
  <c r="AP24" i="5"/>
  <c r="AP44" i="5"/>
  <c r="AP2" i="5"/>
  <c r="AP28" i="5"/>
  <c r="AP30" i="5"/>
  <c r="AP12" i="5"/>
  <c r="AP22" i="5"/>
  <c r="AP41" i="5"/>
  <c r="AP25" i="5"/>
  <c r="AP27" i="5"/>
  <c r="AP3" i="5"/>
  <c r="AP8" i="5"/>
  <c r="AP32" i="5"/>
  <c r="AP37" i="5"/>
  <c r="AP18" i="5"/>
  <c r="AP39" i="5"/>
  <c r="AP26" i="5"/>
  <c r="AP46" i="5"/>
  <c r="AP10" i="5"/>
  <c r="AP13" i="5"/>
  <c r="AP36" i="5"/>
  <c r="AP16" i="5"/>
  <c r="AP45" i="5"/>
  <c r="AP47" i="5"/>
  <c r="AP5" i="5"/>
  <c r="AP33" i="5"/>
  <c r="AP34" i="5"/>
  <c r="AP19" i="5"/>
  <c r="AP40" i="5"/>
  <c r="AP17" i="5"/>
  <c r="AP6" i="5"/>
  <c r="AP9" i="5"/>
  <c r="AP35" i="5"/>
  <c r="AP14" i="5"/>
  <c r="AP23" i="5"/>
  <c r="AP42" i="5"/>
  <c r="AO43" i="11"/>
  <c r="AO31" i="11"/>
  <c r="AO50" i="11"/>
  <c r="AO19" i="11"/>
  <c r="AO78" i="11"/>
  <c r="AO10" i="11"/>
  <c r="AO78" i="10"/>
  <c r="AO43" i="10"/>
  <c r="AO19" i="10"/>
  <c r="AO10" i="10"/>
  <c r="AO31" i="10"/>
  <c r="AO50" i="10"/>
  <c r="AO31" i="9"/>
  <c r="AO78" i="9"/>
  <c r="AO19" i="9"/>
  <c r="AO50" i="9"/>
  <c r="AO10" i="9"/>
  <c r="AO43" i="9"/>
  <c r="AP135" i="5"/>
  <c r="AP128" i="5"/>
  <c r="AP132" i="5"/>
  <c r="AP130" i="5"/>
  <c r="AP133" i="5"/>
  <c r="AP131" i="5"/>
  <c r="AP129" i="5"/>
  <c r="AP134" i="5"/>
  <c r="R2" i="11"/>
  <c r="R2" i="10"/>
  <c r="R2" i="9"/>
  <c r="S92" i="5"/>
  <c r="AH3" i="11"/>
  <c r="AH3" i="10"/>
  <c r="AH3" i="9"/>
  <c r="AI101" i="5"/>
  <c r="AH4" i="11"/>
  <c r="AH4" i="10"/>
  <c r="AH4" i="9"/>
  <c r="AI2" i="5"/>
  <c r="Z5" i="11"/>
  <c r="Z5" i="10"/>
  <c r="Z5" i="9"/>
  <c r="AA49" i="5"/>
  <c r="R7" i="11"/>
  <c r="R7" i="10"/>
  <c r="R7" i="9"/>
  <c r="S103" i="5"/>
  <c r="AB2" i="11"/>
  <c r="AB2" i="10"/>
  <c r="AB2" i="9"/>
  <c r="AC92" i="5"/>
  <c r="AB3" i="11"/>
  <c r="AB3" i="10"/>
  <c r="AB3" i="9"/>
  <c r="AC101" i="5"/>
  <c r="T4" i="11"/>
  <c r="T4" i="10"/>
  <c r="T4" i="9"/>
  <c r="U2" i="5"/>
  <c r="AB5" i="11"/>
  <c r="AB5" i="10"/>
  <c r="AB5" i="9"/>
  <c r="AC49" i="5"/>
  <c r="T7" i="11"/>
  <c r="T7" i="10"/>
  <c r="T7" i="9"/>
  <c r="U103" i="5"/>
  <c r="T12" i="11"/>
  <c r="T12" i="10"/>
  <c r="T12" i="9"/>
  <c r="U105" i="5"/>
  <c r="AB13" i="11"/>
  <c r="AB13" i="10"/>
  <c r="AB13" i="9"/>
  <c r="AC6" i="5"/>
  <c r="T14" i="11"/>
  <c r="T14" i="10"/>
  <c r="T14" i="9"/>
  <c r="U136" i="5"/>
  <c r="AB15" i="11"/>
  <c r="AB15" i="10"/>
  <c r="AB15" i="9"/>
  <c r="AC137" i="5"/>
  <c r="AJ16" i="11"/>
  <c r="AJ16" i="10"/>
  <c r="AJ16" i="9"/>
  <c r="AK55" i="5"/>
  <c r="R18" i="11"/>
  <c r="R18" i="10"/>
  <c r="R18" i="9"/>
  <c r="S56" i="5"/>
  <c r="AH18" i="11"/>
  <c r="AH18" i="10"/>
  <c r="AH18" i="9"/>
  <c r="AI56" i="5"/>
  <c r="AH20" i="11"/>
  <c r="AH20" i="10"/>
  <c r="AH20" i="9"/>
  <c r="AI93" i="5"/>
  <c r="X23" i="11"/>
  <c r="X23" i="10"/>
  <c r="X23" i="9"/>
  <c r="Y75" i="5"/>
  <c r="P25" i="11"/>
  <c r="P25" i="10"/>
  <c r="P25" i="9"/>
  <c r="Q59" i="5"/>
  <c r="Q27" i="11"/>
  <c r="Q27" i="10"/>
  <c r="Q27" i="9"/>
  <c r="R106" i="5"/>
  <c r="Y29" i="11"/>
  <c r="Y29" i="10"/>
  <c r="Y29" i="9"/>
  <c r="Z76" i="5"/>
  <c r="AG30" i="11"/>
  <c r="AG30" i="10"/>
  <c r="AG30" i="9"/>
  <c r="AH62" i="5"/>
  <c r="AG31" i="11"/>
  <c r="AG31" i="10"/>
  <c r="AG31" i="9"/>
  <c r="AH131" i="5"/>
  <c r="AG32" i="11"/>
  <c r="AG32" i="10"/>
  <c r="AG32" i="9"/>
  <c r="AH125" i="5"/>
  <c r="Q34" i="11"/>
  <c r="Q34" i="10"/>
  <c r="Q34" i="9"/>
  <c r="R95" i="5"/>
  <c r="Q35" i="11"/>
  <c r="Q35" i="10"/>
  <c r="Q35" i="9"/>
  <c r="R119" i="5"/>
  <c r="Y36" i="11"/>
  <c r="Y36" i="10"/>
  <c r="Y36" i="9"/>
  <c r="Z140" i="5"/>
  <c r="AD2" i="11"/>
  <c r="AD2" i="10"/>
  <c r="AD2" i="9"/>
  <c r="AE92" i="5"/>
  <c r="V3" i="11"/>
  <c r="V3" i="10"/>
  <c r="V3" i="9"/>
  <c r="W101" i="5"/>
  <c r="AD4" i="11"/>
  <c r="AD4" i="10"/>
  <c r="AD4" i="9"/>
  <c r="AE2" i="5"/>
  <c r="V5" i="11"/>
  <c r="V5" i="10"/>
  <c r="V5" i="9"/>
  <c r="W49" i="5"/>
  <c r="AD7" i="11"/>
  <c r="AD7" i="10"/>
  <c r="AD7" i="9"/>
  <c r="AE103" i="5"/>
  <c r="AD8" i="11"/>
  <c r="AD8" i="10"/>
  <c r="AD8" i="9"/>
  <c r="AE80" i="5"/>
  <c r="V9" i="11"/>
  <c r="V9" i="10"/>
  <c r="V9" i="9"/>
  <c r="W116" i="5"/>
  <c r="AD10" i="11"/>
  <c r="AD10" i="10"/>
  <c r="AD10" i="9"/>
  <c r="AE129" i="5"/>
  <c r="AD11" i="11"/>
  <c r="AD11" i="10"/>
  <c r="AD11" i="9"/>
  <c r="AE53" i="5"/>
  <c r="V12" i="11"/>
  <c r="V12" i="10"/>
  <c r="V12" i="9"/>
  <c r="W105" i="5"/>
  <c r="AD12" i="11"/>
  <c r="AD12" i="10"/>
  <c r="AD12" i="9"/>
  <c r="AE105" i="5"/>
  <c r="V13" i="11"/>
  <c r="V13" i="10"/>
  <c r="V13" i="9"/>
  <c r="W6" i="5"/>
  <c r="AD13" i="11"/>
  <c r="AD13" i="10"/>
  <c r="AD13" i="9"/>
  <c r="AE6" i="5"/>
  <c r="V14" i="11"/>
  <c r="V14" i="10"/>
  <c r="V14" i="9"/>
  <c r="W136" i="5"/>
  <c r="AD14" i="11"/>
  <c r="AD14" i="10"/>
  <c r="AD14" i="9"/>
  <c r="AE136" i="5"/>
  <c r="V15" i="11"/>
  <c r="V15" i="10"/>
  <c r="V15" i="9"/>
  <c r="W137" i="5"/>
  <c r="AD15" i="11"/>
  <c r="AD15" i="10"/>
  <c r="AD15" i="9"/>
  <c r="AE137" i="5"/>
  <c r="V16" i="11"/>
  <c r="V16" i="10"/>
  <c r="V16" i="9"/>
  <c r="W55" i="5"/>
  <c r="AD16" i="11"/>
  <c r="AD16" i="10"/>
  <c r="AD16" i="9"/>
  <c r="AE55" i="5"/>
  <c r="T18" i="11"/>
  <c r="T18" i="10"/>
  <c r="T18" i="9"/>
  <c r="U56" i="5"/>
  <c r="AB18" i="11"/>
  <c r="AB18" i="10"/>
  <c r="AB18" i="9"/>
  <c r="AC56" i="5"/>
  <c r="AJ18" i="11"/>
  <c r="AJ18" i="10"/>
  <c r="AJ18" i="9"/>
  <c r="AK56" i="5"/>
  <c r="T19" i="11"/>
  <c r="T19" i="10"/>
  <c r="T19" i="9"/>
  <c r="U130" i="5"/>
  <c r="AB19" i="11"/>
  <c r="AB19" i="10"/>
  <c r="AB19" i="9"/>
  <c r="AC130" i="5"/>
  <c r="AJ19" i="11"/>
  <c r="AJ19" i="10"/>
  <c r="AJ19" i="9"/>
  <c r="AK130" i="5"/>
  <c r="T20" i="11"/>
  <c r="T20" i="10"/>
  <c r="T20" i="9"/>
  <c r="U93" i="5"/>
  <c r="AB20" i="11"/>
  <c r="AB20" i="10"/>
  <c r="AB20" i="9"/>
  <c r="AC93" i="5"/>
  <c r="AJ20" i="11"/>
  <c r="AJ20" i="10"/>
  <c r="AJ20" i="9"/>
  <c r="AK93" i="5"/>
  <c r="R22" i="11"/>
  <c r="R22" i="10"/>
  <c r="R22" i="9"/>
  <c r="S58" i="5"/>
  <c r="Z22" i="11"/>
  <c r="Z22" i="10"/>
  <c r="Z22" i="9"/>
  <c r="AA58" i="5"/>
  <c r="AH22" i="11"/>
  <c r="AH22" i="10"/>
  <c r="AH22" i="9"/>
  <c r="AI58" i="5"/>
  <c r="R23" i="11"/>
  <c r="R23" i="10"/>
  <c r="R23" i="9"/>
  <c r="S75" i="5"/>
  <c r="Z23" i="11"/>
  <c r="Z23" i="10"/>
  <c r="Z23" i="9"/>
  <c r="AA75" i="5"/>
  <c r="AH23" i="11"/>
  <c r="AH23" i="10"/>
  <c r="AH23" i="9"/>
  <c r="AI75" i="5"/>
  <c r="R24" i="11"/>
  <c r="R24" i="10"/>
  <c r="R24" i="9"/>
  <c r="S94" i="5"/>
  <c r="Z24" i="11"/>
  <c r="Z24" i="10"/>
  <c r="Z24" i="9"/>
  <c r="AA94" i="5"/>
  <c r="AH24" i="11"/>
  <c r="AH24" i="10"/>
  <c r="AH24" i="9"/>
  <c r="AI94" i="5"/>
  <c r="R25" i="11"/>
  <c r="R25" i="10"/>
  <c r="R25" i="9"/>
  <c r="S59" i="5"/>
  <c r="Z25" i="11"/>
  <c r="Z25" i="10"/>
  <c r="Z25" i="9"/>
  <c r="AA59" i="5"/>
  <c r="AH25" i="11"/>
  <c r="AH25" i="10"/>
  <c r="AH25" i="9"/>
  <c r="AI59" i="5"/>
  <c r="S26" i="11"/>
  <c r="S26" i="10"/>
  <c r="S26" i="9"/>
  <c r="T139" i="5"/>
  <c r="AA26" i="11"/>
  <c r="AA26" i="10"/>
  <c r="AA26" i="9"/>
  <c r="AB139" i="5"/>
  <c r="AI26" i="11"/>
  <c r="AI26" i="10"/>
  <c r="AI26" i="9"/>
  <c r="AJ139" i="5"/>
  <c r="S27" i="11"/>
  <c r="S27" i="10"/>
  <c r="S27" i="9"/>
  <c r="T106" i="5"/>
  <c r="AA27" i="11"/>
  <c r="AA27" i="10"/>
  <c r="AA27" i="9"/>
  <c r="AB106" i="5"/>
  <c r="AI27" i="11"/>
  <c r="AI27" i="10"/>
  <c r="AI27" i="9"/>
  <c r="AJ106" i="5"/>
  <c r="S28" i="11"/>
  <c r="S28" i="10"/>
  <c r="S28" i="9"/>
  <c r="T60" i="5"/>
  <c r="AA28" i="11"/>
  <c r="AA28" i="10"/>
  <c r="AA28" i="9"/>
  <c r="AB60" i="5"/>
  <c r="AI28" i="11"/>
  <c r="AI28" i="10"/>
  <c r="AI28" i="9"/>
  <c r="AJ60" i="5"/>
  <c r="S29" i="11"/>
  <c r="S29" i="10"/>
  <c r="S29" i="9"/>
  <c r="T76" i="5"/>
  <c r="AA29" i="11"/>
  <c r="AA29" i="10"/>
  <c r="AA29" i="9"/>
  <c r="AB76" i="5"/>
  <c r="AI29" i="11"/>
  <c r="AI29" i="10"/>
  <c r="AI29" i="9"/>
  <c r="AJ76" i="5"/>
  <c r="S30" i="11"/>
  <c r="S30" i="10"/>
  <c r="S30" i="9"/>
  <c r="T62" i="5"/>
  <c r="AA30" i="11"/>
  <c r="AA30" i="10"/>
  <c r="AA30" i="9"/>
  <c r="AB62" i="5"/>
  <c r="AI30" i="11"/>
  <c r="AI30" i="10"/>
  <c r="AI30" i="9"/>
  <c r="AJ62" i="5"/>
  <c r="S31" i="11"/>
  <c r="S31" i="10"/>
  <c r="S31" i="9"/>
  <c r="T131" i="5"/>
  <c r="AA31" i="11"/>
  <c r="AA31" i="10"/>
  <c r="AA31" i="9"/>
  <c r="AB131" i="5"/>
  <c r="AI31" i="11"/>
  <c r="AI31" i="10"/>
  <c r="AI31" i="9"/>
  <c r="AJ131" i="5"/>
  <c r="S32" i="11"/>
  <c r="S32" i="10"/>
  <c r="S32" i="9"/>
  <c r="T125" i="5"/>
  <c r="AA32" i="11"/>
  <c r="AA32" i="10"/>
  <c r="AA32" i="9"/>
  <c r="AB125" i="5"/>
  <c r="AI32" i="11"/>
  <c r="AI32" i="10"/>
  <c r="AI32" i="9"/>
  <c r="AJ125" i="5"/>
  <c r="S33" i="11"/>
  <c r="S33" i="10"/>
  <c r="S33" i="9"/>
  <c r="T81" i="5"/>
  <c r="AA33" i="11"/>
  <c r="AA33" i="10"/>
  <c r="AA33" i="9"/>
  <c r="AB81" i="5"/>
  <c r="AI33" i="11"/>
  <c r="AI33" i="10"/>
  <c r="AI33" i="9"/>
  <c r="AJ81" i="5"/>
  <c r="S34" i="11"/>
  <c r="S34" i="10"/>
  <c r="S34" i="9"/>
  <c r="T95" i="5"/>
  <c r="AA34" i="11"/>
  <c r="AA34" i="10"/>
  <c r="AA34" i="9"/>
  <c r="AB95" i="5"/>
  <c r="AI34" i="11"/>
  <c r="AI34" i="10"/>
  <c r="AI34" i="9"/>
  <c r="AJ95" i="5"/>
  <c r="S35" i="11"/>
  <c r="S35" i="10"/>
  <c r="S35" i="9"/>
  <c r="T119" i="5"/>
  <c r="AA35" i="11"/>
  <c r="AA35" i="10"/>
  <c r="AA35" i="9"/>
  <c r="AB119" i="5"/>
  <c r="AI35" i="11"/>
  <c r="AI35" i="10"/>
  <c r="AI35" i="9"/>
  <c r="AJ119" i="5"/>
  <c r="S36" i="11"/>
  <c r="S36" i="10"/>
  <c r="S36" i="9"/>
  <c r="T140" i="5"/>
  <c r="AA36" i="11"/>
  <c r="AA36" i="10"/>
  <c r="AA36" i="9"/>
  <c r="AB140" i="5"/>
  <c r="AI36" i="11"/>
  <c r="AI36" i="10"/>
  <c r="AI36" i="9"/>
  <c r="AJ140" i="5"/>
  <c r="S37" i="11"/>
  <c r="S37" i="10"/>
  <c r="S37" i="9"/>
  <c r="T83" i="5"/>
  <c r="AA37" i="11"/>
  <c r="AA37" i="10"/>
  <c r="AA37" i="9"/>
  <c r="AB83" i="5"/>
  <c r="AI37" i="11"/>
  <c r="AI37" i="10"/>
  <c r="AI37" i="9"/>
  <c r="AJ83" i="5"/>
  <c r="S38" i="11"/>
  <c r="S38" i="10"/>
  <c r="S38" i="9"/>
  <c r="T107" i="5"/>
  <c r="AA38" i="11"/>
  <c r="AA38" i="10"/>
  <c r="AA38" i="9"/>
  <c r="AB107" i="5"/>
  <c r="AI38" i="11"/>
  <c r="AI38" i="10"/>
  <c r="AI38" i="9"/>
  <c r="AJ107" i="5"/>
  <c r="S39" i="11"/>
  <c r="S39" i="10"/>
  <c r="S39" i="9"/>
  <c r="T141" i="5"/>
  <c r="AA39" i="11"/>
  <c r="AA39" i="10"/>
  <c r="AA39" i="9"/>
  <c r="AB141" i="5"/>
  <c r="AI39" i="11"/>
  <c r="AI39" i="10"/>
  <c r="AI39" i="9"/>
  <c r="AJ141" i="5"/>
  <c r="S40" i="11"/>
  <c r="S40" i="10"/>
  <c r="S40" i="9"/>
  <c r="T84" i="5"/>
  <c r="AA40" i="11"/>
  <c r="AA40" i="10"/>
  <c r="AA40" i="9"/>
  <c r="AB84" i="5"/>
  <c r="AI40" i="11"/>
  <c r="AI40" i="10"/>
  <c r="AI40" i="9"/>
  <c r="AJ84" i="5"/>
  <c r="S41" i="11"/>
  <c r="S41" i="10"/>
  <c r="S41" i="9"/>
  <c r="T121" i="5"/>
  <c r="AA41" i="11"/>
  <c r="AA41" i="10"/>
  <c r="AA41" i="9"/>
  <c r="AB121" i="5"/>
  <c r="AI41" i="11"/>
  <c r="AI41" i="10"/>
  <c r="AI41" i="9"/>
  <c r="AJ121" i="5"/>
  <c r="S42" i="11"/>
  <c r="S42" i="10"/>
  <c r="S42" i="9"/>
  <c r="T142" i="5"/>
  <c r="AA42" i="11"/>
  <c r="AA42" i="10"/>
  <c r="AA42" i="9"/>
  <c r="AB142" i="5"/>
  <c r="AI42" i="11"/>
  <c r="AI42" i="10"/>
  <c r="AI42" i="9"/>
  <c r="AJ142" i="5"/>
  <c r="S43" i="11"/>
  <c r="S43" i="10"/>
  <c r="S43" i="9"/>
  <c r="T132" i="5"/>
  <c r="AA43" i="11"/>
  <c r="AA43" i="10"/>
  <c r="AA43" i="9"/>
  <c r="AB132" i="5"/>
  <c r="AI43" i="11"/>
  <c r="AI43" i="10"/>
  <c r="AI43" i="9"/>
  <c r="AJ132" i="5"/>
  <c r="Q45" i="11"/>
  <c r="Q45" i="10"/>
  <c r="Q45" i="9"/>
  <c r="R19" i="5"/>
  <c r="Y45" i="11"/>
  <c r="Y45" i="10"/>
  <c r="Y45" i="9"/>
  <c r="Z19" i="5"/>
  <c r="AG45" i="11"/>
  <c r="AG45" i="10"/>
  <c r="AG45" i="9"/>
  <c r="AH19" i="5"/>
  <c r="Q46" i="11"/>
  <c r="Q46" i="10"/>
  <c r="Q46" i="9"/>
  <c r="Y46" i="11"/>
  <c r="Y46" i="10"/>
  <c r="Y46" i="9"/>
  <c r="Z64" i="5"/>
  <c r="AG46" i="11"/>
  <c r="AG46" i="10"/>
  <c r="AG46" i="9"/>
  <c r="AH64" i="5"/>
  <c r="Q47" i="11"/>
  <c r="Q47" i="10"/>
  <c r="Q47" i="9"/>
  <c r="R144" i="5"/>
  <c r="Y47" i="11"/>
  <c r="Y47" i="10"/>
  <c r="Y47" i="9"/>
  <c r="Z144" i="5"/>
  <c r="AG47" i="11"/>
  <c r="AG47" i="10"/>
  <c r="AG47" i="9"/>
  <c r="AH144" i="5"/>
  <c r="Q48" i="11"/>
  <c r="Q48" i="10"/>
  <c r="Q48" i="9"/>
  <c r="R145" i="5"/>
  <c r="Y48" i="11"/>
  <c r="Y48" i="10"/>
  <c r="Y48" i="9"/>
  <c r="Z145" i="5"/>
  <c r="AG48" i="11"/>
  <c r="AG48" i="10"/>
  <c r="AG48" i="9"/>
  <c r="AH145" i="5"/>
  <c r="Q49" i="11"/>
  <c r="Q49" i="10"/>
  <c r="Q49" i="9"/>
  <c r="R96" i="5"/>
  <c r="Y49" i="11"/>
  <c r="Y49" i="10"/>
  <c r="Y49" i="9"/>
  <c r="Z96" i="5"/>
  <c r="AG49" i="11"/>
  <c r="AG49" i="10"/>
  <c r="AG49" i="9"/>
  <c r="AH96" i="5"/>
  <c r="Q50" i="11"/>
  <c r="Q50" i="10"/>
  <c r="Q50" i="9"/>
  <c r="R133" i="5"/>
  <c r="Y50" i="11"/>
  <c r="Y50" i="10"/>
  <c r="Y50" i="9"/>
  <c r="Z133" i="5"/>
  <c r="AG50" i="11"/>
  <c r="AG50" i="10"/>
  <c r="AG50" i="9"/>
  <c r="AH133" i="5"/>
  <c r="Q51" i="11"/>
  <c r="Q51" i="10"/>
  <c r="Q51" i="9"/>
  <c r="R40" i="5"/>
  <c r="Y51" i="11"/>
  <c r="Y51" i="10"/>
  <c r="Y51" i="9"/>
  <c r="Z40" i="5"/>
  <c r="AG51" i="11"/>
  <c r="AG51" i="10"/>
  <c r="AG51" i="9"/>
  <c r="AH40" i="5"/>
  <c r="W53" i="11"/>
  <c r="W53" i="10"/>
  <c r="W53" i="9"/>
  <c r="X22" i="5"/>
  <c r="AE53" i="11"/>
  <c r="AE53" i="10"/>
  <c r="AE53" i="9"/>
  <c r="AF22" i="5"/>
  <c r="U55" i="11"/>
  <c r="U55" i="10"/>
  <c r="U55" i="9"/>
  <c r="V86" i="5"/>
  <c r="AC55" i="11"/>
  <c r="AC55" i="10"/>
  <c r="AC55" i="9"/>
  <c r="AD86" i="5"/>
  <c r="AK55" i="11"/>
  <c r="AK55" i="10"/>
  <c r="AK55" i="9"/>
  <c r="AL86" i="5"/>
  <c r="S57" i="11"/>
  <c r="S57" i="10"/>
  <c r="S57" i="9"/>
  <c r="T65" i="5"/>
  <c r="AA57" i="11"/>
  <c r="AA57" i="10"/>
  <c r="AA57" i="9"/>
  <c r="AB65" i="5"/>
  <c r="AI57" i="11"/>
  <c r="AI57" i="10"/>
  <c r="AI57" i="9"/>
  <c r="AJ65" i="5"/>
  <c r="S58" i="11"/>
  <c r="S58" i="10"/>
  <c r="S58" i="9"/>
  <c r="T149" i="5"/>
  <c r="AA58" i="11"/>
  <c r="AA58" i="10"/>
  <c r="AA58" i="9"/>
  <c r="AB149" i="5"/>
  <c r="AI58" i="11"/>
  <c r="AI58" i="10"/>
  <c r="AI58" i="9"/>
  <c r="AJ149" i="5"/>
  <c r="S59" i="11"/>
  <c r="S59" i="10"/>
  <c r="S59" i="9"/>
  <c r="AA59" i="11"/>
  <c r="AA59" i="10"/>
  <c r="AA59" i="9"/>
  <c r="AB66" i="5"/>
  <c r="AI59" i="11"/>
  <c r="AI59" i="10"/>
  <c r="AI59" i="9"/>
  <c r="AJ66" i="5"/>
  <c r="S60" i="11"/>
  <c r="S60" i="10"/>
  <c r="S60" i="9"/>
  <c r="T79" i="5"/>
  <c r="AA60" i="11"/>
  <c r="AA60" i="10"/>
  <c r="AA60" i="9"/>
  <c r="AB79" i="5"/>
  <c r="AI60" i="11"/>
  <c r="AI60" i="10"/>
  <c r="AI60" i="9"/>
  <c r="AJ79" i="5"/>
  <c r="S61" i="11"/>
  <c r="S61" i="10"/>
  <c r="S61" i="9"/>
  <c r="T150" i="5"/>
  <c r="AA61" i="11"/>
  <c r="AA61" i="10"/>
  <c r="AA61" i="9"/>
  <c r="AB150" i="5"/>
  <c r="AI61" i="11"/>
  <c r="AI61" i="10"/>
  <c r="AI61" i="9"/>
  <c r="AJ150" i="5"/>
  <c r="S62" i="11"/>
  <c r="S62" i="10"/>
  <c r="S62" i="9"/>
  <c r="T108" i="5"/>
  <c r="AA62" i="11"/>
  <c r="AA62" i="10"/>
  <c r="AA62" i="9"/>
  <c r="AB108" i="5"/>
  <c r="AI62" i="11"/>
  <c r="AI62" i="10"/>
  <c r="AI62" i="9"/>
  <c r="AJ108" i="5"/>
  <c r="S63" i="11"/>
  <c r="S63" i="10"/>
  <c r="S63" i="9"/>
  <c r="T87" i="5"/>
  <c r="AA63" i="11"/>
  <c r="AA63" i="10"/>
  <c r="AA63" i="9"/>
  <c r="AB87" i="5"/>
  <c r="AI63" i="11"/>
  <c r="AI63" i="10"/>
  <c r="AI63" i="9"/>
  <c r="AJ87" i="5"/>
  <c r="S64" i="11"/>
  <c r="S64" i="10"/>
  <c r="S64" i="9"/>
  <c r="T151" i="5"/>
  <c r="AA64" i="11"/>
  <c r="AA64" i="10"/>
  <c r="AA64" i="9"/>
  <c r="AB151" i="5"/>
  <c r="AI64" i="11"/>
  <c r="AI64" i="10"/>
  <c r="AI64" i="9"/>
  <c r="AJ151" i="5"/>
  <c r="S65" i="11"/>
  <c r="S65" i="10"/>
  <c r="S65" i="9"/>
  <c r="T122" i="5"/>
  <c r="AA65" i="11"/>
  <c r="AA65" i="10"/>
  <c r="AA65" i="9"/>
  <c r="AB122" i="5"/>
  <c r="AI65" i="11"/>
  <c r="AI65" i="10"/>
  <c r="AI65" i="9"/>
  <c r="AJ122" i="5"/>
  <c r="S66" i="11"/>
  <c r="S66" i="10"/>
  <c r="S66" i="9"/>
  <c r="T109" i="5"/>
  <c r="AA66" i="11"/>
  <c r="AA66" i="10"/>
  <c r="AA66" i="9"/>
  <c r="AB109" i="5"/>
  <c r="AI66" i="11"/>
  <c r="AI66" i="10"/>
  <c r="AI66" i="9"/>
  <c r="AJ109" i="5"/>
  <c r="Q68" i="11"/>
  <c r="Q68" i="10"/>
  <c r="Q68" i="9"/>
  <c r="R69" i="5"/>
  <c r="Y68" i="11"/>
  <c r="Y68" i="10"/>
  <c r="Y68" i="9"/>
  <c r="Z69" i="5"/>
  <c r="AG68" i="11"/>
  <c r="AG68" i="10"/>
  <c r="AG68" i="9"/>
  <c r="AH69" i="5"/>
  <c r="Q69" i="11"/>
  <c r="Q69" i="10"/>
  <c r="Q69" i="9"/>
  <c r="R152" i="5"/>
  <c r="Y69" i="11"/>
  <c r="Y69" i="10"/>
  <c r="Y69" i="9"/>
  <c r="Z152" i="5"/>
  <c r="AG69" i="11"/>
  <c r="AG69" i="10"/>
  <c r="AG69" i="9"/>
  <c r="AH152" i="5"/>
  <c r="Q70" i="11"/>
  <c r="Q70" i="10"/>
  <c r="Q70" i="9"/>
  <c r="R88" i="5"/>
  <c r="Y70" i="11"/>
  <c r="Y70" i="10"/>
  <c r="Y70" i="9"/>
  <c r="Z88" i="5"/>
  <c r="AG70" i="11"/>
  <c r="AG70" i="10"/>
  <c r="AG70" i="9"/>
  <c r="AH88" i="5"/>
  <c r="Q71" i="11"/>
  <c r="Q71" i="10"/>
  <c r="Q71" i="9"/>
  <c r="R24" i="5"/>
  <c r="Y71" i="11"/>
  <c r="Y71" i="10"/>
  <c r="Y71" i="9"/>
  <c r="Z24" i="5"/>
  <c r="AG71" i="11"/>
  <c r="AG71" i="10"/>
  <c r="AG71" i="9"/>
  <c r="AH24" i="5"/>
  <c r="Q72" i="11"/>
  <c r="Q72" i="10"/>
  <c r="Q72" i="9"/>
  <c r="R153" i="5"/>
  <c r="Y72" i="11"/>
  <c r="Y72" i="10"/>
  <c r="Y72" i="9"/>
  <c r="Z153" i="5"/>
  <c r="AG72" i="11"/>
  <c r="AG72" i="10"/>
  <c r="AG72" i="9"/>
  <c r="AH153" i="5"/>
  <c r="Q73" i="11"/>
  <c r="Q73" i="10"/>
  <c r="Q73" i="9"/>
  <c r="R70" i="5"/>
  <c r="Y73" i="11"/>
  <c r="Y73" i="10"/>
  <c r="Y73" i="9"/>
  <c r="Z70" i="5"/>
  <c r="AG73" i="11"/>
  <c r="AG73" i="10"/>
  <c r="AG73" i="9"/>
  <c r="AH70" i="5"/>
  <c r="Q74" i="11"/>
  <c r="Q74" i="10"/>
  <c r="Q74" i="9"/>
  <c r="R89" i="5"/>
  <c r="Y74" i="11"/>
  <c r="Y74" i="10"/>
  <c r="Y74" i="9"/>
  <c r="Z89" i="5"/>
  <c r="AG74" i="11"/>
  <c r="AG74" i="10"/>
  <c r="AG74" i="9"/>
  <c r="AH89" i="5"/>
  <c r="Q75" i="11"/>
  <c r="Q75" i="10"/>
  <c r="Q75" i="9"/>
  <c r="R111" i="5"/>
  <c r="Y75" i="11"/>
  <c r="Y75" i="10"/>
  <c r="Y75" i="9"/>
  <c r="Z111" i="5"/>
  <c r="AG75" i="11"/>
  <c r="AG75" i="10"/>
  <c r="AG75" i="9"/>
  <c r="AH111" i="5"/>
  <c r="Q76" i="11"/>
  <c r="Q76" i="10"/>
  <c r="Q76" i="9"/>
  <c r="Y76" i="11"/>
  <c r="Y76" i="10"/>
  <c r="Y76" i="9"/>
  <c r="Z127" i="5"/>
  <c r="AG76" i="11"/>
  <c r="AG76" i="10"/>
  <c r="AG76" i="9"/>
  <c r="AH127" i="5"/>
  <c r="Q77" i="11"/>
  <c r="Q77" i="10"/>
  <c r="Q77" i="9"/>
  <c r="R112" i="5"/>
  <c r="Y77" i="11"/>
  <c r="Y77" i="10"/>
  <c r="Y77" i="9"/>
  <c r="Z112" i="5"/>
  <c r="AG77" i="11"/>
  <c r="AG77" i="10"/>
  <c r="AG77" i="9"/>
  <c r="AH112" i="5"/>
  <c r="Q78" i="11"/>
  <c r="Q78" i="10"/>
  <c r="Q78" i="9"/>
  <c r="R135" i="5"/>
  <c r="Y78" i="11"/>
  <c r="Y78" i="10"/>
  <c r="Y78" i="9"/>
  <c r="Z135" i="5"/>
  <c r="AG78" i="11"/>
  <c r="AG78" i="10"/>
  <c r="AG78" i="9"/>
  <c r="AH135" i="5"/>
  <c r="Q79" i="11"/>
  <c r="Q79" i="10"/>
  <c r="Q79" i="9"/>
  <c r="R154" i="5"/>
  <c r="Y79" i="11"/>
  <c r="Y79" i="10"/>
  <c r="Y79" i="9"/>
  <c r="Z154" i="5"/>
  <c r="AG79" i="11"/>
  <c r="AG79" i="10"/>
  <c r="AG79" i="9"/>
  <c r="AH154" i="5"/>
  <c r="Q80" i="11"/>
  <c r="Q80" i="10"/>
  <c r="Q80" i="9"/>
  <c r="R90" i="5"/>
  <c r="Y80" i="11"/>
  <c r="Y80" i="10"/>
  <c r="Y80" i="9"/>
  <c r="Z90" i="5"/>
  <c r="AG80" i="11"/>
  <c r="AG80" i="10"/>
  <c r="AG80" i="9"/>
  <c r="AH90" i="5"/>
  <c r="Q81" i="11"/>
  <c r="Q81" i="10"/>
  <c r="Q81" i="9"/>
  <c r="R113" i="5"/>
  <c r="Y81" i="11"/>
  <c r="Y81" i="10"/>
  <c r="Y81" i="9"/>
  <c r="Z113" i="5"/>
  <c r="AG81" i="11"/>
  <c r="AG81" i="10"/>
  <c r="AG81" i="9"/>
  <c r="AH113" i="5"/>
  <c r="Q82" i="11"/>
  <c r="Q82" i="10"/>
  <c r="Q82" i="9"/>
  <c r="Y82" i="11"/>
  <c r="Y82" i="10"/>
  <c r="Y82" i="9"/>
  <c r="Z114" i="5"/>
  <c r="AG82" i="11"/>
  <c r="AG82" i="10"/>
  <c r="AG82" i="9"/>
  <c r="AH114" i="5"/>
  <c r="W84" i="11"/>
  <c r="W84" i="10"/>
  <c r="W84" i="9"/>
  <c r="X124" i="5"/>
  <c r="AE84" i="11"/>
  <c r="AE84" i="10"/>
  <c r="AE84" i="9"/>
  <c r="AF124" i="5"/>
  <c r="W85" i="11"/>
  <c r="W85" i="10"/>
  <c r="W85" i="9"/>
  <c r="X91" i="5"/>
  <c r="AE85" i="11"/>
  <c r="AE85" i="10"/>
  <c r="AE85" i="9"/>
  <c r="AF91" i="5"/>
  <c r="W86" i="11"/>
  <c r="W86" i="10"/>
  <c r="W86" i="9"/>
  <c r="X115" i="5"/>
  <c r="AE86" i="11"/>
  <c r="AE86" i="10"/>
  <c r="AE86" i="9"/>
  <c r="AF115" i="5"/>
  <c r="AL15" i="11"/>
  <c r="AL26" i="11"/>
  <c r="AL54" i="11"/>
  <c r="AL42" i="11"/>
  <c r="AL47" i="11"/>
  <c r="AL39" i="11"/>
  <c r="AL58" i="11"/>
  <c r="AL36" i="11"/>
  <c r="AL32" i="11"/>
  <c r="AL44" i="11"/>
  <c r="AL79" i="11"/>
  <c r="AL17" i="11"/>
  <c r="AL48" i="11"/>
  <c r="AL14" i="11"/>
  <c r="AL52" i="11"/>
  <c r="AL64" i="11"/>
  <c r="AL69" i="11"/>
  <c r="AL61" i="11"/>
  <c r="AL56" i="11"/>
  <c r="AL88" i="11"/>
  <c r="AL72" i="11"/>
  <c r="AL83" i="11"/>
  <c r="AL76" i="11"/>
  <c r="AL17" i="10"/>
  <c r="AL48" i="10"/>
  <c r="AL14" i="10"/>
  <c r="AL52" i="10"/>
  <c r="AL64" i="10"/>
  <c r="AL69" i="10"/>
  <c r="AL61" i="10"/>
  <c r="AL56" i="10"/>
  <c r="AL88" i="10"/>
  <c r="AL72" i="10"/>
  <c r="AL83" i="10"/>
  <c r="AL76" i="10"/>
  <c r="AL15" i="10"/>
  <c r="AL26" i="10"/>
  <c r="AL54" i="10"/>
  <c r="AL42" i="10"/>
  <c r="AL47" i="10"/>
  <c r="AL39" i="10"/>
  <c r="AL58" i="10"/>
  <c r="AL36" i="10"/>
  <c r="AL32" i="10"/>
  <c r="AL44" i="10"/>
  <c r="AL79" i="10"/>
  <c r="AL79" i="9"/>
  <c r="AL61" i="9"/>
  <c r="AL52" i="9"/>
  <c r="AL42" i="9"/>
  <c r="AL17" i="9"/>
  <c r="AL72" i="9"/>
  <c r="AL58" i="9"/>
  <c r="AL48" i="9"/>
  <c r="AL39" i="9"/>
  <c r="AL15" i="9"/>
  <c r="AL76" i="9"/>
  <c r="AL88" i="9"/>
  <c r="AL69" i="9"/>
  <c r="AL56" i="9"/>
  <c r="AL47" i="9"/>
  <c r="AL36" i="9"/>
  <c r="AL14" i="9"/>
  <c r="AL32" i="9"/>
  <c r="AL83" i="9"/>
  <c r="AL64" i="9"/>
  <c r="AL54" i="9"/>
  <c r="AL44" i="9"/>
  <c r="AL26" i="9"/>
  <c r="AM136" i="5"/>
  <c r="AM140" i="5"/>
  <c r="AM146" i="5"/>
  <c r="AM149" i="5"/>
  <c r="AM153" i="5"/>
  <c r="AM157" i="5"/>
  <c r="AM139" i="5"/>
  <c r="AM150" i="5"/>
  <c r="AM152" i="5"/>
  <c r="AM127" i="5"/>
  <c r="AM155" i="5"/>
  <c r="AM125" i="5"/>
  <c r="AM144" i="5"/>
  <c r="AM141" i="5"/>
  <c r="AM145" i="5"/>
  <c r="AM137" i="5"/>
  <c r="AM142" i="5"/>
  <c r="AM147" i="5"/>
  <c r="AM151" i="5"/>
  <c r="AM126" i="5"/>
  <c r="AM154" i="5"/>
  <c r="AM156" i="5"/>
  <c r="AM143" i="5"/>
  <c r="AM148" i="5"/>
  <c r="AM138" i="5"/>
  <c r="AM50" i="11"/>
  <c r="AM31" i="11"/>
  <c r="AM43" i="11"/>
  <c r="AM19" i="11"/>
  <c r="AM10" i="11"/>
  <c r="AM78" i="11"/>
  <c r="AM43" i="10"/>
  <c r="AM19" i="10"/>
  <c r="AM10" i="10"/>
  <c r="AM78" i="10"/>
  <c r="AM50" i="10"/>
  <c r="AM31" i="10"/>
  <c r="AM50" i="9"/>
  <c r="AM43" i="9"/>
  <c r="AM31" i="9"/>
  <c r="AM78" i="9"/>
  <c r="AM19" i="9"/>
  <c r="AN130" i="5"/>
  <c r="AN133" i="5"/>
  <c r="AM10" i="9"/>
  <c r="AN129" i="5"/>
  <c r="AN134" i="5"/>
  <c r="AN135" i="5"/>
  <c r="AN128" i="5"/>
  <c r="AN132" i="5"/>
  <c r="AN131" i="5"/>
  <c r="AP13" i="11"/>
  <c r="AP51" i="11"/>
  <c r="AP45" i="11"/>
  <c r="AP4" i="11"/>
  <c r="AP53" i="11"/>
  <c r="AP71" i="11"/>
  <c r="AP13" i="10"/>
  <c r="AP51" i="10"/>
  <c r="AP4" i="10"/>
  <c r="AP71" i="10"/>
  <c r="AP45" i="10"/>
  <c r="AP53" i="10"/>
  <c r="AP53" i="9"/>
  <c r="AP45" i="9"/>
  <c r="AP51" i="9"/>
  <c r="AP13" i="9"/>
  <c r="AP4" i="9"/>
  <c r="AQ3" i="5"/>
  <c r="AQ8" i="5"/>
  <c r="AQ32" i="5"/>
  <c r="AQ37" i="5"/>
  <c r="AQ18" i="5"/>
  <c r="AQ39" i="5"/>
  <c r="AQ26" i="5"/>
  <c r="AQ46" i="5"/>
  <c r="AQ5" i="5"/>
  <c r="AQ33" i="5"/>
  <c r="AQ34" i="5"/>
  <c r="AQ19" i="5"/>
  <c r="AQ40" i="5"/>
  <c r="AQ4" i="5"/>
  <c r="AQ29" i="5"/>
  <c r="AQ20" i="5"/>
  <c r="AQ6" i="5"/>
  <c r="AQ9" i="5"/>
  <c r="AQ35" i="5"/>
  <c r="AQ14" i="5"/>
  <c r="AQ17" i="5"/>
  <c r="AQ23" i="5"/>
  <c r="AQ42" i="5"/>
  <c r="AP71" i="9"/>
  <c r="AQ31" i="5"/>
  <c r="AQ15" i="5"/>
  <c r="AQ38" i="5"/>
  <c r="AQ43" i="5"/>
  <c r="AQ7" i="5"/>
  <c r="AQ11" i="5"/>
  <c r="AQ21" i="5"/>
  <c r="AQ24" i="5"/>
  <c r="AQ44" i="5"/>
  <c r="AQ2" i="5"/>
  <c r="AQ28" i="5"/>
  <c r="AQ30" i="5"/>
  <c r="AQ12" i="5"/>
  <c r="AQ22" i="5"/>
  <c r="AQ41" i="5"/>
  <c r="AQ25" i="5"/>
  <c r="AQ27" i="5"/>
  <c r="AQ10" i="5"/>
  <c r="AQ13" i="5"/>
  <c r="AQ36" i="5"/>
  <c r="AQ16" i="5"/>
  <c r="AQ45" i="5"/>
  <c r="AQ47" i="5"/>
  <c r="AN78" i="11"/>
  <c r="AN50" i="11"/>
  <c r="AN31" i="11"/>
  <c r="AN43" i="11"/>
  <c r="AN19" i="11"/>
  <c r="AN10" i="11"/>
  <c r="AN31" i="10"/>
  <c r="AN43" i="10"/>
  <c r="AN19" i="10"/>
  <c r="AN10" i="10"/>
  <c r="AN78" i="10"/>
  <c r="AN50" i="10"/>
  <c r="AN43" i="9"/>
  <c r="AN31" i="9"/>
  <c r="AN78" i="9"/>
  <c r="AN19" i="9"/>
  <c r="AN50" i="9"/>
  <c r="AN10" i="9"/>
  <c r="AO135" i="5"/>
  <c r="AO130" i="5"/>
  <c r="AO133" i="5"/>
  <c r="AO131" i="5"/>
  <c r="AO129" i="5"/>
  <c r="AO134" i="5"/>
  <c r="AO128" i="5"/>
  <c r="AO132" i="5"/>
  <c r="AP18" i="11"/>
  <c r="AP16" i="11"/>
  <c r="AP22" i="11"/>
  <c r="AP68" i="11"/>
  <c r="AP57" i="11"/>
  <c r="AP28" i="11"/>
  <c r="AP5" i="11"/>
  <c r="AP11" i="11"/>
  <c r="AP23" i="11"/>
  <c r="AP29" i="11"/>
  <c r="AP46" i="11"/>
  <c r="AP25" i="11"/>
  <c r="AP60" i="11"/>
  <c r="AP87" i="11"/>
  <c r="AP67" i="11"/>
  <c r="AP30" i="11"/>
  <c r="AP59" i="11"/>
  <c r="AP73" i="11"/>
  <c r="AP21" i="11"/>
  <c r="AP18" i="10"/>
  <c r="AP16" i="10"/>
  <c r="AP57" i="10"/>
  <c r="AP28" i="10"/>
  <c r="AP21" i="10"/>
  <c r="AP5" i="10"/>
  <c r="AP46" i="10"/>
  <c r="AP25" i="10"/>
  <c r="AP67" i="10"/>
  <c r="AP30" i="10"/>
  <c r="AP73" i="10"/>
  <c r="AP22" i="10"/>
  <c r="AP68" i="10"/>
  <c r="AP11" i="10"/>
  <c r="AP87" i="10"/>
  <c r="AP59" i="10"/>
  <c r="AP23" i="10"/>
  <c r="AP29" i="10"/>
  <c r="AP60" i="10"/>
  <c r="AP29" i="9"/>
  <c r="AP68" i="9"/>
  <c r="AP46" i="9"/>
  <c r="AP22" i="9"/>
  <c r="AP11" i="9"/>
  <c r="AP23" i="9"/>
  <c r="AP67" i="9"/>
  <c r="AP30" i="9"/>
  <c r="AP21" i="9"/>
  <c r="AP5" i="9"/>
  <c r="AP87" i="9"/>
  <c r="AP59" i="9"/>
  <c r="AP28" i="9"/>
  <c r="AP18" i="9"/>
  <c r="AQ51" i="5"/>
  <c r="AQ53" i="5"/>
  <c r="AQ59" i="5"/>
  <c r="AQ62" i="5"/>
  <c r="AQ67" i="5"/>
  <c r="AQ70" i="5"/>
  <c r="AP73" i="9"/>
  <c r="AP16" i="9"/>
  <c r="AQ49" i="5"/>
  <c r="AQ52" i="5"/>
  <c r="AQ60" i="5"/>
  <c r="AQ69" i="5"/>
  <c r="AQ72" i="5"/>
  <c r="AQ55" i="5"/>
  <c r="AQ76" i="5"/>
  <c r="AP57" i="9"/>
  <c r="AQ57" i="5"/>
  <c r="AQ64" i="5"/>
  <c r="AQ65" i="5"/>
  <c r="AQ50" i="5"/>
  <c r="AQ74" i="5"/>
  <c r="AQ58" i="5"/>
  <c r="AQ78" i="5"/>
  <c r="AQ73" i="5"/>
  <c r="AP60" i="9"/>
  <c r="AQ75" i="5"/>
  <c r="AQ61" i="5"/>
  <c r="AQ63" i="5"/>
  <c r="AQ66" i="5"/>
  <c r="AP25" i="9"/>
  <c r="AQ56" i="5"/>
  <c r="AQ77" i="5"/>
  <c r="AQ79" i="5"/>
  <c r="AQ68" i="5"/>
  <c r="AQ48" i="5"/>
  <c r="AQ71" i="5"/>
  <c r="AQ54" i="5"/>
  <c r="R114" i="5"/>
  <c r="T3" i="11"/>
  <c r="T3" i="10"/>
  <c r="T3" i="9"/>
  <c r="U101" i="5"/>
  <c r="AB4" i="11"/>
  <c r="AB4" i="10"/>
  <c r="AB4" i="9"/>
  <c r="AC2" i="5"/>
  <c r="AJ5" i="11"/>
  <c r="AJ5" i="10"/>
  <c r="AJ5" i="9"/>
  <c r="AK49" i="5"/>
  <c r="AB8" i="11"/>
  <c r="AB8" i="10"/>
  <c r="AB8" i="9"/>
  <c r="AC80" i="5"/>
  <c r="AB9" i="11"/>
  <c r="AB9" i="10"/>
  <c r="AB9" i="9"/>
  <c r="AC116" i="5"/>
  <c r="AB11" i="11"/>
  <c r="AB11" i="10"/>
  <c r="AB11" i="9"/>
  <c r="AC53" i="5"/>
  <c r="AJ12" i="11"/>
  <c r="AJ12" i="10"/>
  <c r="AJ12" i="9"/>
  <c r="AK105" i="5"/>
  <c r="AJ15" i="11"/>
  <c r="AJ15" i="10"/>
  <c r="AJ15" i="9"/>
  <c r="AK137" i="5"/>
  <c r="X22" i="11"/>
  <c r="X22" i="10"/>
  <c r="X22" i="9"/>
  <c r="Y58" i="5"/>
  <c r="P24" i="11"/>
  <c r="P24" i="10"/>
  <c r="P24" i="9"/>
  <c r="AG26" i="11"/>
  <c r="AG26" i="10"/>
  <c r="AG26" i="9"/>
  <c r="AH139" i="5"/>
  <c r="AG27" i="11"/>
  <c r="AG27" i="10"/>
  <c r="AG27" i="9"/>
  <c r="AH106" i="5"/>
  <c r="Y28" i="11"/>
  <c r="Y28" i="10"/>
  <c r="Y28" i="9"/>
  <c r="Z60" i="5"/>
  <c r="Y30" i="11"/>
  <c r="Y30" i="10"/>
  <c r="Y30" i="9"/>
  <c r="Z62" i="5"/>
  <c r="Y31" i="11"/>
  <c r="Y31" i="10"/>
  <c r="Y31" i="9"/>
  <c r="Z131" i="5"/>
  <c r="Y32" i="11"/>
  <c r="Y32" i="10"/>
  <c r="Y32" i="9"/>
  <c r="Z125" i="5"/>
  <c r="Y33" i="11"/>
  <c r="Y33" i="10"/>
  <c r="Y33" i="9"/>
  <c r="Z81" i="5"/>
  <c r="Y34" i="11"/>
  <c r="Y34" i="10"/>
  <c r="Y34" i="9"/>
  <c r="Z95" i="5"/>
  <c r="Q36" i="11"/>
  <c r="Q36" i="10"/>
  <c r="Q36" i="9"/>
  <c r="R140" i="5"/>
  <c r="V2" i="11"/>
  <c r="V2" i="10"/>
  <c r="V2" i="9"/>
  <c r="W92" i="5"/>
  <c r="AD3" i="11"/>
  <c r="AD3" i="10"/>
  <c r="AD3" i="9"/>
  <c r="AE101" i="5"/>
  <c r="V4" i="11"/>
  <c r="V4" i="10"/>
  <c r="V4" i="9"/>
  <c r="W2" i="5"/>
  <c r="AD5" i="11"/>
  <c r="AD5" i="10"/>
  <c r="AD5" i="9"/>
  <c r="AE49" i="5"/>
  <c r="V6" i="11"/>
  <c r="V6" i="10"/>
  <c r="V6" i="9"/>
  <c r="W102" i="5"/>
  <c r="AD6" i="11"/>
  <c r="AD6" i="10"/>
  <c r="AD6" i="9"/>
  <c r="AE102" i="5"/>
  <c r="V7" i="11"/>
  <c r="V7" i="10"/>
  <c r="V7" i="9"/>
  <c r="W103" i="5"/>
  <c r="V8" i="11"/>
  <c r="V8" i="10"/>
  <c r="V8" i="9"/>
  <c r="W80" i="5"/>
  <c r="AD9" i="11"/>
  <c r="AD9" i="10"/>
  <c r="AD9" i="9"/>
  <c r="AE116" i="5"/>
  <c r="V10" i="11"/>
  <c r="V10" i="10"/>
  <c r="V10" i="9"/>
  <c r="W129" i="5"/>
  <c r="V11" i="11"/>
  <c r="V11" i="10"/>
  <c r="V11" i="9"/>
  <c r="W53" i="5"/>
  <c r="W2" i="11"/>
  <c r="W2" i="10"/>
  <c r="W2" i="9"/>
  <c r="X92" i="5"/>
  <c r="AE2" i="11"/>
  <c r="AE2" i="10"/>
  <c r="AE2" i="9"/>
  <c r="AF92" i="5"/>
  <c r="W3" i="11"/>
  <c r="W3" i="10"/>
  <c r="W3" i="9"/>
  <c r="X101" i="5"/>
  <c r="AE3" i="11"/>
  <c r="AE3" i="10"/>
  <c r="AE3" i="9"/>
  <c r="AF101" i="5"/>
  <c r="W4" i="11"/>
  <c r="W4" i="10"/>
  <c r="W4" i="9"/>
  <c r="X2" i="5"/>
  <c r="AE4" i="11"/>
  <c r="AE4" i="10"/>
  <c r="AE4" i="9"/>
  <c r="AF2" i="5"/>
  <c r="W5" i="11"/>
  <c r="W5" i="10"/>
  <c r="W5" i="9"/>
  <c r="X49" i="5"/>
  <c r="AE5" i="11"/>
  <c r="AE5" i="10"/>
  <c r="AE5" i="9"/>
  <c r="AF49" i="5"/>
  <c r="W6" i="11"/>
  <c r="W6" i="10"/>
  <c r="W6" i="9"/>
  <c r="X102" i="5"/>
  <c r="AE6" i="11"/>
  <c r="AE6" i="10"/>
  <c r="AE6" i="9"/>
  <c r="AF102" i="5"/>
  <c r="W7" i="11"/>
  <c r="W7" i="10"/>
  <c r="W7" i="9"/>
  <c r="X103" i="5"/>
  <c r="AE7" i="11"/>
  <c r="AE7" i="10"/>
  <c r="AE7" i="9"/>
  <c r="AF103" i="5"/>
  <c r="W8" i="11"/>
  <c r="W8" i="10"/>
  <c r="W8" i="9"/>
  <c r="X80" i="5"/>
  <c r="AE8" i="11"/>
  <c r="AE8" i="10"/>
  <c r="AE8" i="9"/>
  <c r="AF80" i="5"/>
  <c r="W9" i="11"/>
  <c r="W9" i="10"/>
  <c r="W9" i="9"/>
  <c r="X116" i="5"/>
  <c r="AE9" i="11"/>
  <c r="AE9" i="10"/>
  <c r="AE9" i="9"/>
  <c r="AF116" i="5"/>
  <c r="W10" i="11"/>
  <c r="W10" i="10"/>
  <c r="W10" i="9"/>
  <c r="X129" i="5"/>
  <c r="AE10" i="11"/>
  <c r="AE10" i="10"/>
  <c r="AE10" i="9"/>
  <c r="AF129" i="5"/>
  <c r="W11" i="11"/>
  <c r="W11" i="10"/>
  <c r="W11" i="9"/>
  <c r="X53" i="5"/>
  <c r="AE11" i="11"/>
  <c r="AE11" i="10"/>
  <c r="AE11" i="9"/>
  <c r="AF53" i="5"/>
  <c r="W12" i="11"/>
  <c r="W12" i="10"/>
  <c r="W12" i="9"/>
  <c r="X105" i="5"/>
  <c r="AE12" i="11"/>
  <c r="AE12" i="10"/>
  <c r="AE12" i="9"/>
  <c r="AF105" i="5"/>
  <c r="W13" i="11"/>
  <c r="W13" i="10"/>
  <c r="W13" i="9"/>
  <c r="X6" i="5"/>
  <c r="AE13" i="11"/>
  <c r="AE13" i="10"/>
  <c r="AE13" i="9"/>
  <c r="AF6" i="5"/>
  <c r="W14" i="11"/>
  <c r="W14" i="10"/>
  <c r="W14" i="9"/>
  <c r="X136" i="5"/>
  <c r="AE14" i="11"/>
  <c r="AE14" i="10"/>
  <c r="AE14" i="9"/>
  <c r="AF136" i="5"/>
  <c r="W15" i="11"/>
  <c r="W15" i="10"/>
  <c r="W15" i="9"/>
  <c r="X137" i="5"/>
  <c r="AE15" i="11"/>
  <c r="AE15" i="10"/>
  <c r="AE15" i="9"/>
  <c r="AF137" i="5"/>
  <c r="W16" i="11"/>
  <c r="W16" i="10"/>
  <c r="W16" i="9"/>
  <c r="X55" i="5"/>
  <c r="AE16" i="11"/>
  <c r="AE16" i="10"/>
  <c r="AE16" i="9"/>
  <c r="AF55" i="5"/>
  <c r="U18" i="11"/>
  <c r="U18" i="10"/>
  <c r="U18" i="9"/>
  <c r="V56" i="5"/>
  <c r="AC18" i="11"/>
  <c r="AC18" i="10"/>
  <c r="AC18" i="9"/>
  <c r="AD56" i="5"/>
  <c r="AK18" i="11"/>
  <c r="AK18" i="10"/>
  <c r="AK18" i="9"/>
  <c r="AL56" i="5"/>
  <c r="U19" i="11"/>
  <c r="U19" i="10"/>
  <c r="U19" i="9"/>
  <c r="V130" i="5"/>
  <c r="AC19" i="11"/>
  <c r="AC19" i="10"/>
  <c r="AC19" i="9"/>
  <c r="AD130" i="5"/>
  <c r="AK19" i="11"/>
  <c r="AK19" i="10"/>
  <c r="AK19" i="9"/>
  <c r="AL130" i="5"/>
  <c r="U20" i="11"/>
  <c r="U20" i="10"/>
  <c r="U20" i="9"/>
  <c r="V93" i="5"/>
  <c r="AC20" i="11"/>
  <c r="AC20" i="10"/>
  <c r="AC20" i="9"/>
  <c r="AD93" i="5"/>
  <c r="AK20" i="11"/>
  <c r="AK20" i="10"/>
  <c r="AK20" i="9"/>
  <c r="AL93" i="5"/>
  <c r="S22" i="11"/>
  <c r="S22" i="10"/>
  <c r="S22" i="9"/>
  <c r="T58" i="5"/>
  <c r="AA22" i="11"/>
  <c r="AA22" i="10"/>
  <c r="AA22" i="9"/>
  <c r="AB58" i="5"/>
  <c r="AI22" i="11"/>
  <c r="AI22" i="10"/>
  <c r="AI22" i="9"/>
  <c r="AJ58" i="5"/>
  <c r="S23" i="11"/>
  <c r="S23" i="10"/>
  <c r="S23" i="9"/>
  <c r="T75" i="5"/>
  <c r="AA23" i="11"/>
  <c r="AA23" i="10"/>
  <c r="AA23" i="9"/>
  <c r="AB75" i="5"/>
  <c r="AI23" i="11"/>
  <c r="AI23" i="10"/>
  <c r="AI23" i="9"/>
  <c r="AJ75" i="5"/>
  <c r="S24" i="11"/>
  <c r="S24" i="10"/>
  <c r="S24" i="9"/>
  <c r="T94" i="5"/>
  <c r="AA24" i="11"/>
  <c r="AA24" i="10"/>
  <c r="AA24" i="9"/>
  <c r="AB94" i="5"/>
  <c r="AI24" i="11"/>
  <c r="AI24" i="10"/>
  <c r="AI24" i="9"/>
  <c r="AJ94" i="5"/>
  <c r="S25" i="11"/>
  <c r="S25" i="10"/>
  <c r="S25" i="9"/>
  <c r="T59" i="5"/>
  <c r="AA25" i="11"/>
  <c r="AA25" i="10"/>
  <c r="AA25" i="9"/>
  <c r="AB59" i="5"/>
  <c r="AI25" i="11"/>
  <c r="AI25" i="10"/>
  <c r="AI25" i="9"/>
  <c r="AJ59" i="5"/>
  <c r="T26" i="11"/>
  <c r="T26" i="10"/>
  <c r="T26" i="9"/>
  <c r="U139" i="5"/>
  <c r="AB26" i="11"/>
  <c r="AB26" i="10"/>
  <c r="AB26" i="9"/>
  <c r="AC139" i="5"/>
  <c r="AJ26" i="11"/>
  <c r="AJ26" i="10"/>
  <c r="AJ26" i="9"/>
  <c r="AK139" i="5"/>
  <c r="T27" i="11"/>
  <c r="T27" i="10"/>
  <c r="T27" i="9"/>
  <c r="U106" i="5"/>
  <c r="AB27" i="11"/>
  <c r="AB27" i="10"/>
  <c r="AB27" i="9"/>
  <c r="AC106" i="5"/>
  <c r="AJ27" i="11"/>
  <c r="AJ27" i="10"/>
  <c r="AJ27" i="9"/>
  <c r="AK106" i="5"/>
  <c r="T28" i="11"/>
  <c r="T28" i="10"/>
  <c r="T28" i="9"/>
  <c r="U60" i="5"/>
  <c r="AB28" i="11"/>
  <c r="AB28" i="10"/>
  <c r="AB28" i="9"/>
  <c r="AC60" i="5"/>
  <c r="AJ28" i="11"/>
  <c r="AJ28" i="10"/>
  <c r="AJ28" i="9"/>
  <c r="AK60" i="5"/>
  <c r="T29" i="11"/>
  <c r="T29" i="10"/>
  <c r="T29" i="9"/>
  <c r="U76" i="5"/>
  <c r="AB29" i="11"/>
  <c r="AB29" i="10"/>
  <c r="AB29" i="9"/>
  <c r="AC76" i="5"/>
  <c r="AJ29" i="11"/>
  <c r="AJ29" i="10"/>
  <c r="AJ29" i="9"/>
  <c r="AK76" i="5"/>
  <c r="T30" i="11"/>
  <c r="T30" i="10"/>
  <c r="T30" i="9"/>
  <c r="U62" i="5"/>
  <c r="AB30" i="11"/>
  <c r="AB30" i="10"/>
  <c r="AB30" i="9"/>
  <c r="AC62" i="5"/>
  <c r="AJ30" i="11"/>
  <c r="AJ30" i="10"/>
  <c r="AJ30" i="9"/>
  <c r="AK62" i="5"/>
  <c r="T31" i="11"/>
  <c r="T31" i="10"/>
  <c r="T31" i="9"/>
  <c r="U131" i="5"/>
  <c r="AB31" i="11"/>
  <c r="AB31" i="10"/>
  <c r="AB31" i="9"/>
  <c r="AC131" i="5"/>
  <c r="AJ31" i="11"/>
  <c r="AJ31" i="10"/>
  <c r="AJ31" i="9"/>
  <c r="AK131" i="5"/>
  <c r="T32" i="11"/>
  <c r="T32" i="10"/>
  <c r="T32" i="9"/>
  <c r="U125" i="5"/>
  <c r="AB32" i="11"/>
  <c r="AB32" i="10"/>
  <c r="AB32" i="9"/>
  <c r="AC125" i="5"/>
  <c r="AJ32" i="11"/>
  <c r="AJ32" i="10"/>
  <c r="AJ32" i="9"/>
  <c r="AK125" i="5"/>
  <c r="T33" i="11"/>
  <c r="T33" i="10"/>
  <c r="T33" i="9"/>
  <c r="U81" i="5"/>
  <c r="AB33" i="11"/>
  <c r="AB33" i="10"/>
  <c r="AB33" i="9"/>
  <c r="AC81" i="5"/>
  <c r="AJ33" i="11"/>
  <c r="AJ33" i="10"/>
  <c r="AJ33" i="9"/>
  <c r="AK81" i="5"/>
  <c r="T34" i="11"/>
  <c r="T34" i="10"/>
  <c r="T34" i="9"/>
  <c r="U95" i="5"/>
  <c r="AB34" i="11"/>
  <c r="AB34" i="10"/>
  <c r="AB34" i="9"/>
  <c r="AC95" i="5"/>
  <c r="AJ34" i="11"/>
  <c r="AJ34" i="10"/>
  <c r="AJ34" i="9"/>
  <c r="AK95" i="5"/>
  <c r="T35" i="11"/>
  <c r="T35" i="10"/>
  <c r="T35" i="9"/>
  <c r="U119" i="5"/>
  <c r="AB35" i="11"/>
  <c r="AB35" i="10"/>
  <c r="AB35" i="9"/>
  <c r="AC119" i="5"/>
  <c r="AJ35" i="11"/>
  <c r="AJ35" i="10"/>
  <c r="AJ35" i="9"/>
  <c r="AK119" i="5"/>
  <c r="T36" i="11"/>
  <c r="T36" i="10"/>
  <c r="T36" i="9"/>
  <c r="U140" i="5"/>
  <c r="AB36" i="11"/>
  <c r="AB36" i="10"/>
  <c r="AB36" i="9"/>
  <c r="AC140" i="5"/>
  <c r="AJ36" i="11"/>
  <c r="AJ36" i="10"/>
  <c r="AJ36" i="9"/>
  <c r="AK140" i="5"/>
  <c r="T37" i="11"/>
  <c r="T37" i="10"/>
  <c r="T37" i="9"/>
  <c r="U83" i="5"/>
  <c r="AB37" i="11"/>
  <c r="AB37" i="10"/>
  <c r="AB37" i="9"/>
  <c r="AC83" i="5"/>
  <c r="AJ37" i="11"/>
  <c r="AJ37" i="10"/>
  <c r="AJ37" i="9"/>
  <c r="AK83" i="5"/>
  <c r="T38" i="11"/>
  <c r="T38" i="10"/>
  <c r="T38" i="9"/>
  <c r="U107" i="5"/>
  <c r="AB38" i="11"/>
  <c r="AB38" i="10"/>
  <c r="AB38" i="9"/>
  <c r="AC107" i="5"/>
  <c r="AJ38" i="11"/>
  <c r="AJ38" i="10"/>
  <c r="AJ38" i="9"/>
  <c r="AK107" i="5"/>
  <c r="T39" i="11"/>
  <c r="T39" i="10"/>
  <c r="T39" i="9"/>
  <c r="U141" i="5"/>
  <c r="AB39" i="11"/>
  <c r="AB39" i="10"/>
  <c r="AB39" i="9"/>
  <c r="AC141" i="5"/>
  <c r="AJ39" i="11"/>
  <c r="AJ39" i="10"/>
  <c r="AJ39" i="9"/>
  <c r="AK141" i="5"/>
  <c r="T40" i="11"/>
  <c r="T40" i="10"/>
  <c r="T40" i="9"/>
  <c r="U84" i="5"/>
  <c r="AB40" i="11"/>
  <c r="AB40" i="10"/>
  <c r="AB40" i="9"/>
  <c r="AC84" i="5"/>
  <c r="AJ40" i="11"/>
  <c r="AJ40" i="10"/>
  <c r="AJ40" i="9"/>
  <c r="AK84" i="5"/>
  <c r="T41" i="11"/>
  <c r="T41" i="10"/>
  <c r="T41" i="9"/>
  <c r="U121" i="5"/>
  <c r="AB41" i="11"/>
  <c r="AB41" i="10"/>
  <c r="AB41" i="9"/>
  <c r="AC121" i="5"/>
  <c r="AJ41" i="11"/>
  <c r="AJ41" i="10"/>
  <c r="AJ41" i="9"/>
  <c r="AK121" i="5"/>
  <c r="T42" i="11"/>
  <c r="T42" i="10"/>
  <c r="T42" i="9"/>
  <c r="U142" i="5"/>
  <c r="AB42" i="11"/>
  <c r="AB42" i="10"/>
  <c r="AB42" i="9"/>
  <c r="AC142" i="5"/>
  <c r="AJ42" i="11"/>
  <c r="AJ42" i="10"/>
  <c r="AJ42" i="9"/>
  <c r="AK142" i="5"/>
  <c r="T43" i="11"/>
  <c r="T43" i="10"/>
  <c r="T43" i="9"/>
  <c r="U132" i="5"/>
  <c r="AB43" i="11"/>
  <c r="AB43" i="10"/>
  <c r="AB43" i="9"/>
  <c r="AC132" i="5"/>
  <c r="AJ43" i="11"/>
  <c r="AJ43" i="10"/>
  <c r="AJ43" i="9"/>
  <c r="AK132" i="5"/>
  <c r="R45" i="11"/>
  <c r="R45" i="10"/>
  <c r="R45" i="9"/>
  <c r="S19" i="5"/>
  <c r="Z45" i="11"/>
  <c r="Z45" i="10"/>
  <c r="Z45" i="9"/>
  <c r="AA19" i="5"/>
  <c r="AH45" i="11"/>
  <c r="AH45" i="10"/>
  <c r="AH45" i="9"/>
  <c r="AI19" i="5"/>
  <c r="R46" i="11"/>
  <c r="R46" i="10"/>
  <c r="R46" i="9"/>
  <c r="S64" i="5"/>
  <c r="Z46" i="11"/>
  <c r="Z46" i="10"/>
  <c r="Z46" i="9"/>
  <c r="AA64" i="5"/>
  <c r="AH46" i="11"/>
  <c r="AH46" i="10"/>
  <c r="AH46" i="9"/>
  <c r="AI64" i="5"/>
  <c r="R47" i="11"/>
  <c r="R47" i="10"/>
  <c r="R47" i="9"/>
  <c r="S144" i="5"/>
  <c r="Z47" i="11"/>
  <c r="Z47" i="10"/>
  <c r="Z47" i="9"/>
  <c r="AA144" i="5"/>
  <c r="AH47" i="11"/>
  <c r="AH47" i="10"/>
  <c r="AH47" i="9"/>
  <c r="AI144" i="5"/>
  <c r="R48" i="11"/>
  <c r="R48" i="10"/>
  <c r="R48" i="9"/>
  <c r="S145" i="5"/>
  <c r="Z48" i="11"/>
  <c r="Z48" i="10"/>
  <c r="Z48" i="9"/>
  <c r="AA145" i="5"/>
  <c r="AH48" i="11"/>
  <c r="AH48" i="10"/>
  <c r="AH48" i="9"/>
  <c r="AI145" i="5"/>
  <c r="R49" i="11"/>
  <c r="R49" i="10"/>
  <c r="R49" i="9"/>
  <c r="S96" i="5"/>
  <c r="Z49" i="11"/>
  <c r="Z49" i="10"/>
  <c r="Z49" i="9"/>
  <c r="AA96" i="5"/>
  <c r="AH49" i="11"/>
  <c r="AH49" i="10"/>
  <c r="AH49" i="9"/>
  <c r="AI96" i="5"/>
  <c r="R50" i="11"/>
  <c r="R50" i="10"/>
  <c r="R50" i="9"/>
  <c r="Z50" i="11"/>
  <c r="Z50" i="10"/>
  <c r="Z50" i="9"/>
  <c r="AA133" i="5"/>
  <c r="AH50" i="11"/>
  <c r="AH50" i="10"/>
  <c r="AH50" i="9"/>
  <c r="AI133" i="5"/>
  <c r="R51" i="11"/>
  <c r="R51" i="10"/>
  <c r="R51" i="9"/>
  <c r="S40" i="5"/>
  <c r="Z51" i="11"/>
  <c r="Z51" i="10"/>
  <c r="Z51" i="9"/>
  <c r="AA40" i="5"/>
  <c r="AH51" i="11"/>
  <c r="AH51" i="10"/>
  <c r="AH51" i="9"/>
  <c r="AI40" i="5"/>
  <c r="P53" i="11"/>
  <c r="P53" i="10"/>
  <c r="P53" i="9"/>
  <c r="X53" i="11"/>
  <c r="X53" i="10"/>
  <c r="X53" i="9"/>
  <c r="Y22" i="5"/>
  <c r="AF53" i="11"/>
  <c r="AF53" i="10"/>
  <c r="AF53" i="9"/>
  <c r="AG22" i="5"/>
  <c r="V55" i="11"/>
  <c r="V55" i="10"/>
  <c r="V55" i="9"/>
  <c r="W86" i="5"/>
  <c r="AD55" i="11"/>
  <c r="AD55" i="10"/>
  <c r="AD55" i="9"/>
  <c r="AE86" i="5"/>
  <c r="T57" i="11"/>
  <c r="T57" i="10"/>
  <c r="T57" i="9"/>
  <c r="U65" i="5"/>
  <c r="AB57" i="11"/>
  <c r="AB57" i="10"/>
  <c r="AB57" i="9"/>
  <c r="AC65" i="5"/>
  <c r="AJ57" i="11"/>
  <c r="AJ57" i="10"/>
  <c r="AJ57" i="9"/>
  <c r="AK65" i="5"/>
  <c r="T58" i="11"/>
  <c r="T58" i="10"/>
  <c r="T58" i="9"/>
  <c r="U149" i="5"/>
  <c r="AB58" i="11"/>
  <c r="AB58" i="10"/>
  <c r="AB58" i="9"/>
  <c r="AC149" i="5"/>
  <c r="AJ58" i="11"/>
  <c r="AJ58" i="10"/>
  <c r="AJ58" i="9"/>
  <c r="AK149" i="5"/>
  <c r="T59" i="11"/>
  <c r="T59" i="10"/>
  <c r="T59" i="9"/>
  <c r="U66" i="5"/>
  <c r="AB59" i="11"/>
  <c r="AB59" i="10"/>
  <c r="AB59" i="9"/>
  <c r="AC66" i="5"/>
  <c r="AJ59" i="11"/>
  <c r="AJ59" i="10"/>
  <c r="AJ59" i="9"/>
  <c r="AK66" i="5"/>
  <c r="T60" i="11"/>
  <c r="T60" i="10"/>
  <c r="T60" i="9"/>
  <c r="U79" i="5"/>
  <c r="AB60" i="11"/>
  <c r="AB60" i="10"/>
  <c r="AB60" i="9"/>
  <c r="AC79" i="5"/>
  <c r="AJ60" i="11"/>
  <c r="AJ60" i="10"/>
  <c r="AJ60" i="9"/>
  <c r="AK79" i="5"/>
  <c r="T61" i="11"/>
  <c r="T61" i="10"/>
  <c r="T61" i="9"/>
  <c r="U150" i="5"/>
  <c r="AB61" i="11"/>
  <c r="AB61" i="10"/>
  <c r="AB61" i="9"/>
  <c r="AC150" i="5"/>
  <c r="AJ61" i="11"/>
  <c r="AJ61" i="10"/>
  <c r="AJ61" i="9"/>
  <c r="AK150" i="5"/>
  <c r="T62" i="11"/>
  <c r="T62" i="10"/>
  <c r="T62" i="9"/>
  <c r="U108" i="5"/>
  <c r="AB62" i="11"/>
  <c r="AB62" i="10"/>
  <c r="AB62" i="9"/>
  <c r="AC108" i="5"/>
  <c r="AJ62" i="11"/>
  <c r="AJ62" i="10"/>
  <c r="AJ62" i="9"/>
  <c r="AK108" i="5"/>
  <c r="T63" i="11"/>
  <c r="T63" i="10"/>
  <c r="T63" i="9"/>
  <c r="U87" i="5"/>
  <c r="AB63" i="11"/>
  <c r="AB63" i="10"/>
  <c r="AB63" i="9"/>
  <c r="AC87" i="5"/>
  <c r="AJ63" i="11"/>
  <c r="AJ63" i="10"/>
  <c r="AJ63" i="9"/>
  <c r="AK87" i="5"/>
  <c r="T64" i="11"/>
  <c r="T64" i="10"/>
  <c r="T64" i="9"/>
  <c r="U151" i="5"/>
  <c r="AB64" i="11"/>
  <c r="AB64" i="10"/>
  <c r="AB64" i="9"/>
  <c r="AC151" i="5"/>
  <c r="AJ64" i="11"/>
  <c r="AJ64" i="10"/>
  <c r="AJ64" i="9"/>
  <c r="AK151" i="5"/>
  <c r="T65" i="11"/>
  <c r="T65" i="10"/>
  <c r="T65" i="9"/>
  <c r="U122" i="5"/>
  <c r="AB65" i="11"/>
  <c r="AB65" i="10"/>
  <c r="AB65" i="9"/>
  <c r="AC122" i="5"/>
  <c r="AJ65" i="11"/>
  <c r="AJ65" i="10"/>
  <c r="AJ65" i="9"/>
  <c r="AK122" i="5"/>
  <c r="T66" i="11"/>
  <c r="T66" i="10"/>
  <c r="T66" i="9"/>
  <c r="U109" i="5"/>
  <c r="AB66" i="11"/>
  <c r="AB66" i="10"/>
  <c r="AB66" i="9"/>
  <c r="AC109" i="5"/>
  <c r="AJ66" i="11"/>
  <c r="AJ66" i="10"/>
  <c r="AJ66" i="9"/>
  <c r="AK109" i="5"/>
  <c r="R68" i="11"/>
  <c r="R68" i="10"/>
  <c r="R68" i="9"/>
  <c r="S69" i="5"/>
  <c r="Z68" i="11"/>
  <c r="Z68" i="10"/>
  <c r="Z68" i="9"/>
  <c r="AA69" i="5"/>
  <c r="AH68" i="11"/>
  <c r="AH68" i="10"/>
  <c r="AH68" i="9"/>
  <c r="AI69" i="5"/>
  <c r="R69" i="11"/>
  <c r="R69" i="10"/>
  <c r="R69" i="9"/>
  <c r="S152" i="5"/>
  <c r="Z69" i="11"/>
  <c r="Z69" i="10"/>
  <c r="Z69" i="9"/>
  <c r="AA152" i="5"/>
  <c r="AH69" i="11"/>
  <c r="AH69" i="10"/>
  <c r="AH69" i="9"/>
  <c r="AI152" i="5"/>
  <c r="R70" i="11"/>
  <c r="R70" i="10"/>
  <c r="R70" i="9"/>
  <c r="S88" i="5"/>
  <c r="Z70" i="11"/>
  <c r="Z70" i="10"/>
  <c r="Z70" i="9"/>
  <c r="AA88" i="5"/>
  <c r="AH70" i="11"/>
  <c r="AH70" i="10"/>
  <c r="AH70" i="9"/>
  <c r="AI88" i="5"/>
  <c r="R71" i="11"/>
  <c r="R71" i="10"/>
  <c r="R71" i="9"/>
  <c r="S24" i="5"/>
  <c r="Z71" i="11"/>
  <c r="Z71" i="10"/>
  <c r="Z71" i="9"/>
  <c r="AA24" i="5"/>
  <c r="AH71" i="11"/>
  <c r="AH71" i="10"/>
  <c r="AH71" i="9"/>
  <c r="AI24" i="5"/>
  <c r="R72" i="11"/>
  <c r="R72" i="10"/>
  <c r="R72" i="9"/>
  <c r="S153" i="5"/>
  <c r="Z72" i="11"/>
  <c r="Z72" i="10"/>
  <c r="Z72" i="9"/>
  <c r="AA153" i="5"/>
  <c r="AH72" i="11"/>
  <c r="AH72" i="10"/>
  <c r="AH72" i="9"/>
  <c r="AI153" i="5"/>
  <c r="R73" i="11"/>
  <c r="R73" i="10"/>
  <c r="R73" i="9"/>
  <c r="S70" i="5"/>
  <c r="Z73" i="11"/>
  <c r="Z73" i="10"/>
  <c r="Z73" i="9"/>
  <c r="AA70" i="5"/>
  <c r="AH73" i="11"/>
  <c r="AH73" i="10"/>
  <c r="AH73" i="9"/>
  <c r="AI70" i="5"/>
  <c r="R74" i="11"/>
  <c r="R74" i="10"/>
  <c r="R74" i="9"/>
  <c r="S89" i="5"/>
  <c r="Z74" i="11"/>
  <c r="Z74" i="10"/>
  <c r="Z74" i="9"/>
  <c r="AA89" i="5"/>
  <c r="AH74" i="11"/>
  <c r="AH74" i="10"/>
  <c r="AH74" i="9"/>
  <c r="AI89" i="5"/>
  <c r="R75" i="11"/>
  <c r="R75" i="10"/>
  <c r="R75" i="9"/>
  <c r="S111" i="5"/>
  <c r="Z75" i="11"/>
  <c r="Z75" i="10"/>
  <c r="Z75" i="9"/>
  <c r="AA111" i="5"/>
  <c r="AH75" i="11"/>
  <c r="AH75" i="10"/>
  <c r="AH75" i="9"/>
  <c r="AI111" i="5"/>
  <c r="R76" i="11"/>
  <c r="R76" i="10"/>
  <c r="R76" i="9"/>
  <c r="S127" i="5"/>
  <c r="Z76" i="11"/>
  <c r="Z76" i="10"/>
  <c r="Z76" i="9"/>
  <c r="AA127" i="5"/>
  <c r="AH76" i="11"/>
  <c r="AH76" i="10"/>
  <c r="AH76" i="9"/>
  <c r="AI127" i="5"/>
  <c r="R77" i="11"/>
  <c r="R77" i="10"/>
  <c r="R77" i="9"/>
  <c r="S112" i="5"/>
  <c r="Z77" i="11"/>
  <c r="Z77" i="10"/>
  <c r="Z77" i="9"/>
  <c r="AA112" i="5"/>
  <c r="AH77" i="11"/>
  <c r="AH77" i="10"/>
  <c r="AH77" i="9"/>
  <c r="AI112" i="5"/>
  <c r="R78" i="11"/>
  <c r="R78" i="10"/>
  <c r="R78" i="9"/>
  <c r="S135" i="5"/>
  <c r="Z78" i="11"/>
  <c r="Z78" i="10"/>
  <c r="Z78" i="9"/>
  <c r="AA135" i="5"/>
  <c r="AH78" i="11"/>
  <c r="AH78" i="10"/>
  <c r="AH78" i="9"/>
  <c r="AI135" i="5"/>
  <c r="R79" i="11"/>
  <c r="R79" i="10"/>
  <c r="R79" i="9"/>
  <c r="S154" i="5"/>
  <c r="Z79" i="11"/>
  <c r="Z79" i="10"/>
  <c r="Z79" i="9"/>
  <c r="AA154" i="5"/>
  <c r="AH79" i="11"/>
  <c r="AH79" i="10"/>
  <c r="AH79" i="9"/>
  <c r="AI154" i="5"/>
  <c r="R80" i="11"/>
  <c r="R80" i="10"/>
  <c r="R80" i="9"/>
  <c r="S90" i="5"/>
  <c r="R127" i="5"/>
  <c r="Z2" i="11"/>
  <c r="Z2" i="10"/>
  <c r="Z2" i="9"/>
  <c r="AA92" i="5"/>
  <c r="R6" i="11"/>
  <c r="R6" i="10"/>
  <c r="R6" i="9"/>
  <c r="S102" i="5"/>
  <c r="Z7" i="11"/>
  <c r="Z7" i="10"/>
  <c r="Z7" i="9"/>
  <c r="AA103" i="5"/>
  <c r="AJ2" i="11"/>
  <c r="AJ2" i="10"/>
  <c r="AJ2" i="9"/>
  <c r="AK92" i="5"/>
  <c r="AJ4" i="11"/>
  <c r="AJ4" i="10"/>
  <c r="AJ4" i="9"/>
  <c r="AK2" i="5"/>
  <c r="T6" i="11"/>
  <c r="T6" i="10"/>
  <c r="T6" i="9"/>
  <c r="U102" i="5"/>
  <c r="AJ8" i="11"/>
  <c r="AJ8" i="10"/>
  <c r="AJ8" i="9"/>
  <c r="AK80" i="5"/>
  <c r="AJ9" i="11"/>
  <c r="AJ9" i="10"/>
  <c r="AJ9" i="9"/>
  <c r="AK116" i="5"/>
  <c r="T16" i="11"/>
  <c r="T16" i="10"/>
  <c r="T16" i="9"/>
  <c r="U55" i="5"/>
  <c r="P22" i="11"/>
  <c r="P22" i="10"/>
  <c r="P22" i="9"/>
  <c r="Q58" i="5"/>
  <c r="X24" i="11"/>
  <c r="X24" i="10"/>
  <c r="X24" i="9"/>
  <c r="Y94" i="5"/>
  <c r="Y27" i="11"/>
  <c r="Y27" i="10"/>
  <c r="Y27" i="9"/>
  <c r="Z106" i="5"/>
  <c r="Q28" i="11"/>
  <c r="Q28" i="10"/>
  <c r="Q28" i="9"/>
  <c r="R60" i="5"/>
  <c r="P2" i="11"/>
  <c r="P2" i="10"/>
  <c r="P2" i="9"/>
  <c r="Q92" i="5"/>
  <c r="AF2" i="11"/>
  <c r="AF2" i="10"/>
  <c r="AF2" i="9"/>
  <c r="AG92" i="5"/>
  <c r="P3" i="11"/>
  <c r="P3" i="10"/>
  <c r="P3" i="9"/>
  <c r="Q101" i="5"/>
  <c r="AF3" i="11"/>
  <c r="AF3" i="10"/>
  <c r="AF3" i="9"/>
  <c r="AG101" i="5"/>
  <c r="X4" i="11"/>
  <c r="X4" i="10"/>
  <c r="X4" i="9"/>
  <c r="Y2" i="5"/>
  <c r="P5" i="11"/>
  <c r="P5" i="10"/>
  <c r="P5" i="9"/>
  <c r="Q49" i="5"/>
  <c r="AF5" i="11"/>
  <c r="AF5" i="10"/>
  <c r="AF5" i="9"/>
  <c r="AG49" i="5"/>
  <c r="X6" i="11"/>
  <c r="X6" i="10"/>
  <c r="X6" i="9"/>
  <c r="Y102" i="5"/>
  <c r="AF6" i="11"/>
  <c r="AF6" i="10"/>
  <c r="AF6" i="9"/>
  <c r="AG102" i="5"/>
  <c r="X7" i="11"/>
  <c r="X7" i="10"/>
  <c r="X7" i="9"/>
  <c r="Y103" i="5"/>
  <c r="AF7" i="11"/>
  <c r="AF7" i="10"/>
  <c r="AF7" i="9"/>
  <c r="AG103" i="5"/>
  <c r="P8" i="11"/>
  <c r="P8" i="10"/>
  <c r="P8" i="9"/>
  <c r="Q80" i="5"/>
  <c r="AF8" i="11"/>
  <c r="AF8" i="10"/>
  <c r="AF8" i="9"/>
  <c r="AG80" i="5"/>
  <c r="P9" i="11"/>
  <c r="P9" i="10"/>
  <c r="P9" i="9"/>
  <c r="Q116" i="5"/>
  <c r="AF9" i="11"/>
  <c r="AF9" i="10"/>
  <c r="AF9" i="9"/>
  <c r="AG116" i="5"/>
  <c r="P10" i="11"/>
  <c r="P10" i="10"/>
  <c r="P10" i="9"/>
  <c r="Q129" i="5"/>
  <c r="AF10" i="11"/>
  <c r="AF10" i="10"/>
  <c r="AF10" i="9"/>
  <c r="AG129" i="5"/>
  <c r="P11" i="11"/>
  <c r="P11" i="10"/>
  <c r="P11" i="9"/>
  <c r="Q53" i="5"/>
  <c r="AF11" i="11"/>
  <c r="AF11" i="10"/>
  <c r="AF11" i="9"/>
  <c r="AG53" i="5"/>
  <c r="X12" i="11"/>
  <c r="X12" i="10"/>
  <c r="X12" i="9"/>
  <c r="Y105" i="5"/>
  <c r="P13" i="11"/>
  <c r="P13" i="10"/>
  <c r="P13" i="9"/>
  <c r="Q6" i="5"/>
  <c r="AF13" i="11"/>
  <c r="AF13" i="10"/>
  <c r="AF13" i="9"/>
  <c r="AG6" i="5"/>
  <c r="X14" i="11"/>
  <c r="X14" i="10"/>
  <c r="X14" i="9"/>
  <c r="Y136" i="5"/>
  <c r="AF14" i="11"/>
  <c r="AF14" i="10"/>
  <c r="AF14" i="9"/>
  <c r="AG136" i="5"/>
  <c r="X15" i="11"/>
  <c r="X15" i="10"/>
  <c r="X15" i="9"/>
  <c r="Y137" i="5"/>
  <c r="X16" i="11"/>
  <c r="X16" i="10"/>
  <c r="X16" i="9"/>
  <c r="Y55" i="5"/>
  <c r="AD18" i="11"/>
  <c r="AD18" i="10"/>
  <c r="AD18" i="9"/>
  <c r="AE56" i="5"/>
  <c r="V20" i="11"/>
  <c r="V20" i="10"/>
  <c r="V20" i="9"/>
  <c r="W93" i="5"/>
  <c r="AD20" i="11"/>
  <c r="AD20" i="10"/>
  <c r="AD20" i="9"/>
  <c r="AE93" i="5"/>
  <c r="AB22" i="11"/>
  <c r="AB22" i="10"/>
  <c r="AB22" i="9"/>
  <c r="AC58" i="5"/>
  <c r="T23" i="11"/>
  <c r="T23" i="10"/>
  <c r="T23" i="9"/>
  <c r="U75" i="5"/>
  <c r="AJ23" i="11"/>
  <c r="AJ23" i="10"/>
  <c r="AJ23" i="9"/>
  <c r="AK75" i="5"/>
  <c r="AB24" i="11"/>
  <c r="AB24" i="10"/>
  <c r="AB24" i="9"/>
  <c r="AC94" i="5"/>
  <c r="T25" i="11"/>
  <c r="T25" i="10"/>
  <c r="T25" i="9"/>
  <c r="U59" i="5"/>
  <c r="AC26" i="11"/>
  <c r="AC26" i="10"/>
  <c r="AC26" i="9"/>
  <c r="AD139" i="5"/>
  <c r="U27" i="11"/>
  <c r="U27" i="10"/>
  <c r="U27" i="9"/>
  <c r="V106" i="5"/>
  <c r="AK27" i="11"/>
  <c r="AK27" i="10"/>
  <c r="AK27" i="9"/>
  <c r="AL106" i="5"/>
  <c r="U28" i="11"/>
  <c r="U28" i="10"/>
  <c r="U28" i="9"/>
  <c r="V60" i="5"/>
  <c r="AK28" i="11"/>
  <c r="AK28" i="10"/>
  <c r="AK28" i="9"/>
  <c r="AL60" i="5"/>
  <c r="AC29" i="11"/>
  <c r="AC29" i="10"/>
  <c r="AC29" i="9"/>
  <c r="AD76" i="5"/>
  <c r="U30" i="11"/>
  <c r="U30" i="10"/>
  <c r="U30" i="9"/>
  <c r="V62" i="5"/>
  <c r="AC30" i="11"/>
  <c r="AC30" i="10"/>
  <c r="AC30" i="9"/>
  <c r="AD62" i="5"/>
  <c r="AK30" i="11"/>
  <c r="AK30" i="10"/>
  <c r="AK30" i="9"/>
  <c r="AL62" i="5"/>
  <c r="U31" i="11"/>
  <c r="U31" i="10"/>
  <c r="U31" i="9"/>
  <c r="V131" i="5"/>
  <c r="AC31" i="11"/>
  <c r="AC31" i="10"/>
  <c r="AC31" i="9"/>
  <c r="AD131" i="5"/>
  <c r="AK31" i="11"/>
  <c r="AK31" i="10"/>
  <c r="AK31" i="9"/>
  <c r="AL131" i="5"/>
  <c r="U32" i="11"/>
  <c r="U32" i="10"/>
  <c r="U32" i="9"/>
  <c r="V125" i="5"/>
  <c r="AC32" i="11"/>
  <c r="AC32" i="10"/>
  <c r="AC32" i="9"/>
  <c r="AD125" i="5"/>
  <c r="AK32" i="11"/>
  <c r="AK32" i="10"/>
  <c r="AK32" i="9"/>
  <c r="AL125" i="5"/>
  <c r="U33" i="11"/>
  <c r="U33" i="10"/>
  <c r="U33" i="9"/>
  <c r="V81" i="5"/>
  <c r="AC33" i="11"/>
  <c r="AC33" i="10"/>
  <c r="AC33" i="9"/>
  <c r="AD81" i="5"/>
  <c r="AK33" i="11"/>
  <c r="AK33" i="10"/>
  <c r="AK33" i="9"/>
  <c r="AL81" i="5"/>
  <c r="U34" i="11"/>
  <c r="U34" i="10"/>
  <c r="U34" i="9"/>
  <c r="V95" i="5"/>
  <c r="AC34" i="11"/>
  <c r="AC34" i="10"/>
  <c r="AC34" i="9"/>
  <c r="AD95" i="5"/>
  <c r="AK34" i="11"/>
  <c r="AK34" i="10"/>
  <c r="AK34" i="9"/>
  <c r="AL95" i="5"/>
  <c r="U35" i="11"/>
  <c r="U35" i="10"/>
  <c r="U35" i="9"/>
  <c r="V119" i="5"/>
  <c r="AC35" i="11"/>
  <c r="AC35" i="10"/>
  <c r="AC35" i="9"/>
  <c r="AD119" i="5"/>
  <c r="AK35" i="11"/>
  <c r="AK35" i="10"/>
  <c r="AK35" i="9"/>
  <c r="AL119" i="5"/>
  <c r="U36" i="11"/>
  <c r="U36" i="10"/>
  <c r="U36" i="9"/>
  <c r="V140" i="5"/>
  <c r="AC36" i="11"/>
  <c r="AC36" i="10"/>
  <c r="AC36" i="9"/>
  <c r="AD140" i="5"/>
  <c r="AK36" i="11"/>
  <c r="AK36" i="10"/>
  <c r="AK36" i="9"/>
  <c r="AL140" i="5"/>
  <c r="U37" i="11"/>
  <c r="U37" i="10"/>
  <c r="U37" i="9"/>
  <c r="V83" i="5"/>
  <c r="AC37" i="11"/>
  <c r="AC37" i="10"/>
  <c r="AC37" i="9"/>
  <c r="AD83" i="5"/>
  <c r="AK37" i="11"/>
  <c r="AK37" i="10"/>
  <c r="AK37" i="9"/>
  <c r="AL83" i="5"/>
  <c r="U38" i="11"/>
  <c r="U38" i="10"/>
  <c r="U38" i="9"/>
  <c r="V107" i="5"/>
  <c r="AC38" i="11"/>
  <c r="AC38" i="10"/>
  <c r="AC38" i="9"/>
  <c r="AD107" i="5"/>
  <c r="AK38" i="11"/>
  <c r="AK38" i="10"/>
  <c r="AK38" i="9"/>
  <c r="AL107" i="5"/>
  <c r="U39" i="11"/>
  <c r="U39" i="10"/>
  <c r="U39" i="9"/>
  <c r="V141" i="5"/>
  <c r="AC39" i="11"/>
  <c r="AC39" i="10"/>
  <c r="AC39" i="9"/>
  <c r="AD141" i="5"/>
  <c r="AK39" i="11"/>
  <c r="AK39" i="10"/>
  <c r="AK39" i="9"/>
  <c r="AL141" i="5"/>
  <c r="U40" i="11"/>
  <c r="U40" i="10"/>
  <c r="U40" i="9"/>
  <c r="V84" i="5"/>
  <c r="AC40" i="11"/>
  <c r="AC40" i="10"/>
  <c r="AC40" i="9"/>
  <c r="AD84" i="5"/>
  <c r="AK40" i="11"/>
  <c r="AK40" i="10"/>
  <c r="AK40" i="9"/>
  <c r="AL84" i="5"/>
  <c r="U41" i="11"/>
  <c r="U41" i="10"/>
  <c r="U41" i="9"/>
  <c r="V121" i="5"/>
  <c r="AC41" i="11"/>
  <c r="AC41" i="10"/>
  <c r="AC41" i="9"/>
  <c r="AD121" i="5"/>
  <c r="AK41" i="11"/>
  <c r="AK41" i="10"/>
  <c r="AK41" i="9"/>
  <c r="AL121" i="5"/>
  <c r="U42" i="11"/>
  <c r="U42" i="10"/>
  <c r="U42" i="9"/>
  <c r="V142" i="5"/>
  <c r="AC42" i="11"/>
  <c r="AC42" i="10"/>
  <c r="AC42" i="9"/>
  <c r="AD142" i="5"/>
  <c r="AK42" i="11"/>
  <c r="AK42" i="10"/>
  <c r="AK42" i="9"/>
  <c r="AL142" i="5"/>
  <c r="U43" i="11"/>
  <c r="U43" i="10"/>
  <c r="U43" i="9"/>
  <c r="V132" i="5"/>
  <c r="AC43" i="11"/>
  <c r="AC43" i="10"/>
  <c r="AC43" i="9"/>
  <c r="AD132" i="5"/>
  <c r="AK43" i="11"/>
  <c r="AK43" i="10"/>
  <c r="AK43" i="9"/>
  <c r="AL132" i="5"/>
  <c r="S45" i="11"/>
  <c r="S45" i="10"/>
  <c r="S45" i="9"/>
  <c r="T19" i="5"/>
  <c r="AA45" i="11"/>
  <c r="AA45" i="10"/>
  <c r="AA45" i="9"/>
  <c r="AB19" i="5"/>
  <c r="AI45" i="11"/>
  <c r="AI45" i="10"/>
  <c r="AI45" i="9"/>
  <c r="AJ19" i="5"/>
  <c r="S46" i="11"/>
  <c r="S46" i="10"/>
  <c r="S46" i="9"/>
  <c r="T64" i="5"/>
  <c r="AA46" i="11"/>
  <c r="AA46" i="10"/>
  <c r="AA46" i="9"/>
  <c r="AB64" i="5"/>
  <c r="AI46" i="11"/>
  <c r="AI46" i="10"/>
  <c r="AI46" i="9"/>
  <c r="AJ64" i="5"/>
  <c r="S47" i="11"/>
  <c r="S47" i="10"/>
  <c r="S47" i="9"/>
  <c r="T144" i="5"/>
  <c r="AA47" i="11"/>
  <c r="AA47" i="10"/>
  <c r="AA47" i="9"/>
  <c r="AB144" i="5"/>
  <c r="AI47" i="11"/>
  <c r="AI47" i="10"/>
  <c r="AI47" i="9"/>
  <c r="AJ144" i="5"/>
  <c r="S48" i="11"/>
  <c r="S48" i="10"/>
  <c r="S48" i="9"/>
  <c r="AA48" i="11"/>
  <c r="AA48" i="10"/>
  <c r="AA48" i="9"/>
  <c r="AB145" i="5"/>
  <c r="AI48" i="11"/>
  <c r="AI48" i="10"/>
  <c r="AI48" i="9"/>
  <c r="AJ145" i="5"/>
  <c r="S49" i="11"/>
  <c r="S49" i="10"/>
  <c r="S49" i="9"/>
  <c r="T96" i="5"/>
  <c r="AA49" i="11"/>
  <c r="AA49" i="10"/>
  <c r="AA49" i="9"/>
  <c r="AB96" i="5"/>
  <c r="AI49" i="11"/>
  <c r="AI49" i="10"/>
  <c r="AI49" i="9"/>
  <c r="AJ96" i="5"/>
  <c r="S50" i="11"/>
  <c r="S50" i="10"/>
  <c r="S50" i="9"/>
  <c r="T133" i="5"/>
  <c r="AA50" i="11"/>
  <c r="AA50" i="10"/>
  <c r="AA50" i="9"/>
  <c r="AB133" i="5"/>
  <c r="AI50" i="11"/>
  <c r="AI50" i="10"/>
  <c r="AI50" i="9"/>
  <c r="AJ133" i="5"/>
  <c r="S51" i="11"/>
  <c r="S51" i="10"/>
  <c r="S51" i="9"/>
  <c r="T40" i="5"/>
  <c r="AA51" i="11"/>
  <c r="AA51" i="10"/>
  <c r="AA51" i="9"/>
  <c r="AB40" i="5"/>
  <c r="AI51" i="11"/>
  <c r="AI51" i="10"/>
  <c r="AI51" i="9"/>
  <c r="AJ40" i="5"/>
  <c r="Q53" i="11"/>
  <c r="Q53" i="10"/>
  <c r="Q53" i="9"/>
  <c r="R22" i="5"/>
  <c r="Y53" i="11"/>
  <c r="Y53" i="10"/>
  <c r="Y53" i="9"/>
  <c r="Z22" i="5"/>
  <c r="AG53" i="11"/>
  <c r="AG53" i="10"/>
  <c r="AG53" i="9"/>
  <c r="AH22" i="5"/>
  <c r="W55" i="11"/>
  <c r="W55" i="10"/>
  <c r="W55" i="9"/>
  <c r="X86" i="5"/>
  <c r="AE55" i="11"/>
  <c r="AE55" i="10"/>
  <c r="AE55" i="9"/>
  <c r="AF86" i="5"/>
  <c r="U57" i="11"/>
  <c r="U57" i="10"/>
  <c r="U57" i="9"/>
  <c r="V65" i="5"/>
  <c r="AC57" i="11"/>
  <c r="AC57" i="10"/>
  <c r="AC57" i="9"/>
  <c r="AD65" i="5"/>
  <c r="AK57" i="11"/>
  <c r="AK57" i="10"/>
  <c r="AK57" i="9"/>
  <c r="AL65" i="5"/>
  <c r="U58" i="11"/>
  <c r="U58" i="10"/>
  <c r="U58" i="9"/>
  <c r="V149" i="5"/>
  <c r="AC58" i="11"/>
  <c r="AC58" i="10"/>
  <c r="AC58" i="9"/>
  <c r="AD149" i="5"/>
  <c r="AK58" i="11"/>
  <c r="AK58" i="10"/>
  <c r="AK58" i="9"/>
  <c r="AL149" i="5"/>
  <c r="U59" i="11"/>
  <c r="U59" i="10"/>
  <c r="U59" i="9"/>
  <c r="V66" i="5"/>
  <c r="AC59" i="11"/>
  <c r="AC59" i="10"/>
  <c r="AC59" i="9"/>
  <c r="AD66" i="5"/>
  <c r="AK59" i="11"/>
  <c r="AK59" i="10"/>
  <c r="AK59" i="9"/>
  <c r="AL66" i="5"/>
  <c r="U60" i="11"/>
  <c r="U60" i="10"/>
  <c r="U60" i="9"/>
  <c r="V79" i="5"/>
  <c r="AC60" i="11"/>
  <c r="AC60" i="10"/>
  <c r="AC60" i="9"/>
  <c r="AD79" i="5"/>
  <c r="AK60" i="11"/>
  <c r="AK60" i="10"/>
  <c r="AK60" i="9"/>
  <c r="AL79" i="5"/>
  <c r="U61" i="11"/>
  <c r="U61" i="10"/>
  <c r="U61" i="9"/>
  <c r="V150" i="5"/>
  <c r="AC61" i="11"/>
  <c r="AC61" i="10"/>
  <c r="AC61" i="9"/>
  <c r="AD150" i="5"/>
  <c r="AK61" i="11"/>
  <c r="AK61" i="10"/>
  <c r="AK61" i="9"/>
  <c r="AL150" i="5"/>
  <c r="U62" i="11"/>
  <c r="U62" i="10"/>
  <c r="U62" i="9"/>
  <c r="V108" i="5"/>
  <c r="AC62" i="11"/>
  <c r="AC62" i="10"/>
  <c r="AC62" i="9"/>
  <c r="AD108" i="5"/>
  <c r="AK62" i="11"/>
  <c r="AK62" i="10"/>
  <c r="AK62" i="9"/>
  <c r="AL108" i="5"/>
  <c r="U63" i="11"/>
  <c r="U63" i="10"/>
  <c r="U63" i="9"/>
  <c r="V87" i="5"/>
  <c r="AC63" i="11"/>
  <c r="AC63" i="10"/>
  <c r="AC63" i="9"/>
  <c r="AD87" i="5"/>
  <c r="AK63" i="11"/>
  <c r="AK63" i="10"/>
  <c r="AK63" i="9"/>
  <c r="AL87" i="5"/>
  <c r="U64" i="11"/>
  <c r="U64" i="10"/>
  <c r="U64" i="9"/>
  <c r="V151" i="5"/>
  <c r="AC64" i="11"/>
  <c r="AC64" i="10"/>
  <c r="AC64" i="9"/>
  <c r="AD151" i="5"/>
  <c r="AK64" i="11"/>
  <c r="AK64" i="10"/>
  <c r="AK64" i="9"/>
  <c r="AL151" i="5"/>
  <c r="U65" i="11"/>
  <c r="U65" i="10"/>
  <c r="U65" i="9"/>
  <c r="V122" i="5"/>
  <c r="AC65" i="11"/>
  <c r="AC65" i="10"/>
  <c r="AC65" i="9"/>
  <c r="AD122" i="5"/>
  <c r="AK65" i="11"/>
  <c r="AK65" i="10"/>
  <c r="AK65" i="9"/>
  <c r="AL122" i="5"/>
  <c r="U66" i="11"/>
  <c r="U66" i="10"/>
  <c r="U66" i="9"/>
  <c r="V109" i="5"/>
  <c r="AC66" i="11"/>
  <c r="AC66" i="10"/>
  <c r="AC66" i="9"/>
  <c r="AD109" i="5"/>
  <c r="AK66" i="11"/>
  <c r="AK66" i="10"/>
  <c r="AK66" i="9"/>
  <c r="AL109" i="5"/>
  <c r="S68" i="11"/>
  <c r="S68" i="10"/>
  <c r="S68" i="9"/>
  <c r="T69" i="5"/>
  <c r="AA68" i="11"/>
  <c r="AA68" i="10"/>
  <c r="AA68" i="9"/>
  <c r="AB69" i="5"/>
  <c r="AI68" i="11"/>
  <c r="AI68" i="10"/>
  <c r="AI68" i="9"/>
  <c r="AJ69" i="5"/>
  <c r="S69" i="11"/>
  <c r="S69" i="10"/>
  <c r="S69" i="9"/>
  <c r="T152" i="5"/>
  <c r="AA69" i="11"/>
  <c r="AA69" i="10"/>
  <c r="AA69" i="9"/>
  <c r="AB152" i="5"/>
  <c r="AI69" i="11"/>
  <c r="AI69" i="10"/>
  <c r="AI69" i="9"/>
  <c r="AJ152" i="5"/>
  <c r="S70" i="11"/>
  <c r="S70" i="10"/>
  <c r="S70" i="9"/>
  <c r="T88" i="5"/>
  <c r="AA70" i="11"/>
  <c r="AA70" i="10"/>
  <c r="AA70" i="9"/>
  <c r="AB88" i="5"/>
  <c r="AI70" i="11"/>
  <c r="AI70" i="10"/>
  <c r="AI70" i="9"/>
  <c r="AJ88" i="5"/>
  <c r="S71" i="11"/>
  <c r="S71" i="10"/>
  <c r="S71" i="9"/>
  <c r="AA71" i="11"/>
  <c r="AA71" i="10"/>
  <c r="AA71" i="9"/>
  <c r="AB24" i="5"/>
  <c r="AI71" i="11"/>
  <c r="AI71" i="10"/>
  <c r="AI71" i="9"/>
  <c r="AJ24" i="5"/>
  <c r="S72" i="11"/>
  <c r="S72" i="10"/>
  <c r="S72" i="9"/>
  <c r="T153" i="5"/>
  <c r="AA72" i="11"/>
  <c r="AA72" i="10"/>
  <c r="AA72" i="9"/>
  <c r="AB153" i="5"/>
  <c r="AI72" i="11"/>
  <c r="AI72" i="10"/>
  <c r="AI72" i="9"/>
  <c r="AJ153" i="5"/>
  <c r="S73" i="11"/>
  <c r="S73" i="10"/>
  <c r="S73" i="9"/>
  <c r="T70" i="5"/>
  <c r="AA73" i="11"/>
  <c r="AA73" i="10"/>
  <c r="AA73" i="9"/>
  <c r="AB70" i="5"/>
  <c r="AI73" i="11"/>
  <c r="AI73" i="10"/>
  <c r="AI73" i="9"/>
  <c r="AJ70" i="5"/>
  <c r="S74" i="11"/>
  <c r="S74" i="10"/>
  <c r="S74" i="9"/>
  <c r="T89" i="5"/>
  <c r="AA74" i="11"/>
  <c r="AA74" i="10"/>
  <c r="AA74" i="9"/>
  <c r="AB89" i="5"/>
  <c r="AI74" i="11"/>
  <c r="AI74" i="10"/>
  <c r="AI74" i="9"/>
  <c r="AJ89" i="5"/>
  <c r="S75" i="11"/>
  <c r="S75" i="10"/>
  <c r="S75" i="9"/>
  <c r="T111" i="5"/>
  <c r="AA75" i="11"/>
  <c r="AA75" i="10"/>
  <c r="AA75" i="9"/>
  <c r="AB111" i="5"/>
  <c r="AI75" i="11"/>
  <c r="AI75" i="10"/>
  <c r="AI75" i="9"/>
  <c r="AJ111" i="5"/>
  <c r="S76" i="11"/>
  <c r="S76" i="10"/>
  <c r="S76" i="9"/>
  <c r="T127" i="5"/>
  <c r="AA76" i="11"/>
  <c r="AA76" i="10"/>
  <c r="AA76" i="9"/>
  <c r="AB127" i="5"/>
  <c r="AI76" i="11"/>
  <c r="AI76" i="10"/>
  <c r="AI76" i="9"/>
  <c r="AJ127" i="5"/>
  <c r="S77" i="11"/>
  <c r="S77" i="10"/>
  <c r="S77" i="9"/>
  <c r="T112" i="5"/>
  <c r="AA77" i="11"/>
  <c r="AA77" i="10"/>
  <c r="AA77" i="9"/>
  <c r="AB112" i="5"/>
  <c r="AI77" i="11"/>
  <c r="AI77" i="10"/>
  <c r="AI77" i="9"/>
  <c r="AJ112" i="5"/>
  <c r="S78" i="11"/>
  <c r="S78" i="10"/>
  <c r="S78" i="9"/>
  <c r="AA78" i="11"/>
  <c r="AA78" i="10"/>
  <c r="AA78" i="9"/>
  <c r="AB135" i="5"/>
  <c r="AI78" i="11"/>
  <c r="AI78" i="10"/>
  <c r="AI78" i="9"/>
  <c r="AJ135" i="5"/>
  <c r="S79" i="11"/>
  <c r="S79" i="10"/>
  <c r="S79" i="9"/>
  <c r="T154" i="5"/>
  <c r="AA79" i="11"/>
  <c r="AA79" i="10"/>
  <c r="AA79" i="9"/>
  <c r="AB154" i="5"/>
  <c r="AI79" i="11"/>
  <c r="AI79" i="10"/>
  <c r="AI79" i="9"/>
  <c r="AJ154" i="5"/>
  <c r="S80" i="11"/>
  <c r="S80" i="10"/>
  <c r="S80" i="9"/>
  <c r="T90" i="5"/>
  <c r="AA80" i="11"/>
  <c r="AA80" i="10"/>
  <c r="AA80" i="9"/>
  <c r="AB90" i="5"/>
  <c r="AI80" i="11"/>
  <c r="AI80" i="10"/>
  <c r="AI80" i="9"/>
  <c r="AJ90" i="5"/>
  <c r="S88" i="11"/>
  <c r="S88" i="10"/>
  <c r="S88" i="9"/>
  <c r="AA88" i="11"/>
  <c r="AA88" i="10"/>
  <c r="AA88" i="9"/>
  <c r="AB157" i="5"/>
  <c r="AI88" i="11"/>
  <c r="AI88" i="10"/>
  <c r="AI88" i="9"/>
  <c r="AJ157" i="5"/>
  <c r="AN56" i="11"/>
  <c r="AN88" i="11"/>
  <c r="AN72" i="11"/>
  <c r="AN83" i="11"/>
  <c r="AN76" i="11"/>
  <c r="AN15" i="11"/>
  <c r="AN26" i="11"/>
  <c r="AN54" i="11"/>
  <c r="AN42" i="11"/>
  <c r="AN47" i="11"/>
  <c r="AN39" i="11"/>
  <c r="AN58" i="11"/>
  <c r="AN36" i="11"/>
  <c r="AN32" i="11"/>
  <c r="AN44" i="11"/>
  <c r="AN79" i="11"/>
  <c r="AN17" i="11"/>
  <c r="AN48" i="11"/>
  <c r="AN14" i="11"/>
  <c r="AN52" i="11"/>
  <c r="AN64" i="11"/>
  <c r="AN69" i="11"/>
  <c r="AN61" i="11"/>
  <c r="AN36" i="10"/>
  <c r="AN32" i="10"/>
  <c r="AN44" i="10"/>
  <c r="AN79" i="10"/>
  <c r="AN17" i="10"/>
  <c r="AN48" i="10"/>
  <c r="AN14" i="10"/>
  <c r="AN52" i="10"/>
  <c r="AN64" i="10"/>
  <c r="AN69" i="10"/>
  <c r="AN61" i="10"/>
  <c r="AN56" i="10"/>
  <c r="AN88" i="10"/>
  <c r="AN72" i="10"/>
  <c r="AN83" i="10"/>
  <c r="AN76" i="10"/>
  <c r="AN15" i="10"/>
  <c r="AN26" i="10"/>
  <c r="AN54" i="10"/>
  <c r="AN42" i="10"/>
  <c r="AN47" i="10"/>
  <c r="AN39" i="10"/>
  <c r="AN58" i="10"/>
  <c r="AN72" i="9"/>
  <c r="AN58" i="9"/>
  <c r="AN48" i="9"/>
  <c r="AN39" i="9"/>
  <c r="AN15" i="9"/>
  <c r="AN76" i="9"/>
  <c r="AN88" i="9"/>
  <c r="AN69" i="9"/>
  <c r="AN56" i="9"/>
  <c r="AN47" i="9"/>
  <c r="AN36" i="9"/>
  <c r="AN14" i="9"/>
  <c r="AN32" i="9"/>
  <c r="AN83" i="9"/>
  <c r="AN64" i="9"/>
  <c r="AN54" i="9"/>
  <c r="AN44" i="9"/>
  <c r="AN26" i="9"/>
  <c r="AN79" i="9"/>
  <c r="AN61" i="9"/>
  <c r="AN52" i="9"/>
  <c r="AN42" i="9"/>
  <c r="AN17" i="9"/>
  <c r="AO138" i="5"/>
  <c r="AO142" i="5"/>
  <c r="AO145" i="5"/>
  <c r="AO126" i="5"/>
  <c r="AO157" i="5"/>
  <c r="AO147" i="5"/>
  <c r="AO150" i="5"/>
  <c r="AO154" i="5"/>
  <c r="AO143" i="5"/>
  <c r="AO137" i="5"/>
  <c r="AO140" i="5"/>
  <c r="AO153" i="5"/>
  <c r="AO125" i="5"/>
  <c r="AO146" i="5"/>
  <c r="AO148" i="5"/>
  <c r="AO151" i="5"/>
  <c r="AO152" i="5"/>
  <c r="AO127" i="5"/>
  <c r="AO156" i="5"/>
  <c r="AO136" i="5"/>
  <c r="AO139" i="5"/>
  <c r="AO141" i="5"/>
  <c r="AO144" i="5"/>
  <c r="AO149" i="5"/>
  <c r="AO155" i="5"/>
  <c r="AM92" i="5"/>
  <c r="AL49" i="11"/>
  <c r="AL33" i="11"/>
  <c r="AL8" i="11"/>
  <c r="AL80" i="11"/>
  <c r="AL37" i="11"/>
  <c r="AL40" i="11"/>
  <c r="AL74" i="11"/>
  <c r="AL55" i="11"/>
  <c r="AL63" i="11"/>
  <c r="AL70" i="11"/>
  <c r="AL34" i="11"/>
  <c r="AL85" i="11"/>
  <c r="AL20" i="11"/>
  <c r="AL2" i="11"/>
  <c r="AL24" i="11"/>
  <c r="AL55" i="10"/>
  <c r="AL63" i="10"/>
  <c r="AL70" i="10"/>
  <c r="AL34" i="10"/>
  <c r="AL85" i="10"/>
  <c r="AL20" i="10"/>
  <c r="AL2" i="10"/>
  <c r="AL24" i="10"/>
  <c r="AL49" i="10"/>
  <c r="AL33" i="10"/>
  <c r="AL8" i="10"/>
  <c r="AL80" i="10"/>
  <c r="AL37" i="10"/>
  <c r="AL40" i="10"/>
  <c r="AL74" i="10"/>
  <c r="AL24" i="9"/>
  <c r="AL80" i="9"/>
  <c r="AL55" i="9"/>
  <c r="AL8" i="9"/>
  <c r="AL20" i="9"/>
  <c r="AL74" i="9"/>
  <c r="AL40" i="9"/>
  <c r="AL49" i="9"/>
  <c r="AL2" i="9"/>
  <c r="AL70" i="9"/>
  <c r="AL37" i="9"/>
  <c r="AM97" i="5"/>
  <c r="AM90" i="5"/>
  <c r="AL34" i="9"/>
  <c r="AL33" i="9"/>
  <c r="AM85" i="5"/>
  <c r="AM83" i="5"/>
  <c r="AM98" i="5"/>
  <c r="AM100" i="5"/>
  <c r="AL85" i="9"/>
  <c r="AM93" i="5"/>
  <c r="AM81" i="5"/>
  <c r="AM87" i="5"/>
  <c r="AM88" i="5"/>
  <c r="AM94" i="5"/>
  <c r="AM95" i="5"/>
  <c r="AM96" i="5"/>
  <c r="AM91" i="5"/>
  <c r="AL63" i="9"/>
  <c r="AM80" i="5"/>
  <c r="AM82" i="5"/>
  <c r="AM84" i="5"/>
  <c r="AM86" i="5"/>
  <c r="AM99" i="5"/>
  <c r="AM89" i="5"/>
  <c r="H32" i="3"/>
  <c r="C16" i="4" s="1"/>
  <c r="AS158" i="5" s="1"/>
  <c r="J28" i="3"/>
  <c r="E12" i="4" s="1"/>
  <c r="J31" i="3"/>
  <c r="E15" i="4" s="1"/>
  <c r="H31" i="3"/>
  <c r="C15" i="4" s="1"/>
  <c r="H27" i="3"/>
  <c r="C11" i="4" s="1"/>
  <c r="H30" i="3"/>
  <c r="C14" i="4" s="1"/>
  <c r="AL31" i="11"/>
  <c r="AL43" i="11"/>
  <c r="AL19" i="11"/>
  <c r="AL10" i="11"/>
  <c r="AL78" i="11"/>
  <c r="AL50" i="11"/>
  <c r="AL78" i="10"/>
  <c r="AL50" i="10"/>
  <c r="AL31" i="10"/>
  <c r="AL43" i="10"/>
  <c r="AL19" i="10"/>
  <c r="AL10" i="10"/>
  <c r="AL50" i="9"/>
  <c r="AL10" i="9"/>
  <c r="AL43" i="9"/>
  <c r="AL31" i="9"/>
  <c r="AL78" i="9"/>
  <c r="AL19" i="9"/>
  <c r="AM128" i="5"/>
  <c r="AM133" i="5"/>
  <c r="AM129" i="5"/>
  <c r="AM130" i="5"/>
  <c r="AM131" i="5"/>
  <c r="AM134" i="5"/>
  <c r="AM135" i="5"/>
  <c r="AM132" i="5"/>
  <c r="AP86" i="11"/>
  <c r="AP9" i="11"/>
  <c r="AP41" i="11"/>
  <c r="AP27" i="11"/>
  <c r="AP66" i="11"/>
  <c r="AP84" i="11"/>
  <c r="AP3" i="11"/>
  <c r="AP7" i="11"/>
  <c r="AP65" i="11"/>
  <c r="AP75" i="11"/>
  <c r="AP6" i="11"/>
  <c r="AP35" i="11"/>
  <c r="AP81" i="11"/>
  <c r="AP12" i="11"/>
  <c r="AP82" i="11"/>
  <c r="AP77" i="11"/>
  <c r="AP38" i="11"/>
  <c r="AP62" i="11"/>
  <c r="AP66" i="10"/>
  <c r="AP3" i="10"/>
  <c r="AP7" i="10"/>
  <c r="AP65" i="10"/>
  <c r="AP81" i="10"/>
  <c r="AP12" i="10"/>
  <c r="AP82" i="10"/>
  <c r="AP77" i="10"/>
  <c r="AP38" i="10"/>
  <c r="AP86" i="10"/>
  <c r="AP9" i="10"/>
  <c r="AP41" i="10"/>
  <c r="AP27" i="10"/>
  <c r="AP6" i="10"/>
  <c r="AP84" i="10"/>
  <c r="AP62" i="10"/>
  <c r="AP75" i="10"/>
  <c r="AP35" i="10"/>
  <c r="AP35" i="9"/>
  <c r="AP84" i="9"/>
  <c r="AP9" i="9"/>
  <c r="AP77" i="9"/>
  <c r="AP65" i="9"/>
  <c r="AP86" i="9"/>
  <c r="AP41" i="9"/>
  <c r="AP82" i="9"/>
  <c r="AP66" i="9"/>
  <c r="AP12" i="9"/>
  <c r="AP62" i="9"/>
  <c r="AP7" i="9"/>
  <c r="AP38" i="9"/>
  <c r="AP6" i="9"/>
  <c r="AP81" i="9"/>
  <c r="AP75" i="9"/>
  <c r="AQ106" i="5"/>
  <c r="AQ119" i="5"/>
  <c r="AP3" i="9"/>
  <c r="AQ102" i="5"/>
  <c r="AQ117" i="5"/>
  <c r="AQ121" i="5"/>
  <c r="AQ111" i="5"/>
  <c r="AQ113" i="5"/>
  <c r="AQ115" i="5"/>
  <c r="AQ103" i="5"/>
  <c r="AQ107" i="5"/>
  <c r="AQ122" i="5"/>
  <c r="AQ114" i="5"/>
  <c r="AQ109" i="5"/>
  <c r="AQ112" i="5"/>
  <c r="AQ101" i="5"/>
  <c r="AQ104" i="5"/>
  <c r="AQ120" i="5"/>
  <c r="AQ123" i="5"/>
  <c r="AP27" i="9"/>
  <c r="AQ124" i="5"/>
  <c r="AQ108" i="5"/>
  <c r="AQ118" i="5"/>
  <c r="AQ110" i="5"/>
  <c r="AQ116" i="5"/>
  <c r="AQ105" i="5"/>
  <c r="T24" i="5"/>
  <c r="T145" i="5"/>
  <c r="R3" i="11"/>
  <c r="R3" i="10"/>
  <c r="R3" i="9"/>
  <c r="S101" i="5"/>
  <c r="AH5" i="11"/>
  <c r="AH5" i="10"/>
  <c r="AH5" i="9"/>
  <c r="AI49" i="5"/>
  <c r="AH6" i="11"/>
  <c r="AH6" i="10"/>
  <c r="AH6" i="9"/>
  <c r="AI102" i="5"/>
  <c r="R8" i="11"/>
  <c r="R8" i="10"/>
  <c r="R8" i="9"/>
  <c r="S80" i="5"/>
  <c r="AH8" i="11"/>
  <c r="AH8" i="10"/>
  <c r="AH8" i="9"/>
  <c r="AI80" i="5"/>
  <c r="T2" i="11"/>
  <c r="T2" i="10"/>
  <c r="T2" i="9"/>
  <c r="U92" i="5"/>
  <c r="AB6" i="11"/>
  <c r="AB6" i="10"/>
  <c r="AB6" i="9"/>
  <c r="AC102" i="5"/>
  <c r="AB7" i="11"/>
  <c r="AB7" i="10"/>
  <c r="AB7" i="9"/>
  <c r="AC103" i="5"/>
  <c r="T10" i="11"/>
  <c r="T10" i="10"/>
  <c r="T10" i="9"/>
  <c r="U129" i="5"/>
  <c r="AJ11" i="11"/>
  <c r="AJ11" i="10"/>
  <c r="AJ11" i="9"/>
  <c r="AK53" i="5"/>
  <c r="T13" i="11"/>
  <c r="T13" i="10"/>
  <c r="T13" i="9"/>
  <c r="U6" i="5"/>
  <c r="AB14" i="11"/>
  <c r="AB14" i="10"/>
  <c r="AB14" i="9"/>
  <c r="AC136" i="5"/>
  <c r="T15" i="11"/>
  <c r="T15" i="10"/>
  <c r="T15" i="9"/>
  <c r="U137" i="5"/>
  <c r="AB16" i="11"/>
  <c r="AB16" i="10"/>
  <c r="AB16" i="9"/>
  <c r="AC55" i="5"/>
  <c r="Z19" i="11"/>
  <c r="Z19" i="10"/>
  <c r="Z19" i="9"/>
  <c r="AA130" i="5"/>
  <c r="R20" i="11"/>
  <c r="R20" i="10"/>
  <c r="R20" i="9"/>
  <c r="S93" i="5"/>
  <c r="AF22" i="11"/>
  <c r="AF22" i="10"/>
  <c r="AF22" i="9"/>
  <c r="AG58" i="5"/>
  <c r="AF23" i="11"/>
  <c r="AF23" i="10"/>
  <c r="AF23" i="9"/>
  <c r="AG75" i="5"/>
  <c r="X25" i="11"/>
  <c r="X25" i="10"/>
  <c r="X25" i="9"/>
  <c r="Y59" i="5"/>
  <c r="AF25" i="11"/>
  <c r="AF25" i="10"/>
  <c r="AF25" i="9"/>
  <c r="AG59" i="5"/>
  <c r="Y26" i="11"/>
  <c r="Y26" i="10"/>
  <c r="Y26" i="9"/>
  <c r="Z139" i="5"/>
  <c r="AG28" i="11"/>
  <c r="AG28" i="10"/>
  <c r="AG28" i="9"/>
  <c r="AH60" i="5"/>
  <c r="X2" i="11"/>
  <c r="X2" i="10"/>
  <c r="X2" i="9"/>
  <c r="Y92" i="5"/>
  <c r="X3" i="11"/>
  <c r="X3" i="10"/>
  <c r="X3" i="9"/>
  <c r="Y101" i="5"/>
  <c r="P4" i="11"/>
  <c r="P4" i="10"/>
  <c r="P4" i="9"/>
  <c r="AF4" i="11"/>
  <c r="AF4" i="10"/>
  <c r="AF4" i="9"/>
  <c r="AG2" i="5"/>
  <c r="X5" i="11"/>
  <c r="X5" i="10"/>
  <c r="X5" i="9"/>
  <c r="Y49" i="5"/>
  <c r="P6" i="11"/>
  <c r="P6" i="10"/>
  <c r="P6" i="9"/>
  <c r="Q102" i="5"/>
  <c r="P7" i="11"/>
  <c r="P7" i="10"/>
  <c r="P7" i="9"/>
  <c r="Q103" i="5"/>
  <c r="X8" i="11"/>
  <c r="X8" i="10"/>
  <c r="X8" i="9"/>
  <c r="Y80" i="5"/>
  <c r="X9" i="11"/>
  <c r="X9" i="10"/>
  <c r="X9" i="9"/>
  <c r="Y116" i="5"/>
  <c r="X10" i="11"/>
  <c r="X10" i="10"/>
  <c r="X10" i="9"/>
  <c r="Y129" i="5"/>
  <c r="X11" i="11"/>
  <c r="X11" i="10"/>
  <c r="X11" i="9"/>
  <c r="Y53" i="5"/>
  <c r="P12" i="11"/>
  <c r="P12" i="10"/>
  <c r="P12" i="9"/>
  <c r="Q105" i="5"/>
  <c r="AF12" i="11"/>
  <c r="AF12" i="10"/>
  <c r="AF12" i="9"/>
  <c r="AG105" i="5"/>
  <c r="X13" i="11"/>
  <c r="X13" i="10"/>
  <c r="X13" i="9"/>
  <c r="Y6" i="5"/>
  <c r="P14" i="11"/>
  <c r="P14" i="10"/>
  <c r="P14" i="9"/>
  <c r="Q136" i="5"/>
  <c r="P15" i="11"/>
  <c r="P15" i="10"/>
  <c r="P15" i="9"/>
  <c r="Q137" i="5"/>
  <c r="AF15" i="11"/>
  <c r="AF15" i="10"/>
  <c r="AF15" i="9"/>
  <c r="AG137" i="5"/>
  <c r="P16" i="11"/>
  <c r="P16" i="10"/>
  <c r="P16" i="9"/>
  <c r="Q55" i="5"/>
  <c r="AF16" i="11"/>
  <c r="AF16" i="10"/>
  <c r="AF16" i="9"/>
  <c r="AG55" i="5"/>
  <c r="V18" i="11"/>
  <c r="V18" i="10"/>
  <c r="V18" i="9"/>
  <c r="W56" i="5"/>
  <c r="V19" i="11"/>
  <c r="V19" i="10"/>
  <c r="V19" i="9"/>
  <c r="W130" i="5"/>
  <c r="AD19" i="11"/>
  <c r="AD19" i="10"/>
  <c r="AD19" i="9"/>
  <c r="AE130" i="5"/>
  <c r="T22" i="11"/>
  <c r="T22" i="10"/>
  <c r="T22" i="9"/>
  <c r="U58" i="5"/>
  <c r="AJ22" i="11"/>
  <c r="AJ22" i="10"/>
  <c r="AJ22" i="9"/>
  <c r="AK58" i="5"/>
  <c r="AB23" i="11"/>
  <c r="AB23" i="10"/>
  <c r="AB23" i="9"/>
  <c r="AC75" i="5"/>
  <c r="T24" i="11"/>
  <c r="T24" i="10"/>
  <c r="T24" i="9"/>
  <c r="U94" i="5"/>
  <c r="AJ24" i="11"/>
  <c r="AJ24" i="10"/>
  <c r="AJ24" i="9"/>
  <c r="AK94" i="5"/>
  <c r="AB25" i="11"/>
  <c r="AB25" i="10"/>
  <c r="AB25" i="9"/>
  <c r="AC59" i="5"/>
  <c r="AJ25" i="11"/>
  <c r="AJ25" i="10"/>
  <c r="AJ25" i="9"/>
  <c r="AK59" i="5"/>
  <c r="U26" i="11"/>
  <c r="U26" i="10"/>
  <c r="U26" i="9"/>
  <c r="V139" i="5"/>
  <c r="AK26" i="11"/>
  <c r="AK26" i="10"/>
  <c r="AK26" i="9"/>
  <c r="AL139" i="5"/>
  <c r="AC27" i="11"/>
  <c r="AC27" i="10"/>
  <c r="AC27" i="9"/>
  <c r="AD106" i="5"/>
  <c r="AC28" i="11"/>
  <c r="AC28" i="10"/>
  <c r="AC28" i="9"/>
  <c r="AD60" i="5"/>
  <c r="U29" i="11"/>
  <c r="U29" i="10"/>
  <c r="U29" i="9"/>
  <c r="V76" i="5"/>
  <c r="AK29" i="11"/>
  <c r="AK29" i="10"/>
  <c r="AK29" i="9"/>
  <c r="AL76" i="5"/>
  <c r="Q2" i="11"/>
  <c r="Q2" i="10"/>
  <c r="Q2" i="9"/>
  <c r="R92" i="5"/>
  <c r="Y2" i="11"/>
  <c r="Y2" i="10"/>
  <c r="Y2" i="9"/>
  <c r="Z92" i="5"/>
  <c r="AG2" i="11"/>
  <c r="AG2" i="10"/>
  <c r="AG2" i="9"/>
  <c r="AH92" i="5"/>
  <c r="Q3" i="11"/>
  <c r="Q3" i="10"/>
  <c r="Q3" i="9"/>
  <c r="R101" i="5"/>
  <c r="Y3" i="11"/>
  <c r="Y3" i="10"/>
  <c r="Y3" i="9"/>
  <c r="Z101" i="5"/>
  <c r="AG3" i="11"/>
  <c r="AG3" i="10"/>
  <c r="AG3" i="9"/>
  <c r="AH101" i="5"/>
  <c r="Q4" i="11"/>
  <c r="Q4" i="10"/>
  <c r="Q4" i="9"/>
  <c r="R2" i="5"/>
  <c r="Y4" i="11"/>
  <c r="Y4" i="10"/>
  <c r="Y4" i="9"/>
  <c r="Z2" i="5"/>
  <c r="AG4" i="11"/>
  <c r="AG4" i="10"/>
  <c r="AG4" i="9"/>
  <c r="AH2" i="5"/>
  <c r="Q5" i="11"/>
  <c r="Q5" i="10"/>
  <c r="Q5" i="9"/>
  <c r="R49" i="5"/>
  <c r="Y5" i="11"/>
  <c r="Y5" i="10"/>
  <c r="Y5" i="9"/>
  <c r="Z49" i="5"/>
  <c r="AG5" i="11"/>
  <c r="AG5" i="10"/>
  <c r="AG5" i="9"/>
  <c r="AH49" i="5"/>
  <c r="Q6" i="11"/>
  <c r="Q6" i="10"/>
  <c r="Q6" i="9"/>
  <c r="R102" i="5"/>
  <c r="Y6" i="11"/>
  <c r="Y6" i="10"/>
  <c r="Y6" i="9"/>
  <c r="Z102" i="5"/>
  <c r="AG6" i="11"/>
  <c r="AG6" i="10"/>
  <c r="AG6" i="9"/>
  <c r="AH102" i="5"/>
  <c r="Q7" i="11"/>
  <c r="Q7" i="10"/>
  <c r="Q7" i="9"/>
  <c r="Y7" i="11"/>
  <c r="Y7" i="10"/>
  <c r="Y7" i="9"/>
  <c r="Z103" i="5"/>
  <c r="AG7" i="11"/>
  <c r="AG7" i="10"/>
  <c r="AG7" i="9"/>
  <c r="AH103" i="5"/>
  <c r="Q8" i="11"/>
  <c r="Q8" i="10"/>
  <c r="Q8" i="9"/>
  <c r="R80" i="5"/>
  <c r="Y8" i="11"/>
  <c r="Y8" i="10"/>
  <c r="Y8" i="9"/>
  <c r="Z80" i="5"/>
  <c r="AG8" i="11"/>
  <c r="AG8" i="10"/>
  <c r="AG8" i="9"/>
  <c r="AH80" i="5"/>
  <c r="Q9" i="11"/>
  <c r="Q9" i="10"/>
  <c r="Q9" i="9"/>
  <c r="R116" i="5"/>
  <c r="Y9" i="11"/>
  <c r="Y9" i="10"/>
  <c r="Y9" i="9"/>
  <c r="Z116" i="5"/>
  <c r="AG9" i="11"/>
  <c r="AG9" i="10"/>
  <c r="AG9" i="9"/>
  <c r="AH116" i="5"/>
  <c r="Q10" i="11"/>
  <c r="Q10" i="10"/>
  <c r="Q10" i="9"/>
  <c r="Y10" i="11"/>
  <c r="Y10" i="10"/>
  <c r="Y10" i="9"/>
  <c r="Z129" i="5"/>
  <c r="AG10" i="11"/>
  <c r="AG10" i="10"/>
  <c r="AG10" i="9"/>
  <c r="AH129" i="5"/>
  <c r="Q11" i="11"/>
  <c r="Q11" i="10"/>
  <c r="Q11" i="9"/>
  <c r="R53" i="5"/>
  <c r="Y11" i="11"/>
  <c r="Y11" i="10"/>
  <c r="Y11" i="9"/>
  <c r="Z53" i="5"/>
  <c r="AG11" i="11"/>
  <c r="AG11" i="10"/>
  <c r="AG11" i="9"/>
  <c r="AH53" i="5"/>
  <c r="Q12" i="11"/>
  <c r="Q12" i="10"/>
  <c r="Q12" i="9"/>
  <c r="R105" i="5"/>
  <c r="Y12" i="11"/>
  <c r="Y12" i="10"/>
  <c r="Y12" i="9"/>
  <c r="Z105" i="5"/>
  <c r="AG12" i="11"/>
  <c r="AG12" i="10"/>
  <c r="AG12" i="9"/>
  <c r="AH105" i="5"/>
  <c r="Q13" i="11"/>
  <c r="Q13" i="10"/>
  <c r="Q13" i="9"/>
  <c r="Y13" i="11"/>
  <c r="Y13" i="10"/>
  <c r="Y13" i="9"/>
  <c r="Z6" i="5"/>
  <c r="AG13" i="11"/>
  <c r="AG13" i="10"/>
  <c r="AG13" i="9"/>
  <c r="AH6" i="5"/>
  <c r="Q14" i="11"/>
  <c r="Q14" i="10"/>
  <c r="Q14" i="9"/>
  <c r="R136" i="5"/>
  <c r="Y14" i="11"/>
  <c r="Y14" i="10"/>
  <c r="Y14" i="9"/>
  <c r="Z136" i="5"/>
  <c r="AG14" i="11"/>
  <c r="AG14" i="10"/>
  <c r="AG14" i="9"/>
  <c r="AH136" i="5"/>
  <c r="Q15" i="11"/>
  <c r="Q15" i="10"/>
  <c r="Q15" i="9"/>
  <c r="R137" i="5"/>
  <c r="Y15" i="11"/>
  <c r="Y15" i="10"/>
  <c r="Y15" i="9"/>
  <c r="Z137" i="5"/>
  <c r="AG15" i="11"/>
  <c r="AG15" i="10"/>
  <c r="AG15" i="9"/>
  <c r="AH137" i="5"/>
  <c r="Q16" i="11"/>
  <c r="Q16" i="10"/>
  <c r="Q16" i="9"/>
  <c r="R55" i="5"/>
  <c r="Y16" i="11"/>
  <c r="Y16" i="10"/>
  <c r="Y16" i="9"/>
  <c r="Z55" i="5"/>
  <c r="AG16" i="11"/>
  <c r="AG16" i="10"/>
  <c r="AG16" i="9"/>
  <c r="AH55" i="5"/>
  <c r="W18" i="11"/>
  <c r="W18" i="10"/>
  <c r="W18" i="9"/>
  <c r="X56" i="5"/>
  <c r="AE18" i="11"/>
  <c r="AE18" i="10"/>
  <c r="AE18" i="9"/>
  <c r="AF56" i="5"/>
  <c r="W19" i="11"/>
  <c r="W19" i="10"/>
  <c r="W19" i="9"/>
  <c r="X130" i="5"/>
  <c r="AE19" i="11"/>
  <c r="AE19" i="10"/>
  <c r="AE19" i="9"/>
  <c r="AF130" i="5"/>
  <c r="W20" i="11"/>
  <c r="W20" i="10"/>
  <c r="W20" i="9"/>
  <c r="X93" i="5"/>
  <c r="AE20" i="11"/>
  <c r="AE20" i="10"/>
  <c r="AE20" i="9"/>
  <c r="AF93" i="5"/>
  <c r="U22" i="11"/>
  <c r="U22" i="10"/>
  <c r="U22" i="9"/>
  <c r="V58" i="5"/>
  <c r="AC22" i="11"/>
  <c r="AC22" i="10"/>
  <c r="AC22" i="9"/>
  <c r="AD58" i="5"/>
  <c r="AK22" i="11"/>
  <c r="AK22" i="10"/>
  <c r="AK22" i="9"/>
  <c r="AL58" i="5"/>
  <c r="U23" i="11"/>
  <c r="U23" i="10"/>
  <c r="U23" i="9"/>
  <c r="V75" i="5"/>
  <c r="AC23" i="11"/>
  <c r="AC23" i="10"/>
  <c r="AC23" i="9"/>
  <c r="AD75" i="5"/>
  <c r="AK23" i="11"/>
  <c r="AK23" i="10"/>
  <c r="AK23" i="9"/>
  <c r="AL75" i="5"/>
  <c r="U24" i="11"/>
  <c r="U24" i="10"/>
  <c r="U24" i="9"/>
  <c r="V94" i="5"/>
  <c r="AC24" i="11"/>
  <c r="AC24" i="10"/>
  <c r="AC24" i="9"/>
  <c r="AD94" i="5"/>
  <c r="AK24" i="11"/>
  <c r="AK24" i="10"/>
  <c r="AK24" i="9"/>
  <c r="AL94" i="5"/>
  <c r="U25" i="11"/>
  <c r="U25" i="10"/>
  <c r="U25" i="9"/>
  <c r="V59" i="5"/>
  <c r="AC25" i="11"/>
  <c r="AC25" i="10"/>
  <c r="AC25" i="9"/>
  <c r="AD59" i="5"/>
  <c r="AK25" i="11"/>
  <c r="AK25" i="10"/>
  <c r="AK25" i="9"/>
  <c r="AL59" i="5"/>
  <c r="V26" i="11"/>
  <c r="V26" i="10"/>
  <c r="V26" i="9"/>
  <c r="W139" i="5"/>
  <c r="AD26" i="11"/>
  <c r="AD26" i="10"/>
  <c r="AD26" i="9"/>
  <c r="AE139" i="5"/>
  <c r="V27" i="11"/>
  <c r="V27" i="10"/>
  <c r="V27" i="9"/>
  <c r="W106" i="5"/>
  <c r="AD27" i="11"/>
  <c r="AD27" i="10"/>
  <c r="AD27" i="9"/>
  <c r="AE106" i="5"/>
  <c r="V28" i="11"/>
  <c r="V28" i="10"/>
  <c r="V28" i="9"/>
  <c r="W60" i="5"/>
  <c r="AD28" i="11"/>
  <c r="AD28" i="10"/>
  <c r="AD28" i="9"/>
  <c r="AE60" i="5"/>
  <c r="V29" i="11"/>
  <c r="V29" i="10"/>
  <c r="V29" i="9"/>
  <c r="W76" i="5"/>
  <c r="AD29" i="11"/>
  <c r="AD29" i="10"/>
  <c r="AD29" i="9"/>
  <c r="AE76" i="5"/>
  <c r="V30" i="11"/>
  <c r="V30" i="10"/>
  <c r="V30" i="9"/>
  <c r="W62" i="5"/>
  <c r="AD30" i="11"/>
  <c r="AD30" i="10"/>
  <c r="AD30" i="9"/>
  <c r="AE62" i="5"/>
  <c r="V31" i="11"/>
  <c r="V31" i="10"/>
  <c r="V31" i="9"/>
  <c r="W131" i="5"/>
  <c r="AD31" i="11"/>
  <c r="AD31" i="10"/>
  <c r="AD31" i="9"/>
  <c r="AE131" i="5"/>
  <c r="V32" i="11"/>
  <c r="V32" i="10"/>
  <c r="V32" i="9"/>
  <c r="W125" i="5"/>
  <c r="AD32" i="11"/>
  <c r="AD32" i="10"/>
  <c r="AD32" i="9"/>
  <c r="AE125" i="5"/>
  <c r="V33" i="11"/>
  <c r="V33" i="10"/>
  <c r="V33" i="9"/>
  <c r="W81" i="5"/>
  <c r="AD33" i="11"/>
  <c r="AD33" i="10"/>
  <c r="AD33" i="9"/>
  <c r="AE81" i="5"/>
  <c r="V34" i="11"/>
  <c r="V34" i="10"/>
  <c r="V34" i="9"/>
  <c r="W95" i="5"/>
  <c r="AD34" i="11"/>
  <c r="AD34" i="10"/>
  <c r="AD34" i="9"/>
  <c r="AE95" i="5"/>
  <c r="V35" i="11"/>
  <c r="V35" i="10"/>
  <c r="V35" i="9"/>
  <c r="W119" i="5"/>
  <c r="AD35" i="11"/>
  <c r="AD35" i="10"/>
  <c r="AD35" i="9"/>
  <c r="AE119" i="5"/>
  <c r="V36" i="11"/>
  <c r="V36" i="10"/>
  <c r="V36" i="9"/>
  <c r="W140" i="5"/>
  <c r="AD36" i="11"/>
  <c r="AD36" i="10"/>
  <c r="AD36" i="9"/>
  <c r="AE140" i="5"/>
  <c r="V37" i="11"/>
  <c r="V37" i="10"/>
  <c r="V37" i="9"/>
  <c r="W83" i="5"/>
  <c r="AD37" i="11"/>
  <c r="AD37" i="10"/>
  <c r="AD37" i="9"/>
  <c r="AE83" i="5"/>
  <c r="V38" i="11"/>
  <c r="V38" i="10"/>
  <c r="V38" i="9"/>
  <c r="W107" i="5"/>
  <c r="AD38" i="11"/>
  <c r="AD38" i="10"/>
  <c r="AD38" i="9"/>
  <c r="AE107" i="5"/>
  <c r="V39" i="11"/>
  <c r="V39" i="10"/>
  <c r="V39" i="9"/>
  <c r="W141" i="5"/>
  <c r="AD39" i="11"/>
  <c r="AD39" i="10"/>
  <c r="AD39" i="9"/>
  <c r="AE141" i="5"/>
  <c r="V40" i="11"/>
  <c r="V40" i="10"/>
  <c r="V40" i="9"/>
  <c r="W84" i="5"/>
  <c r="AD40" i="11"/>
  <c r="AD40" i="10"/>
  <c r="AD40" i="9"/>
  <c r="AE84" i="5"/>
  <c r="V41" i="11"/>
  <c r="V41" i="10"/>
  <c r="V41" i="9"/>
  <c r="W121" i="5"/>
  <c r="AD41" i="11"/>
  <c r="AD41" i="10"/>
  <c r="AD41" i="9"/>
  <c r="AE121" i="5"/>
  <c r="V42" i="11"/>
  <c r="V42" i="10"/>
  <c r="V42" i="9"/>
  <c r="W142" i="5"/>
  <c r="AD42" i="11"/>
  <c r="AD42" i="10"/>
  <c r="AD42" i="9"/>
  <c r="AE142" i="5"/>
  <c r="V43" i="11"/>
  <c r="V43" i="10"/>
  <c r="V43" i="9"/>
  <c r="W132" i="5"/>
  <c r="AD43" i="11"/>
  <c r="AD43" i="10"/>
  <c r="AD43" i="9"/>
  <c r="AE132" i="5"/>
  <c r="T45" i="11"/>
  <c r="T45" i="10"/>
  <c r="T45" i="9"/>
  <c r="U19" i="5"/>
  <c r="AB45" i="11"/>
  <c r="AB45" i="10"/>
  <c r="AB45" i="9"/>
  <c r="AC19" i="5"/>
  <c r="AJ45" i="11"/>
  <c r="AJ45" i="10"/>
  <c r="AJ45" i="9"/>
  <c r="AK19" i="5"/>
  <c r="T46" i="11"/>
  <c r="T46" i="10"/>
  <c r="T46" i="9"/>
  <c r="U64" i="5"/>
  <c r="AB46" i="11"/>
  <c r="AB46" i="10"/>
  <c r="AB46" i="9"/>
  <c r="AC64" i="5"/>
  <c r="AJ46" i="11"/>
  <c r="AJ46" i="10"/>
  <c r="AJ46" i="9"/>
  <c r="AK64" i="5"/>
  <c r="T47" i="11"/>
  <c r="T47" i="10"/>
  <c r="T47" i="9"/>
  <c r="U144" i="5"/>
  <c r="AB47" i="11"/>
  <c r="AB47" i="10"/>
  <c r="AB47" i="9"/>
  <c r="AC144" i="5"/>
  <c r="AJ47" i="11"/>
  <c r="AJ47" i="10"/>
  <c r="AJ47" i="9"/>
  <c r="AK144" i="5"/>
  <c r="T48" i="11"/>
  <c r="T48" i="10"/>
  <c r="T48" i="9"/>
  <c r="U145" i="5"/>
  <c r="AB48" i="11"/>
  <c r="AB48" i="10"/>
  <c r="AB48" i="9"/>
  <c r="AC145" i="5"/>
  <c r="AJ48" i="11"/>
  <c r="AJ48" i="10"/>
  <c r="AJ48" i="9"/>
  <c r="AK145" i="5"/>
  <c r="T49" i="11"/>
  <c r="T49" i="10"/>
  <c r="T49" i="9"/>
  <c r="U96" i="5"/>
  <c r="AB49" i="11"/>
  <c r="AB49" i="10"/>
  <c r="AB49" i="9"/>
  <c r="AC96" i="5"/>
  <c r="AJ49" i="11"/>
  <c r="AJ49" i="10"/>
  <c r="AJ49" i="9"/>
  <c r="AK96" i="5"/>
  <c r="T50" i="11"/>
  <c r="T50" i="10"/>
  <c r="T50" i="9"/>
  <c r="U133" i="5"/>
  <c r="AB50" i="11"/>
  <c r="AB50" i="10"/>
  <c r="AB50" i="9"/>
  <c r="AC133" i="5"/>
  <c r="AJ50" i="11"/>
  <c r="AJ50" i="10"/>
  <c r="AJ50" i="9"/>
  <c r="AK133" i="5"/>
  <c r="T51" i="11"/>
  <c r="T51" i="10"/>
  <c r="T51" i="9"/>
  <c r="U40" i="5"/>
  <c r="AB51" i="11"/>
  <c r="AB51" i="10"/>
  <c r="AB51" i="9"/>
  <c r="AC40" i="5"/>
  <c r="AJ51" i="11"/>
  <c r="AJ51" i="10"/>
  <c r="AJ51" i="9"/>
  <c r="AK40" i="5"/>
  <c r="R53" i="11"/>
  <c r="R53" i="10"/>
  <c r="R53" i="9"/>
  <c r="S22" i="5"/>
  <c r="Z53" i="11"/>
  <c r="Z53" i="10"/>
  <c r="Z53" i="9"/>
  <c r="AA22" i="5"/>
  <c r="AH53" i="11"/>
  <c r="AH53" i="10"/>
  <c r="AH53" i="9"/>
  <c r="AI22" i="5"/>
  <c r="P55" i="11"/>
  <c r="P55" i="10"/>
  <c r="P55" i="9"/>
  <c r="Q86" i="5"/>
  <c r="X55" i="11"/>
  <c r="X55" i="10"/>
  <c r="X55" i="9"/>
  <c r="Y86" i="5"/>
  <c r="AF55" i="11"/>
  <c r="AF55" i="10"/>
  <c r="AF55" i="9"/>
  <c r="AG86" i="5"/>
  <c r="V57" i="11"/>
  <c r="V57" i="10"/>
  <c r="V57" i="9"/>
  <c r="W65" i="5"/>
  <c r="AD57" i="11"/>
  <c r="AD57" i="10"/>
  <c r="AD57" i="9"/>
  <c r="AE65" i="5"/>
  <c r="V58" i="11"/>
  <c r="V58" i="10"/>
  <c r="V58" i="9"/>
  <c r="W149" i="5"/>
  <c r="AD58" i="11"/>
  <c r="AD58" i="10"/>
  <c r="AD58" i="9"/>
  <c r="AE149" i="5"/>
  <c r="V59" i="11"/>
  <c r="V59" i="10"/>
  <c r="V59" i="9"/>
  <c r="W66" i="5"/>
  <c r="AD59" i="11"/>
  <c r="AD59" i="10"/>
  <c r="AD59" i="9"/>
  <c r="AE66" i="5"/>
  <c r="V60" i="11"/>
  <c r="V60" i="10"/>
  <c r="V60" i="9"/>
  <c r="W79" i="5"/>
  <c r="AD60" i="11"/>
  <c r="AD60" i="10"/>
  <c r="AD60" i="9"/>
  <c r="AE79" i="5"/>
  <c r="V61" i="11"/>
  <c r="V61" i="10"/>
  <c r="V61" i="9"/>
  <c r="W150" i="5"/>
  <c r="AD61" i="11"/>
  <c r="AD61" i="10"/>
  <c r="AD61" i="9"/>
  <c r="AE150" i="5"/>
  <c r="V62" i="11"/>
  <c r="V62" i="10"/>
  <c r="V62" i="9"/>
  <c r="W108" i="5"/>
  <c r="AD62" i="11"/>
  <c r="AD62" i="10"/>
  <c r="AD62" i="9"/>
  <c r="AE108" i="5"/>
  <c r="V63" i="11"/>
  <c r="V63" i="10"/>
  <c r="V63" i="9"/>
  <c r="W87" i="5"/>
  <c r="AD63" i="11"/>
  <c r="AD63" i="10"/>
  <c r="AD63" i="9"/>
  <c r="AE87" i="5"/>
  <c r="V64" i="11"/>
  <c r="V64" i="10"/>
  <c r="V64" i="9"/>
  <c r="W151" i="5"/>
  <c r="AD64" i="11"/>
  <c r="AD64" i="10"/>
  <c r="AD64" i="9"/>
  <c r="AE151" i="5"/>
  <c r="V65" i="11"/>
  <c r="V65" i="10"/>
  <c r="V65" i="9"/>
  <c r="W122" i="5"/>
  <c r="AD65" i="11"/>
  <c r="AD65" i="10"/>
  <c r="AD65" i="9"/>
  <c r="AE122" i="5"/>
  <c r="V66" i="11"/>
  <c r="V66" i="10"/>
  <c r="V66" i="9"/>
  <c r="W109" i="5"/>
  <c r="AD66" i="11"/>
  <c r="AD66" i="10"/>
  <c r="AD66" i="9"/>
  <c r="AE109" i="5"/>
  <c r="T68" i="11"/>
  <c r="T68" i="10"/>
  <c r="T68" i="9"/>
  <c r="U69" i="5"/>
  <c r="AB68" i="11"/>
  <c r="AB68" i="10"/>
  <c r="AB68" i="9"/>
  <c r="AC69" i="5"/>
  <c r="AJ68" i="11"/>
  <c r="AJ68" i="10"/>
  <c r="AJ68" i="9"/>
  <c r="AK69" i="5"/>
  <c r="T69" i="11"/>
  <c r="T69" i="10"/>
  <c r="T69" i="9"/>
  <c r="U152" i="5"/>
  <c r="AB69" i="11"/>
  <c r="AB69" i="10"/>
  <c r="AB69" i="9"/>
  <c r="AC152" i="5"/>
  <c r="AJ69" i="11"/>
  <c r="AJ69" i="10"/>
  <c r="AJ69" i="9"/>
  <c r="AK152" i="5"/>
  <c r="T70" i="11"/>
  <c r="T70" i="10"/>
  <c r="T70" i="9"/>
  <c r="U88" i="5"/>
  <c r="AB70" i="11"/>
  <c r="AB70" i="10"/>
  <c r="AB70" i="9"/>
  <c r="AC88" i="5"/>
  <c r="AJ70" i="11"/>
  <c r="AJ70" i="10"/>
  <c r="AJ70" i="9"/>
  <c r="AK88" i="5"/>
  <c r="T71" i="11"/>
  <c r="T71" i="10"/>
  <c r="T71" i="9"/>
  <c r="U24" i="5"/>
  <c r="AB71" i="11"/>
  <c r="AB71" i="10"/>
  <c r="AB71" i="9"/>
  <c r="AC24" i="5"/>
  <c r="AJ71" i="11"/>
  <c r="AJ71" i="10"/>
  <c r="AJ71" i="9"/>
  <c r="AK24" i="5"/>
  <c r="T72" i="11"/>
  <c r="T72" i="10"/>
  <c r="T72" i="9"/>
  <c r="U153" i="5"/>
  <c r="AB72" i="11"/>
  <c r="AB72" i="10"/>
  <c r="AB72" i="9"/>
  <c r="AC153" i="5"/>
  <c r="AJ72" i="11"/>
  <c r="AJ72" i="10"/>
  <c r="AJ72" i="9"/>
  <c r="AK153" i="5"/>
  <c r="T73" i="11"/>
  <c r="T73" i="10"/>
  <c r="T73" i="9"/>
  <c r="U70" i="5"/>
  <c r="AB73" i="11"/>
  <c r="AB73" i="10"/>
  <c r="AB73" i="9"/>
  <c r="AC70" i="5"/>
  <c r="AJ73" i="11"/>
  <c r="AJ73" i="10"/>
  <c r="AJ73" i="9"/>
  <c r="AK70" i="5"/>
  <c r="T74" i="11"/>
  <c r="T74" i="10"/>
  <c r="T74" i="9"/>
  <c r="U89" i="5"/>
  <c r="AB74" i="11"/>
  <c r="AB74" i="10"/>
  <c r="AB74" i="9"/>
  <c r="AC89" i="5"/>
  <c r="AJ74" i="11"/>
  <c r="AJ74" i="10"/>
  <c r="AJ74" i="9"/>
  <c r="AK89" i="5"/>
  <c r="T75" i="11"/>
  <c r="T75" i="10"/>
  <c r="T75" i="9"/>
  <c r="U111" i="5"/>
  <c r="AB75" i="11"/>
  <c r="AB75" i="10"/>
  <c r="AB75" i="9"/>
  <c r="AC111" i="5"/>
  <c r="AJ75" i="11"/>
  <c r="AJ75" i="10"/>
  <c r="AJ75" i="9"/>
  <c r="AK111" i="5"/>
  <c r="T76" i="11"/>
  <c r="T76" i="10"/>
  <c r="T76" i="9"/>
  <c r="U127" i="5"/>
  <c r="AB76" i="11"/>
  <c r="AB76" i="10"/>
  <c r="AB76" i="9"/>
  <c r="AC127" i="5"/>
  <c r="AJ76" i="11"/>
  <c r="AJ76" i="10"/>
  <c r="AJ76" i="9"/>
  <c r="AK127" i="5"/>
  <c r="T77" i="11"/>
  <c r="T77" i="10"/>
  <c r="T77" i="9"/>
  <c r="U112" i="5"/>
  <c r="AB77" i="11"/>
  <c r="AB77" i="10"/>
  <c r="AB77" i="9"/>
  <c r="AC112" i="5"/>
  <c r="AJ77" i="11"/>
  <c r="AJ77" i="10"/>
  <c r="AJ77" i="9"/>
  <c r="AK112" i="5"/>
  <c r="T78" i="11"/>
  <c r="T78" i="10"/>
  <c r="T78" i="9"/>
  <c r="U135" i="5"/>
  <c r="AB78" i="11"/>
  <c r="AB78" i="10"/>
  <c r="AB78" i="9"/>
  <c r="AC135" i="5"/>
  <c r="AJ78" i="11"/>
  <c r="AJ78" i="10"/>
  <c r="AJ78" i="9"/>
  <c r="AK135" i="5"/>
  <c r="T79" i="11"/>
  <c r="T79" i="10"/>
  <c r="T79" i="9"/>
  <c r="U154" i="5"/>
  <c r="AB79" i="11"/>
  <c r="AB79" i="10"/>
  <c r="AB79" i="9"/>
  <c r="AC154" i="5"/>
  <c r="AJ79" i="11"/>
  <c r="AJ79" i="10"/>
  <c r="AJ79" i="9"/>
  <c r="AK154" i="5"/>
  <c r="T80" i="11"/>
  <c r="T80" i="10"/>
  <c r="T80" i="9"/>
  <c r="U90" i="5"/>
  <c r="AB80" i="11"/>
  <c r="AB80" i="10"/>
  <c r="AB80" i="9"/>
  <c r="AC90" i="5"/>
  <c r="AJ80" i="11"/>
  <c r="AJ80" i="10"/>
  <c r="AJ80" i="9"/>
  <c r="AK90" i="5"/>
  <c r="T81" i="11"/>
  <c r="T81" i="10"/>
  <c r="T81" i="9"/>
  <c r="U113" i="5"/>
  <c r="AB81" i="11"/>
  <c r="AB81" i="10"/>
  <c r="AB81" i="9"/>
  <c r="AC113" i="5"/>
  <c r="AJ81" i="11"/>
  <c r="AJ81" i="10"/>
  <c r="AJ81" i="9"/>
  <c r="AK113" i="5"/>
  <c r="T82" i="11"/>
  <c r="T82" i="10"/>
  <c r="T82" i="9"/>
  <c r="U114" i="5"/>
  <c r="AB82" i="11"/>
  <c r="AB82" i="10"/>
  <c r="AB82" i="9"/>
  <c r="AC114" i="5"/>
  <c r="S87" i="11"/>
  <c r="S87" i="10"/>
  <c r="S87" i="9"/>
  <c r="T73" i="5"/>
  <c r="AA87" i="11"/>
  <c r="AA87" i="10"/>
  <c r="AA87" i="9"/>
  <c r="AB73" i="5"/>
  <c r="AI87" i="11"/>
  <c r="AI87" i="10"/>
  <c r="AI87" i="9"/>
  <c r="AJ73" i="5"/>
  <c r="T88" i="11"/>
  <c r="T88" i="10"/>
  <c r="T88" i="9"/>
  <c r="U157" i="5"/>
  <c r="AB88" i="11"/>
  <c r="AB88" i="10"/>
  <c r="AB88" i="9"/>
  <c r="AC157" i="5"/>
  <c r="AJ88" i="11"/>
  <c r="AJ88" i="10"/>
  <c r="AJ88" i="9"/>
  <c r="AK157" i="5"/>
  <c r="AO52" i="11"/>
  <c r="AO64" i="11"/>
  <c r="AO69" i="11"/>
  <c r="AO61" i="11"/>
  <c r="AO83" i="11"/>
  <c r="AO76" i="11"/>
  <c r="AO15" i="11"/>
  <c r="AO26" i="11"/>
  <c r="AO54" i="11"/>
  <c r="AO42" i="11"/>
  <c r="AO47" i="11"/>
  <c r="AO39" i="11"/>
  <c r="AO58" i="11"/>
  <c r="AO36" i="11"/>
  <c r="AO17" i="11"/>
  <c r="AO72" i="11"/>
  <c r="AO56" i="11"/>
  <c r="AO48" i="11"/>
  <c r="AO79" i="11"/>
  <c r="AO14" i="11"/>
  <c r="AO88" i="11"/>
  <c r="AO44" i="11"/>
  <c r="AO32" i="11"/>
  <c r="AO56" i="10"/>
  <c r="AO88" i="10"/>
  <c r="AO72" i="10"/>
  <c r="AO83" i="10"/>
  <c r="AO76" i="10"/>
  <c r="AO44" i="10"/>
  <c r="AO52" i="10"/>
  <c r="AO42" i="10"/>
  <c r="AO14" i="10"/>
  <c r="AO61" i="10"/>
  <c r="AO15" i="10"/>
  <c r="AO36" i="10"/>
  <c r="AO79" i="10"/>
  <c r="AO69" i="10"/>
  <c r="AO58" i="10"/>
  <c r="AO48" i="10"/>
  <c r="AO39" i="10"/>
  <c r="AO32" i="10"/>
  <c r="AO47" i="10"/>
  <c r="AO54" i="10"/>
  <c r="AO64" i="10"/>
  <c r="AO17" i="10"/>
  <c r="AO26" i="10"/>
  <c r="AO72" i="9"/>
  <c r="AO58" i="9"/>
  <c r="AO48" i="9"/>
  <c r="AO39" i="9"/>
  <c r="AO15" i="9"/>
  <c r="AO88" i="9"/>
  <c r="AO69" i="9"/>
  <c r="AO56" i="9"/>
  <c r="AO47" i="9"/>
  <c r="AO36" i="9"/>
  <c r="AO14" i="9"/>
  <c r="AO32" i="9"/>
  <c r="AO83" i="9"/>
  <c r="AO64" i="9"/>
  <c r="AO54" i="9"/>
  <c r="AO44" i="9"/>
  <c r="AO26" i="9"/>
  <c r="AO79" i="9"/>
  <c r="AO61" i="9"/>
  <c r="AO52" i="9"/>
  <c r="AO42" i="9"/>
  <c r="AO17" i="9"/>
  <c r="AO76" i="9"/>
  <c r="AP125" i="5"/>
  <c r="AP146" i="5"/>
  <c r="AP148" i="5"/>
  <c r="AP151" i="5"/>
  <c r="AP152" i="5"/>
  <c r="AP136" i="5"/>
  <c r="AP139" i="5"/>
  <c r="AP141" i="5"/>
  <c r="AP144" i="5"/>
  <c r="AP149" i="5"/>
  <c r="AP155" i="5"/>
  <c r="AP138" i="5"/>
  <c r="AP142" i="5"/>
  <c r="AP145" i="5"/>
  <c r="AP126" i="5"/>
  <c r="AP157" i="5"/>
  <c r="AP147" i="5"/>
  <c r="AP150" i="5"/>
  <c r="AP154" i="5"/>
  <c r="AP143" i="5"/>
  <c r="AP137" i="5"/>
  <c r="AP140" i="5"/>
  <c r="AP153" i="5"/>
  <c r="AP156" i="5"/>
  <c r="AP127" i="5"/>
  <c r="AM24" i="11"/>
  <c r="AM49" i="11"/>
  <c r="AM33" i="11"/>
  <c r="AM8" i="11"/>
  <c r="AM80" i="11"/>
  <c r="AM37" i="11"/>
  <c r="AM40" i="11"/>
  <c r="AM74" i="11"/>
  <c r="AM55" i="11"/>
  <c r="AM63" i="11"/>
  <c r="AM70" i="11"/>
  <c r="AM34" i="11"/>
  <c r="AM85" i="11"/>
  <c r="AM20" i="11"/>
  <c r="AM2" i="11"/>
  <c r="AM37" i="10"/>
  <c r="AM40" i="10"/>
  <c r="AM74" i="10"/>
  <c r="AM55" i="10"/>
  <c r="AM63" i="10"/>
  <c r="AM70" i="10"/>
  <c r="AM34" i="10"/>
  <c r="AM85" i="10"/>
  <c r="AM20" i="10"/>
  <c r="AM2" i="10"/>
  <c r="AM24" i="10"/>
  <c r="AM49" i="10"/>
  <c r="AM33" i="10"/>
  <c r="AM8" i="10"/>
  <c r="AM80" i="10"/>
  <c r="AM20" i="9"/>
  <c r="AM74" i="9"/>
  <c r="AM40" i="9"/>
  <c r="AM49" i="9"/>
  <c r="AM2" i="9"/>
  <c r="AM70" i="9"/>
  <c r="AM37" i="9"/>
  <c r="AM34" i="9"/>
  <c r="AM85" i="9"/>
  <c r="AM63" i="9"/>
  <c r="AM33" i="9"/>
  <c r="AM24" i="9"/>
  <c r="AM80" i="9"/>
  <c r="AM55" i="9"/>
  <c r="AM8" i="9"/>
  <c r="AN86" i="5"/>
  <c r="AN93" i="5"/>
  <c r="AN83" i="5"/>
  <c r="AN98" i="5"/>
  <c r="AN81" i="5"/>
  <c r="AN92" i="5"/>
  <c r="AN95" i="5"/>
  <c r="AN88" i="5"/>
  <c r="AN80" i="5"/>
  <c r="AN94" i="5"/>
  <c r="AN82" i="5"/>
  <c r="AN84" i="5"/>
  <c r="AN96" i="5"/>
  <c r="AN99" i="5"/>
  <c r="AN100" i="5"/>
  <c r="AN91" i="5"/>
  <c r="AN97" i="5"/>
  <c r="AN87" i="5"/>
  <c r="AN89" i="5"/>
  <c r="AN85" i="5"/>
  <c r="AN90" i="5"/>
  <c r="AP78" i="11"/>
  <c r="AP50" i="11"/>
  <c r="AP10" i="11"/>
  <c r="AP43" i="11"/>
  <c r="AP19" i="11"/>
  <c r="AP31" i="11"/>
  <c r="AP78" i="10"/>
  <c r="AP31" i="10"/>
  <c r="AP19" i="10"/>
  <c r="AP10" i="10"/>
  <c r="AP50" i="10"/>
  <c r="AP43" i="10"/>
  <c r="AP31" i="9"/>
  <c r="AP78" i="9"/>
  <c r="AP19" i="9"/>
  <c r="AP50" i="9"/>
  <c r="AP10" i="9"/>
  <c r="AP43" i="9"/>
  <c r="AQ131" i="5"/>
  <c r="AQ129" i="5"/>
  <c r="AQ134" i="5"/>
  <c r="AQ135" i="5"/>
  <c r="AQ128" i="5"/>
  <c r="AQ132" i="5"/>
  <c r="AQ133" i="5"/>
  <c r="AQ130" i="5"/>
  <c r="AM50" i="5"/>
  <c r="AL46" i="11"/>
  <c r="AL25" i="11"/>
  <c r="AL60" i="11"/>
  <c r="AL87" i="11"/>
  <c r="AL67" i="11"/>
  <c r="AL30" i="11"/>
  <c r="AL73" i="11"/>
  <c r="AL59" i="11"/>
  <c r="AL18" i="11"/>
  <c r="AL16" i="11"/>
  <c r="AL22" i="11"/>
  <c r="AL68" i="11"/>
  <c r="AL57" i="11"/>
  <c r="AL28" i="11"/>
  <c r="AL21" i="11"/>
  <c r="AL5" i="11"/>
  <c r="AL11" i="11"/>
  <c r="AL23" i="11"/>
  <c r="AL29" i="11"/>
  <c r="AL18" i="10"/>
  <c r="AL16" i="10"/>
  <c r="AL22" i="10"/>
  <c r="AL68" i="10"/>
  <c r="AL57" i="10"/>
  <c r="AL28" i="10"/>
  <c r="AL21" i="10"/>
  <c r="AL5" i="10"/>
  <c r="AL11" i="10"/>
  <c r="AL23" i="10"/>
  <c r="AL29" i="10"/>
  <c r="AL46" i="10"/>
  <c r="AL25" i="10"/>
  <c r="AL60" i="10"/>
  <c r="AL87" i="10"/>
  <c r="AL67" i="10"/>
  <c r="AL30" i="10"/>
  <c r="AL73" i="10"/>
  <c r="AL59" i="10"/>
  <c r="AL87" i="9"/>
  <c r="AL59" i="9"/>
  <c r="AL28" i="9"/>
  <c r="AL18" i="9"/>
  <c r="AL60" i="9"/>
  <c r="AL73" i="9"/>
  <c r="AL57" i="9"/>
  <c r="AL25" i="9"/>
  <c r="AL16" i="9"/>
  <c r="AL29" i="9"/>
  <c r="AL68" i="9"/>
  <c r="AL46" i="9"/>
  <c r="AL22" i="9"/>
  <c r="AL11" i="9"/>
  <c r="AL67" i="9"/>
  <c r="AL5" i="9"/>
  <c r="AL30" i="9"/>
  <c r="AL23" i="9"/>
  <c r="AL21" i="9"/>
  <c r="AH2" i="11"/>
  <c r="AH2" i="10"/>
  <c r="AH2" i="9"/>
  <c r="AI92" i="5"/>
  <c r="Z4" i="11"/>
  <c r="Z4" i="10"/>
  <c r="Z4" i="9"/>
  <c r="AA2" i="5"/>
  <c r="R5" i="11"/>
  <c r="R5" i="10"/>
  <c r="R5" i="9"/>
  <c r="S49" i="5"/>
  <c r="Z9" i="11"/>
  <c r="Z9" i="10"/>
  <c r="Z9" i="9"/>
  <c r="AA116" i="5"/>
  <c r="Z10" i="11"/>
  <c r="Z10" i="10"/>
  <c r="Z10" i="9"/>
  <c r="AA129" i="5"/>
  <c r="R11" i="11"/>
  <c r="R11" i="10"/>
  <c r="R11" i="9"/>
  <c r="S53" i="5"/>
  <c r="AH11" i="11"/>
  <c r="AH11" i="10"/>
  <c r="AH11" i="9"/>
  <c r="AI53" i="5"/>
  <c r="Z12" i="11"/>
  <c r="Z12" i="10"/>
  <c r="Z12" i="9"/>
  <c r="AA105" i="5"/>
  <c r="Z13" i="11"/>
  <c r="Z13" i="10"/>
  <c r="Z13" i="9"/>
  <c r="AA6" i="5"/>
  <c r="R14" i="11"/>
  <c r="R14" i="10"/>
  <c r="R14" i="9"/>
  <c r="S136" i="5"/>
  <c r="AH14" i="11"/>
  <c r="AH14" i="10"/>
  <c r="AH14" i="9"/>
  <c r="AI136" i="5"/>
  <c r="R15" i="11"/>
  <c r="R15" i="10"/>
  <c r="R15" i="9"/>
  <c r="S137" i="5"/>
  <c r="AH15" i="11"/>
  <c r="AH15" i="10"/>
  <c r="AH15" i="9"/>
  <c r="AI137" i="5"/>
  <c r="AH16" i="11"/>
  <c r="AH16" i="10"/>
  <c r="AH16" i="9"/>
  <c r="AI55" i="5"/>
  <c r="X18" i="11"/>
  <c r="X18" i="10"/>
  <c r="X18" i="9"/>
  <c r="Y56" i="5"/>
  <c r="AF18" i="11"/>
  <c r="AF18" i="10"/>
  <c r="AF18" i="9"/>
  <c r="AG56" i="5"/>
  <c r="X19" i="11"/>
  <c r="X19" i="10"/>
  <c r="X19" i="9"/>
  <c r="Y130" i="5"/>
  <c r="AF19" i="11"/>
  <c r="AF19" i="10"/>
  <c r="AF19" i="9"/>
  <c r="AG130" i="5"/>
  <c r="P20" i="11"/>
  <c r="P20" i="10"/>
  <c r="P20" i="9"/>
  <c r="Q93" i="5"/>
  <c r="AF20" i="11"/>
  <c r="AF20" i="10"/>
  <c r="AF20" i="9"/>
  <c r="AG93" i="5"/>
  <c r="V22" i="11"/>
  <c r="V22" i="10"/>
  <c r="V22" i="9"/>
  <c r="W58" i="5"/>
  <c r="AD23" i="11"/>
  <c r="AD23" i="10"/>
  <c r="AD23" i="9"/>
  <c r="AE75" i="5"/>
  <c r="V24" i="11"/>
  <c r="V24" i="10"/>
  <c r="V24" i="9"/>
  <c r="W94" i="5"/>
  <c r="AD25" i="11"/>
  <c r="AD25" i="10"/>
  <c r="AD25" i="9"/>
  <c r="AE59" i="5"/>
  <c r="W26" i="11"/>
  <c r="W26" i="10"/>
  <c r="W26" i="9"/>
  <c r="X139" i="5"/>
  <c r="AE26" i="11"/>
  <c r="AE26" i="10"/>
  <c r="AE26" i="9"/>
  <c r="AF139" i="5"/>
  <c r="W27" i="11"/>
  <c r="W27" i="10"/>
  <c r="W27" i="9"/>
  <c r="X106" i="5"/>
  <c r="AE27" i="11"/>
  <c r="AE27" i="10"/>
  <c r="AE27" i="9"/>
  <c r="AF106" i="5"/>
  <c r="W28" i="11"/>
  <c r="W28" i="10"/>
  <c r="W28" i="9"/>
  <c r="X60" i="5"/>
  <c r="AE28" i="11"/>
  <c r="AE28" i="10"/>
  <c r="AE28" i="9"/>
  <c r="AF60" i="5"/>
  <c r="W29" i="11"/>
  <c r="W29" i="10"/>
  <c r="W29" i="9"/>
  <c r="X76" i="5"/>
  <c r="AE29" i="11"/>
  <c r="AE29" i="10"/>
  <c r="AE29" i="9"/>
  <c r="AF76" i="5"/>
  <c r="W30" i="11"/>
  <c r="W30" i="10"/>
  <c r="W30" i="9"/>
  <c r="X62" i="5"/>
  <c r="AE30" i="11"/>
  <c r="AE30" i="10"/>
  <c r="AE30" i="9"/>
  <c r="AF62" i="5"/>
  <c r="W31" i="11"/>
  <c r="W31" i="10"/>
  <c r="W31" i="9"/>
  <c r="X131" i="5"/>
  <c r="AE31" i="11"/>
  <c r="AE31" i="10"/>
  <c r="AE31" i="9"/>
  <c r="AF131" i="5"/>
  <c r="W32" i="11"/>
  <c r="W32" i="10"/>
  <c r="W32" i="9"/>
  <c r="X125" i="5"/>
  <c r="AE32" i="11"/>
  <c r="AE32" i="10"/>
  <c r="AE32" i="9"/>
  <c r="AF125" i="5"/>
  <c r="W33" i="11"/>
  <c r="W33" i="10"/>
  <c r="W33" i="9"/>
  <c r="X81" i="5"/>
  <c r="AE33" i="11"/>
  <c r="AE33" i="10"/>
  <c r="AE33" i="9"/>
  <c r="AF81" i="5"/>
  <c r="W34" i="11"/>
  <c r="W34" i="10"/>
  <c r="W34" i="9"/>
  <c r="X95" i="5"/>
  <c r="AE34" i="11"/>
  <c r="AE34" i="10"/>
  <c r="AE34" i="9"/>
  <c r="AF95" i="5"/>
  <c r="W35" i="11"/>
  <c r="W35" i="10"/>
  <c r="W35" i="9"/>
  <c r="X119" i="5"/>
  <c r="AE35" i="11"/>
  <c r="AE35" i="10"/>
  <c r="AE35" i="9"/>
  <c r="AF119" i="5"/>
  <c r="W36" i="11"/>
  <c r="W36" i="10"/>
  <c r="W36" i="9"/>
  <c r="X140" i="5"/>
  <c r="AE36" i="11"/>
  <c r="AE36" i="10"/>
  <c r="AE36" i="9"/>
  <c r="AF140" i="5"/>
  <c r="W37" i="11"/>
  <c r="W37" i="10"/>
  <c r="W37" i="9"/>
  <c r="X83" i="5"/>
  <c r="AE37" i="11"/>
  <c r="AE37" i="10"/>
  <c r="AE37" i="9"/>
  <c r="AF83" i="5"/>
  <c r="W38" i="11"/>
  <c r="W38" i="10"/>
  <c r="W38" i="9"/>
  <c r="X107" i="5"/>
  <c r="AE38" i="11"/>
  <c r="AE38" i="10"/>
  <c r="AE38" i="9"/>
  <c r="AF107" i="5"/>
  <c r="W39" i="11"/>
  <c r="W39" i="10"/>
  <c r="W39" i="9"/>
  <c r="X141" i="5"/>
  <c r="AE39" i="11"/>
  <c r="AE39" i="10"/>
  <c r="AE39" i="9"/>
  <c r="AF141" i="5"/>
  <c r="W40" i="11"/>
  <c r="W40" i="10"/>
  <c r="W40" i="9"/>
  <c r="X84" i="5"/>
  <c r="AE40" i="11"/>
  <c r="AE40" i="10"/>
  <c r="AE40" i="9"/>
  <c r="AF84" i="5"/>
  <c r="W41" i="11"/>
  <c r="W41" i="10"/>
  <c r="W41" i="9"/>
  <c r="X121" i="5"/>
  <c r="AE41" i="11"/>
  <c r="AE41" i="10"/>
  <c r="AE41" i="9"/>
  <c r="AF121" i="5"/>
  <c r="W42" i="11"/>
  <c r="W42" i="10"/>
  <c r="W42" i="9"/>
  <c r="X142" i="5"/>
  <c r="AE42" i="11"/>
  <c r="AE42" i="10"/>
  <c r="AE42" i="9"/>
  <c r="AF142" i="5"/>
  <c r="W43" i="11"/>
  <c r="W43" i="10"/>
  <c r="W43" i="9"/>
  <c r="X132" i="5"/>
  <c r="AE43" i="11"/>
  <c r="AE43" i="10"/>
  <c r="AE43" i="9"/>
  <c r="AF132" i="5"/>
  <c r="U45" i="11"/>
  <c r="U45" i="10"/>
  <c r="U45" i="9"/>
  <c r="V19" i="5"/>
  <c r="AC45" i="11"/>
  <c r="AC45" i="10"/>
  <c r="AC45" i="9"/>
  <c r="AD19" i="5"/>
  <c r="AK45" i="11"/>
  <c r="AK45" i="10"/>
  <c r="AK45" i="9"/>
  <c r="AL19" i="5"/>
  <c r="U46" i="11"/>
  <c r="U46" i="10"/>
  <c r="U46" i="9"/>
  <c r="V64" i="5"/>
  <c r="AC46" i="11"/>
  <c r="AC46" i="10"/>
  <c r="AC46" i="9"/>
  <c r="AD64" i="5"/>
  <c r="AK46" i="11"/>
  <c r="AK46" i="10"/>
  <c r="AK46" i="9"/>
  <c r="AL64" i="5"/>
  <c r="U47" i="11"/>
  <c r="U47" i="10"/>
  <c r="U47" i="9"/>
  <c r="V144" i="5"/>
  <c r="AC47" i="11"/>
  <c r="AC47" i="10"/>
  <c r="AC47" i="9"/>
  <c r="AD144" i="5"/>
  <c r="AK47" i="11"/>
  <c r="AK47" i="10"/>
  <c r="AK47" i="9"/>
  <c r="AL144" i="5"/>
  <c r="U48" i="11"/>
  <c r="U48" i="10"/>
  <c r="U48" i="9"/>
  <c r="V145" i="5"/>
  <c r="AC48" i="11"/>
  <c r="AC48" i="10"/>
  <c r="AC48" i="9"/>
  <c r="AD145" i="5"/>
  <c r="AK48" i="11"/>
  <c r="AK48" i="10"/>
  <c r="AK48" i="9"/>
  <c r="AL145" i="5"/>
  <c r="U49" i="11"/>
  <c r="U49" i="10"/>
  <c r="U49" i="9"/>
  <c r="V96" i="5"/>
  <c r="AC49" i="11"/>
  <c r="AC49" i="10"/>
  <c r="AC49" i="9"/>
  <c r="AD96" i="5"/>
  <c r="AK49" i="11"/>
  <c r="AK49" i="10"/>
  <c r="AK49" i="9"/>
  <c r="AL96" i="5"/>
  <c r="U50" i="11"/>
  <c r="U50" i="10"/>
  <c r="U50" i="9"/>
  <c r="V133" i="5"/>
  <c r="AC50" i="11"/>
  <c r="AC50" i="10"/>
  <c r="AC50" i="9"/>
  <c r="AD133" i="5"/>
  <c r="AK50" i="11"/>
  <c r="AK50" i="10"/>
  <c r="AK50" i="9"/>
  <c r="AL133" i="5"/>
  <c r="U51" i="11"/>
  <c r="U51" i="10"/>
  <c r="U51" i="9"/>
  <c r="V40" i="5"/>
  <c r="AC51" i="11"/>
  <c r="AC51" i="10"/>
  <c r="AC51" i="9"/>
  <c r="AD40" i="5"/>
  <c r="AK51" i="11"/>
  <c r="AK51" i="10"/>
  <c r="AK51" i="9"/>
  <c r="AL40" i="5"/>
  <c r="S53" i="11"/>
  <c r="S53" i="10"/>
  <c r="S53" i="9"/>
  <c r="T22" i="5"/>
  <c r="AA53" i="11"/>
  <c r="AA53" i="10"/>
  <c r="AA53" i="9"/>
  <c r="AB22" i="5"/>
  <c r="AI53" i="11"/>
  <c r="AI53" i="10"/>
  <c r="AI53" i="9"/>
  <c r="AJ22" i="5"/>
  <c r="Q55" i="11"/>
  <c r="Q55" i="10"/>
  <c r="Q55" i="9"/>
  <c r="R86" i="5"/>
  <c r="Y55" i="11"/>
  <c r="Y55" i="10"/>
  <c r="Y55" i="9"/>
  <c r="Z86" i="5"/>
  <c r="AG55" i="11"/>
  <c r="AG55" i="10"/>
  <c r="AG55" i="9"/>
  <c r="AH86" i="5"/>
  <c r="W57" i="11"/>
  <c r="W57" i="10"/>
  <c r="W57" i="9"/>
  <c r="X65" i="5"/>
  <c r="AE57" i="11"/>
  <c r="AE57" i="10"/>
  <c r="AE57" i="9"/>
  <c r="AF65" i="5"/>
  <c r="W58" i="11"/>
  <c r="W58" i="10"/>
  <c r="W58" i="9"/>
  <c r="X149" i="5"/>
  <c r="AE58" i="11"/>
  <c r="AE58" i="10"/>
  <c r="AE58" i="9"/>
  <c r="AF149" i="5"/>
  <c r="W59" i="11"/>
  <c r="W59" i="10"/>
  <c r="W59" i="9"/>
  <c r="X66" i="5"/>
  <c r="AE59" i="11"/>
  <c r="AE59" i="10"/>
  <c r="AE59" i="9"/>
  <c r="AF66" i="5"/>
  <c r="W60" i="11"/>
  <c r="W60" i="10"/>
  <c r="W60" i="9"/>
  <c r="X79" i="5"/>
  <c r="AE60" i="11"/>
  <c r="AE60" i="10"/>
  <c r="AE60" i="9"/>
  <c r="AF79" i="5"/>
  <c r="W61" i="11"/>
  <c r="W61" i="10"/>
  <c r="W61" i="9"/>
  <c r="X150" i="5"/>
  <c r="AE61" i="11"/>
  <c r="AE61" i="10"/>
  <c r="AE61" i="9"/>
  <c r="AF150" i="5"/>
  <c r="W62" i="11"/>
  <c r="W62" i="10"/>
  <c r="W62" i="9"/>
  <c r="X108" i="5"/>
  <c r="AE62" i="11"/>
  <c r="AE62" i="10"/>
  <c r="AE62" i="9"/>
  <c r="AF108" i="5"/>
  <c r="W63" i="11"/>
  <c r="W63" i="10"/>
  <c r="W63" i="9"/>
  <c r="X87" i="5"/>
  <c r="AE63" i="11"/>
  <c r="AE63" i="10"/>
  <c r="AE63" i="9"/>
  <c r="AF87" i="5"/>
  <c r="W64" i="11"/>
  <c r="W64" i="10"/>
  <c r="W64" i="9"/>
  <c r="X151" i="5"/>
  <c r="AE64" i="11"/>
  <c r="AE64" i="10"/>
  <c r="AE64" i="9"/>
  <c r="AF151" i="5"/>
  <c r="W65" i="11"/>
  <c r="W65" i="10"/>
  <c r="W65" i="9"/>
  <c r="X122" i="5"/>
  <c r="AE65" i="11"/>
  <c r="AE65" i="10"/>
  <c r="AE65" i="9"/>
  <c r="AF122" i="5"/>
  <c r="W66" i="11"/>
  <c r="W66" i="10"/>
  <c r="W66" i="9"/>
  <c r="X109" i="5"/>
  <c r="AE66" i="11"/>
  <c r="AE66" i="10"/>
  <c r="AE66" i="9"/>
  <c r="AF109" i="5"/>
  <c r="U68" i="11"/>
  <c r="U68" i="10"/>
  <c r="U68" i="9"/>
  <c r="V69" i="5"/>
  <c r="AC68" i="11"/>
  <c r="AC68" i="10"/>
  <c r="AC68" i="9"/>
  <c r="AD69" i="5"/>
  <c r="AK68" i="11"/>
  <c r="AK68" i="10"/>
  <c r="AK68" i="9"/>
  <c r="AL69" i="5"/>
  <c r="U69" i="11"/>
  <c r="U69" i="10"/>
  <c r="U69" i="9"/>
  <c r="V152" i="5"/>
  <c r="AC69" i="11"/>
  <c r="AC69" i="10"/>
  <c r="AC69" i="9"/>
  <c r="AD152" i="5"/>
  <c r="AK69" i="11"/>
  <c r="AK69" i="10"/>
  <c r="AK69" i="9"/>
  <c r="AL152" i="5"/>
  <c r="U70" i="11"/>
  <c r="U70" i="10"/>
  <c r="U70" i="9"/>
  <c r="V88" i="5"/>
  <c r="AC70" i="11"/>
  <c r="AC70" i="10"/>
  <c r="AC70" i="9"/>
  <c r="AD88" i="5"/>
  <c r="AK70" i="11"/>
  <c r="AK70" i="10"/>
  <c r="AK70" i="9"/>
  <c r="AL88" i="5"/>
  <c r="U71" i="11"/>
  <c r="U71" i="10"/>
  <c r="U71" i="9"/>
  <c r="V24" i="5"/>
  <c r="AC71" i="11"/>
  <c r="AC71" i="10"/>
  <c r="AC71" i="9"/>
  <c r="AD24" i="5"/>
  <c r="AK71" i="11"/>
  <c r="AK71" i="10"/>
  <c r="AK71" i="9"/>
  <c r="AL24" i="5"/>
  <c r="U72" i="11"/>
  <c r="U72" i="10"/>
  <c r="U72" i="9"/>
  <c r="V153" i="5"/>
  <c r="AC72" i="11"/>
  <c r="AC72" i="10"/>
  <c r="AC72" i="9"/>
  <c r="AD153" i="5"/>
  <c r="AK72" i="11"/>
  <c r="AK72" i="10"/>
  <c r="AK72" i="9"/>
  <c r="AL153" i="5"/>
  <c r="U73" i="11"/>
  <c r="U73" i="10"/>
  <c r="U73" i="9"/>
  <c r="V70" i="5"/>
  <c r="AC73" i="11"/>
  <c r="AC73" i="10"/>
  <c r="AC73" i="9"/>
  <c r="AD70" i="5"/>
  <c r="AK73" i="11"/>
  <c r="AK73" i="10"/>
  <c r="AK73" i="9"/>
  <c r="AL70" i="5"/>
  <c r="U74" i="11"/>
  <c r="U74" i="10"/>
  <c r="U74" i="9"/>
  <c r="V89" i="5"/>
  <c r="AC74" i="11"/>
  <c r="AC74" i="10"/>
  <c r="AC74" i="9"/>
  <c r="AD89" i="5"/>
  <c r="AK74" i="11"/>
  <c r="AK74" i="10"/>
  <c r="AK74" i="9"/>
  <c r="AL89" i="5"/>
  <c r="U75" i="11"/>
  <c r="U75" i="10"/>
  <c r="U75" i="9"/>
  <c r="V111" i="5"/>
  <c r="AC75" i="11"/>
  <c r="AC75" i="10"/>
  <c r="AC75" i="9"/>
  <c r="AD111" i="5"/>
  <c r="AK75" i="11"/>
  <c r="AK75" i="10"/>
  <c r="AK75" i="9"/>
  <c r="AL111" i="5"/>
  <c r="U76" i="11"/>
  <c r="U76" i="10"/>
  <c r="U76" i="9"/>
  <c r="V127" i="5"/>
  <c r="AC76" i="11"/>
  <c r="AC76" i="10"/>
  <c r="AC76" i="9"/>
  <c r="AD127" i="5"/>
  <c r="AK76" i="11"/>
  <c r="AK76" i="10"/>
  <c r="AK76" i="9"/>
  <c r="AL127" i="5"/>
  <c r="U77" i="11"/>
  <c r="U77" i="10"/>
  <c r="U77" i="9"/>
  <c r="V112" i="5"/>
  <c r="AC77" i="11"/>
  <c r="AC77" i="10"/>
  <c r="AC77" i="9"/>
  <c r="AD112" i="5"/>
  <c r="AK77" i="11"/>
  <c r="AK77" i="10"/>
  <c r="AK77" i="9"/>
  <c r="AL112" i="5"/>
  <c r="U78" i="11"/>
  <c r="U78" i="10"/>
  <c r="U78" i="9"/>
  <c r="V135" i="5"/>
  <c r="AC78" i="11"/>
  <c r="AC78" i="10"/>
  <c r="AC78" i="9"/>
  <c r="AD135" i="5"/>
  <c r="AK78" i="11"/>
  <c r="AK78" i="10"/>
  <c r="AK78" i="9"/>
  <c r="AL135" i="5"/>
  <c r="U79" i="11"/>
  <c r="U79" i="10"/>
  <c r="U79" i="9"/>
  <c r="V154" i="5"/>
  <c r="AC79" i="11"/>
  <c r="AC79" i="10"/>
  <c r="AC79" i="9"/>
  <c r="AD154" i="5"/>
  <c r="AK79" i="11"/>
  <c r="AK79" i="10"/>
  <c r="AK79" i="9"/>
  <c r="AL154" i="5"/>
  <c r="U80" i="11"/>
  <c r="U80" i="10"/>
  <c r="U80" i="9"/>
  <c r="V90" i="5"/>
  <c r="AC80" i="11"/>
  <c r="AC80" i="10"/>
  <c r="AC80" i="9"/>
  <c r="AD90" i="5"/>
  <c r="AK80" i="11"/>
  <c r="AK80" i="10"/>
  <c r="AK80" i="9"/>
  <c r="AL90" i="5"/>
  <c r="U81" i="11"/>
  <c r="U81" i="10"/>
  <c r="U81" i="9"/>
  <c r="V113" i="5"/>
  <c r="AC81" i="11"/>
  <c r="AC81" i="10"/>
  <c r="AC81" i="9"/>
  <c r="AD113" i="5"/>
  <c r="AK81" i="11"/>
  <c r="AK81" i="10"/>
  <c r="AK81" i="9"/>
  <c r="AL113" i="5"/>
  <c r="U82" i="11"/>
  <c r="U82" i="10"/>
  <c r="U82" i="9"/>
  <c r="V114" i="5"/>
  <c r="AC82" i="11"/>
  <c r="AC82" i="10"/>
  <c r="AC82" i="9"/>
  <c r="AD114" i="5"/>
  <c r="AK82" i="11"/>
  <c r="AK82" i="10"/>
  <c r="AK82" i="9"/>
  <c r="AL114" i="5"/>
  <c r="S84" i="11"/>
  <c r="S84" i="10"/>
  <c r="S84" i="9"/>
  <c r="T124" i="5"/>
  <c r="AA84" i="11"/>
  <c r="AA84" i="10"/>
  <c r="AA84" i="9"/>
  <c r="AB124" i="5"/>
  <c r="AI84" i="11"/>
  <c r="AI84" i="10"/>
  <c r="AI84" i="9"/>
  <c r="AJ124" i="5"/>
  <c r="S85" i="11"/>
  <c r="S85" i="10"/>
  <c r="S85" i="9"/>
  <c r="T91" i="5"/>
  <c r="AA85" i="11"/>
  <c r="AA85" i="10"/>
  <c r="AA85" i="9"/>
  <c r="AB91" i="5"/>
  <c r="AI85" i="11"/>
  <c r="AI85" i="10"/>
  <c r="AI85" i="9"/>
  <c r="AJ91" i="5"/>
  <c r="S86" i="11"/>
  <c r="S86" i="10"/>
  <c r="S86" i="9"/>
  <c r="T115" i="5"/>
  <c r="AA86" i="11"/>
  <c r="AA86" i="10"/>
  <c r="AA86" i="9"/>
  <c r="AB115" i="5"/>
  <c r="AI86" i="11"/>
  <c r="AI86" i="10"/>
  <c r="AI86" i="9"/>
  <c r="AJ115" i="5"/>
  <c r="T87" i="11"/>
  <c r="T87" i="10"/>
  <c r="T87" i="9"/>
  <c r="U73" i="5"/>
  <c r="AB87" i="11"/>
  <c r="AB87" i="10"/>
  <c r="AB87" i="9"/>
  <c r="AC73" i="5"/>
  <c r="AJ87" i="11"/>
  <c r="AJ87" i="10"/>
  <c r="AJ87" i="9"/>
  <c r="AK73" i="5"/>
  <c r="AL81" i="11"/>
  <c r="AL12" i="11"/>
  <c r="AL82" i="11"/>
  <c r="AL77" i="11"/>
  <c r="AL38" i="11"/>
  <c r="AL86" i="11"/>
  <c r="AL9" i="11"/>
  <c r="AL41" i="11"/>
  <c r="AL27" i="11"/>
  <c r="AL62" i="11"/>
  <c r="AL66" i="11"/>
  <c r="AL84" i="11"/>
  <c r="AL3" i="11"/>
  <c r="AL7" i="11"/>
  <c r="AL65" i="11"/>
  <c r="AL75" i="11"/>
  <c r="AL6" i="11"/>
  <c r="AL35" i="11"/>
  <c r="AL66" i="10"/>
  <c r="AL84" i="10"/>
  <c r="AL3" i="10"/>
  <c r="AL7" i="10"/>
  <c r="AL65" i="10"/>
  <c r="AL75" i="10"/>
  <c r="AL6" i="10"/>
  <c r="AL35" i="10"/>
  <c r="AL81" i="10"/>
  <c r="AL12" i="10"/>
  <c r="AL82" i="10"/>
  <c r="AL77" i="10"/>
  <c r="AL38" i="10"/>
  <c r="AL86" i="10"/>
  <c r="AL9" i="10"/>
  <c r="AL41" i="10"/>
  <c r="AL27" i="10"/>
  <c r="AL62" i="10"/>
  <c r="AL65" i="9"/>
  <c r="AL86" i="9"/>
  <c r="AL41" i="9"/>
  <c r="AL82" i="9"/>
  <c r="AL35" i="9"/>
  <c r="AL84" i="9"/>
  <c r="AL9" i="9"/>
  <c r="AL77" i="9"/>
  <c r="AL38" i="9"/>
  <c r="AL6" i="9"/>
  <c r="AL75" i="9"/>
  <c r="AL27" i="9"/>
  <c r="AL3" i="9"/>
  <c r="AL66" i="9"/>
  <c r="AL12" i="9"/>
  <c r="AL81" i="9"/>
  <c r="AM119" i="5"/>
  <c r="AM109" i="5"/>
  <c r="AM115" i="5"/>
  <c r="AM101" i="5"/>
  <c r="AM118" i="5"/>
  <c r="AM111" i="5"/>
  <c r="AM114" i="5"/>
  <c r="AL62" i="9"/>
  <c r="AM121" i="5"/>
  <c r="AM104" i="5"/>
  <c r="AM107" i="5"/>
  <c r="AM108" i="5"/>
  <c r="AM112" i="5"/>
  <c r="AM102" i="5"/>
  <c r="AM124" i="5"/>
  <c r="AL7" i="9"/>
  <c r="AM103" i="5"/>
  <c r="AM105" i="5"/>
  <c r="AM106" i="5"/>
  <c r="AM120" i="5"/>
  <c r="AM122" i="5"/>
  <c r="AM116" i="5"/>
  <c r="AM123" i="5"/>
  <c r="AM117" i="5"/>
  <c r="AM110" i="5"/>
  <c r="AM113" i="5"/>
  <c r="R64" i="5"/>
  <c r="T157" i="5"/>
  <c r="R4" i="11"/>
  <c r="R4" i="10"/>
  <c r="R4" i="9"/>
  <c r="S2" i="5"/>
  <c r="Z8" i="11"/>
  <c r="Z8" i="10"/>
  <c r="Z8" i="9"/>
  <c r="AA80" i="5"/>
  <c r="R9" i="11"/>
  <c r="R9" i="10"/>
  <c r="R9" i="9"/>
  <c r="AH9" i="11"/>
  <c r="AH9" i="10"/>
  <c r="AH9" i="9"/>
  <c r="AI116" i="5"/>
  <c r="R10" i="11"/>
  <c r="R10" i="10"/>
  <c r="R10" i="9"/>
  <c r="S129" i="5"/>
  <c r="AH10" i="11"/>
  <c r="AH10" i="10"/>
  <c r="AH10" i="9"/>
  <c r="AI129" i="5"/>
  <c r="Z11" i="11"/>
  <c r="Z11" i="10"/>
  <c r="Z11" i="9"/>
  <c r="AA53" i="5"/>
  <c r="R12" i="11"/>
  <c r="R12" i="10"/>
  <c r="R12" i="9"/>
  <c r="AH12" i="11"/>
  <c r="AH12" i="10"/>
  <c r="AH12" i="9"/>
  <c r="AI105" i="5"/>
  <c r="R13" i="11"/>
  <c r="R13" i="10"/>
  <c r="R13" i="9"/>
  <c r="S6" i="5"/>
  <c r="AH13" i="11"/>
  <c r="AH13" i="10"/>
  <c r="AH13" i="9"/>
  <c r="AI6" i="5"/>
  <c r="Z14" i="11"/>
  <c r="Z14" i="10"/>
  <c r="Z14" i="9"/>
  <c r="AA136" i="5"/>
  <c r="Z15" i="11"/>
  <c r="Z15" i="10"/>
  <c r="Z15" i="9"/>
  <c r="AA137" i="5"/>
  <c r="R16" i="11"/>
  <c r="R16" i="10"/>
  <c r="R16" i="9"/>
  <c r="S55" i="5"/>
  <c r="Z16" i="11"/>
  <c r="Z16" i="10"/>
  <c r="Z16" i="9"/>
  <c r="AA55" i="5"/>
  <c r="P18" i="11"/>
  <c r="P18" i="10"/>
  <c r="P18" i="9"/>
  <c r="P19" i="11"/>
  <c r="P19" i="10"/>
  <c r="P19" i="9"/>
  <c r="Q130" i="5"/>
  <c r="X20" i="11"/>
  <c r="X20" i="10"/>
  <c r="X20" i="9"/>
  <c r="Y93" i="5"/>
  <c r="AD22" i="11"/>
  <c r="AD22" i="10"/>
  <c r="AD22" i="9"/>
  <c r="AE58" i="5"/>
  <c r="V23" i="11"/>
  <c r="V23" i="10"/>
  <c r="V23" i="9"/>
  <c r="W75" i="5"/>
  <c r="AD24" i="11"/>
  <c r="AD24" i="10"/>
  <c r="AD24" i="9"/>
  <c r="AE94" i="5"/>
  <c r="V25" i="11"/>
  <c r="V25" i="10"/>
  <c r="V25" i="9"/>
  <c r="W59" i="5"/>
  <c r="S2" i="11"/>
  <c r="S2" i="10"/>
  <c r="S2" i="9"/>
  <c r="T92" i="5"/>
  <c r="AA2" i="11"/>
  <c r="AA2" i="10"/>
  <c r="AA2" i="9"/>
  <c r="AB92" i="5"/>
  <c r="AI2" i="11"/>
  <c r="AI2" i="10"/>
  <c r="AI2" i="9"/>
  <c r="AJ92" i="5"/>
  <c r="S3" i="11"/>
  <c r="S3" i="10"/>
  <c r="S3" i="9"/>
  <c r="T101" i="5"/>
  <c r="AA3" i="11"/>
  <c r="AA3" i="10"/>
  <c r="AA3" i="9"/>
  <c r="AB101" i="5"/>
  <c r="AI3" i="11"/>
  <c r="AI3" i="10"/>
  <c r="AI3" i="9"/>
  <c r="AJ101" i="5"/>
  <c r="S4" i="11"/>
  <c r="S4" i="10"/>
  <c r="S4" i="9"/>
  <c r="T2" i="5"/>
  <c r="AA4" i="11"/>
  <c r="AA4" i="10"/>
  <c r="AA4" i="9"/>
  <c r="AB2" i="5"/>
  <c r="AI4" i="11"/>
  <c r="AI4" i="10"/>
  <c r="AI4" i="9"/>
  <c r="AJ2" i="5"/>
  <c r="S5" i="11"/>
  <c r="S5" i="10"/>
  <c r="S5" i="9"/>
  <c r="T49" i="5"/>
  <c r="AA5" i="11"/>
  <c r="AA5" i="10"/>
  <c r="AA5" i="9"/>
  <c r="AB49" i="5"/>
  <c r="AI5" i="11"/>
  <c r="AI5" i="10"/>
  <c r="AI5" i="9"/>
  <c r="AJ49" i="5"/>
  <c r="S6" i="11"/>
  <c r="S6" i="10"/>
  <c r="S6" i="9"/>
  <c r="T102" i="5"/>
  <c r="AA6" i="11"/>
  <c r="AA6" i="10"/>
  <c r="AA6" i="9"/>
  <c r="AB102" i="5"/>
  <c r="AI6" i="11"/>
  <c r="AI6" i="10"/>
  <c r="AI6" i="9"/>
  <c r="AJ102" i="5"/>
  <c r="S7" i="11"/>
  <c r="S7" i="10"/>
  <c r="S7" i="9"/>
  <c r="T103" i="5"/>
  <c r="AA7" i="11"/>
  <c r="AA7" i="10"/>
  <c r="AA7" i="9"/>
  <c r="AB103" i="5"/>
  <c r="AI7" i="11"/>
  <c r="AI7" i="10"/>
  <c r="AI7" i="9"/>
  <c r="AJ103" i="5"/>
  <c r="S8" i="11"/>
  <c r="S8" i="10"/>
  <c r="S8" i="9"/>
  <c r="T80" i="5"/>
  <c r="AA8" i="11"/>
  <c r="AA8" i="10"/>
  <c r="AA8" i="9"/>
  <c r="AB80" i="5"/>
  <c r="AI8" i="11"/>
  <c r="AI8" i="10"/>
  <c r="AI8" i="9"/>
  <c r="AJ80" i="5"/>
  <c r="S9" i="11"/>
  <c r="S9" i="10"/>
  <c r="S9" i="9"/>
  <c r="T116" i="5"/>
  <c r="AA9" i="11"/>
  <c r="AA9" i="10"/>
  <c r="AA9" i="9"/>
  <c r="AB116" i="5"/>
  <c r="AI9" i="11"/>
  <c r="AI9" i="10"/>
  <c r="AI9" i="9"/>
  <c r="AJ116" i="5"/>
  <c r="S10" i="11"/>
  <c r="S10" i="10"/>
  <c r="S10" i="9"/>
  <c r="T129" i="5"/>
  <c r="AA10" i="11"/>
  <c r="AA10" i="10"/>
  <c r="AA10" i="9"/>
  <c r="AB129" i="5"/>
  <c r="AI10" i="11"/>
  <c r="AI10" i="10"/>
  <c r="AI10" i="9"/>
  <c r="AJ129" i="5"/>
  <c r="S11" i="11"/>
  <c r="S11" i="10"/>
  <c r="S11" i="9"/>
  <c r="T53" i="5"/>
  <c r="AA11" i="11"/>
  <c r="AA11" i="10"/>
  <c r="AA11" i="9"/>
  <c r="AB53" i="5"/>
  <c r="AI11" i="11"/>
  <c r="AI11" i="10"/>
  <c r="AI11" i="9"/>
  <c r="AJ53" i="5"/>
  <c r="S12" i="11"/>
  <c r="S12" i="10"/>
  <c r="S12" i="9"/>
  <c r="T105" i="5"/>
  <c r="AA12" i="11"/>
  <c r="AA12" i="10"/>
  <c r="AA12" i="9"/>
  <c r="AB105" i="5"/>
  <c r="AI12" i="11"/>
  <c r="AI12" i="10"/>
  <c r="AI12" i="9"/>
  <c r="AJ105" i="5"/>
  <c r="S13" i="11"/>
  <c r="S13" i="10"/>
  <c r="S13" i="9"/>
  <c r="T6" i="5"/>
  <c r="AA13" i="11"/>
  <c r="AA13" i="10"/>
  <c r="AA13" i="9"/>
  <c r="AB6" i="5"/>
  <c r="AI13" i="11"/>
  <c r="AI13" i="10"/>
  <c r="AI13" i="9"/>
  <c r="AJ6" i="5"/>
  <c r="S14" i="11"/>
  <c r="S14" i="10"/>
  <c r="S14" i="9"/>
  <c r="T136" i="5"/>
  <c r="AA14" i="11"/>
  <c r="AA14" i="10"/>
  <c r="AA14" i="9"/>
  <c r="AB136" i="5"/>
  <c r="AI14" i="11"/>
  <c r="AI14" i="10"/>
  <c r="AI14" i="9"/>
  <c r="AJ136" i="5"/>
  <c r="S15" i="11"/>
  <c r="S15" i="10"/>
  <c r="S15" i="9"/>
  <c r="T137" i="5"/>
  <c r="AA15" i="11"/>
  <c r="AA15" i="10"/>
  <c r="AA15" i="9"/>
  <c r="AB137" i="5"/>
  <c r="AI15" i="11"/>
  <c r="AI15" i="10"/>
  <c r="AI15" i="9"/>
  <c r="AJ137" i="5"/>
  <c r="S16" i="11"/>
  <c r="S16" i="10"/>
  <c r="S16" i="9"/>
  <c r="T55" i="5"/>
  <c r="AA16" i="11"/>
  <c r="AA16" i="10"/>
  <c r="AA16" i="9"/>
  <c r="AB55" i="5"/>
  <c r="AI16" i="11"/>
  <c r="AI16" i="10"/>
  <c r="AI16" i="9"/>
  <c r="AJ55" i="5"/>
  <c r="Q18" i="11"/>
  <c r="Q18" i="10"/>
  <c r="Q18" i="9"/>
  <c r="R56" i="5"/>
  <c r="Y18" i="11"/>
  <c r="Y18" i="10"/>
  <c r="Y18" i="9"/>
  <c r="Z56" i="5"/>
  <c r="AG18" i="11"/>
  <c r="AG18" i="10"/>
  <c r="AG18" i="9"/>
  <c r="AH56" i="5"/>
  <c r="Q19" i="11"/>
  <c r="Q19" i="10"/>
  <c r="Q19" i="9"/>
  <c r="R130" i="5"/>
  <c r="Y19" i="11"/>
  <c r="Y19" i="10"/>
  <c r="Y19" i="9"/>
  <c r="Z130" i="5"/>
  <c r="AG19" i="11"/>
  <c r="AG19" i="10"/>
  <c r="AG19" i="9"/>
  <c r="AH130" i="5"/>
  <c r="Q20" i="11"/>
  <c r="Q20" i="10"/>
  <c r="Q20" i="9"/>
  <c r="R93" i="5"/>
  <c r="Y20" i="11"/>
  <c r="Y20" i="10"/>
  <c r="Y20" i="9"/>
  <c r="Z93" i="5"/>
  <c r="AG20" i="11"/>
  <c r="AG20" i="10"/>
  <c r="AG20" i="9"/>
  <c r="AH93" i="5"/>
  <c r="W22" i="11"/>
  <c r="W22" i="10"/>
  <c r="W22" i="9"/>
  <c r="X58" i="5"/>
  <c r="AE22" i="11"/>
  <c r="AE22" i="10"/>
  <c r="AE22" i="9"/>
  <c r="AF58" i="5"/>
  <c r="W23" i="11"/>
  <c r="W23" i="10"/>
  <c r="W23" i="9"/>
  <c r="X75" i="5"/>
  <c r="AE23" i="11"/>
  <c r="AE23" i="10"/>
  <c r="AE23" i="9"/>
  <c r="AF75" i="5"/>
  <c r="W24" i="11"/>
  <c r="W24" i="10"/>
  <c r="W24" i="9"/>
  <c r="X94" i="5"/>
  <c r="AE24" i="11"/>
  <c r="AE24" i="10"/>
  <c r="AE24" i="9"/>
  <c r="AF94" i="5"/>
  <c r="W25" i="11"/>
  <c r="W25" i="10"/>
  <c r="W25" i="9"/>
  <c r="X59" i="5"/>
  <c r="AE25" i="11"/>
  <c r="AE25" i="10"/>
  <c r="AE25" i="9"/>
  <c r="AF59" i="5"/>
  <c r="P26" i="11"/>
  <c r="P26" i="10"/>
  <c r="P26" i="9"/>
  <c r="Q139" i="5"/>
  <c r="X26" i="11"/>
  <c r="X26" i="10"/>
  <c r="X26" i="9"/>
  <c r="Y139" i="5"/>
  <c r="AF26" i="11"/>
  <c r="AF26" i="10"/>
  <c r="AF26" i="9"/>
  <c r="AG139" i="5"/>
  <c r="P27" i="11"/>
  <c r="P27" i="10"/>
  <c r="P27" i="9"/>
  <c r="Q106" i="5"/>
  <c r="X27" i="11"/>
  <c r="X27" i="10"/>
  <c r="X27" i="9"/>
  <c r="Y106" i="5"/>
  <c r="AF27" i="11"/>
  <c r="AF27" i="10"/>
  <c r="AF27" i="9"/>
  <c r="AG106" i="5"/>
  <c r="P28" i="11"/>
  <c r="P28" i="10"/>
  <c r="P28" i="9"/>
  <c r="Q60" i="5"/>
  <c r="X28" i="11"/>
  <c r="X28" i="10"/>
  <c r="X28" i="9"/>
  <c r="Y60" i="5"/>
  <c r="AF28" i="11"/>
  <c r="AF28" i="10"/>
  <c r="AF28" i="9"/>
  <c r="AG60" i="5"/>
  <c r="P29" i="11"/>
  <c r="P29" i="10"/>
  <c r="P29" i="9"/>
  <c r="Q76" i="5"/>
  <c r="X29" i="11"/>
  <c r="X29" i="10"/>
  <c r="X29" i="9"/>
  <c r="Y76" i="5"/>
  <c r="AF29" i="11"/>
  <c r="AF29" i="10"/>
  <c r="AF29" i="9"/>
  <c r="AG76" i="5"/>
  <c r="P30" i="11"/>
  <c r="P30" i="10"/>
  <c r="P30" i="9"/>
  <c r="Q62" i="5"/>
  <c r="X30" i="11"/>
  <c r="X30" i="10"/>
  <c r="X30" i="9"/>
  <c r="Y62" i="5"/>
  <c r="AF30" i="11"/>
  <c r="AF30" i="10"/>
  <c r="AF30" i="9"/>
  <c r="AG62" i="5"/>
  <c r="P31" i="11"/>
  <c r="P31" i="10"/>
  <c r="P31" i="9"/>
  <c r="Q131" i="5"/>
  <c r="X31" i="11"/>
  <c r="X31" i="10"/>
  <c r="X31" i="9"/>
  <c r="Y131" i="5"/>
  <c r="AF31" i="11"/>
  <c r="AF31" i="10"/>
  <c r="AF31" i="9"/>
  <c r="AG131" i="5"/>
  <c r="P32" i="11"/>
  <c r="P32" i="10"/>
  <c r="P32" i="9"/>
  <c r="Q125" i="5"/>
  <c r="X32" i="11"/>
  <c r="X32" i="10"/>
  <c r="X32" i="9"/>
  <c r="Y125" i="5"/>
  <c r="AF32" i="11"/>
  <c r="AF32" i="10"/>
  <c r="AF32" i="9"/>
  <c r="AG125" i="5"/>
  <c r="P33" i="11"/>
  <c r="P33" i="10"/>
  <c r="P33" i="9"/>
  <c r="Q81" i="5"/>
  <c r="X33" i="11"/>
  <c r="X33" i="10"/>
  <c r="X33" i="9"/>
  <c r="Y81" i="5"/>
  <c r="AF33" i="11"/>
  <c r="AF33" i="10"/>
  <c r="AF33" i="9"/>
  <c r="AG81" i="5"/>
  <c r="P34" i="11"/>
  <c r="P34" i="10"/>
  <c r="P34" i="9"/>
  <c r="Q95" i="5"/>
  <c r="X34" i="11"/>
  <c r="X34" i="10"/>
  <c r="X34" i="9"/>
  <c r="Y95" i="5"/>
  <c r="AF34" i="11"/>
  <c r="AF34" i="10"/>
  <c r="AF34" i="9"/>
  <c r="AG95" i="5"/>
  <c r="P35" i="11"/>
  <c r="P35" i="10"/>
  <c r="P35" i="9"/>
  <c r="Q119" i="5"/>
  <c r="X35" i="11"/>
  <c r="X35" i="10"/>
  <c r="X35" i="9"/>
  <c r="Y119" i="5"/>
  <c r="AF35" i="11"/>
  <c r="AF35" i="10"/>
  <c r="AF35" i="9"/>
  <c r="AG119" i="5"/>
  <c r="P36" i="11"/>
  <c r="P36" i="10"/>
  <c r="P36" i="9"/>
  <c r="Q140" i="5"/>
  <c r="X36" i="11"/>
  <c r="X36" i="10"/>
  <c r="X36" i="9"/>
  <c r="Y140" i="5"/>
  <c r="AF36" i="11"/>
  <c r="AF36" i="10"/>
  <c r="AF36" i="9"/>
  <c r="AG140" i="5"/>
  <c r="P37" i="11"/>
  <c r="P37" i="10"/>
  <c r="P37" i="9"/>
  <c r="Q83" i="5"/>
  <c r="X37" i="11"/>
  <c r="X37" i="10"/>
  <c r="X37" i="9"/>
  <c r="Y83" i="5"/>
  <c r="AF37" i="11"/>
  <c r="AF37" i="10"/>
  <c r="AF37" i="9"/>
  <c r="AG83" i="5"/>
  <c r="P38" i="11"/>
  <c r="P38" i="10"/>
  <c r="P38" i="9"/>
  <c r="Q107" i="5"/>
  <c r="X38" i="11"/>
  <c r="X38" i="10"/>
  <c r="X38" i="9"/>
  <c r="Y107" i="5"/>
  <c r="AF38" i="11"/>
  <c r="AF38" i="10"/>
  <c r="AF38" i="9"/>
  <c r="AG107" i="5"/>
  <c r="P39" i="11"/>
  <c r="P39" i="10"/>
  <c r="P39" i="9"/>
  <c r="Q141" i="5"/>
  <c r="X39" i="11"/>
  <c r="X39" i="10"/>
  <c r="X39" i="9"/>
  <c r="Y141" i="5"/>
  <c r="AF39" i="11"/>
  <c r="AF39" i="10"/>
  <c r="AF39" i="9"/>
  <c r="AG141" i="5"/>
  <c r="P40" i="11"/>
  <c r="P40" i="10"/>
  <c r="P40" i="9"/>
  <c r="X40" i="11"/>
  <c r="X40" i="10"/>
  <c r="X40" i="9"/>
  <c r="Y84" i="5"/>
  <c r="AF40" i="11"/>
  <c r="AF40" i="10"/>
  <c r="AF40" i="9"/>
  <c r="AG84" i="5"/>
  <c r="P41" i="11"/>
  <c r="P41" i="10"/>
  <c r="P41" i="9"/>
  <c r="Q121" i="5"/>
  <c r="X41" i="11"/>
  <c r="X41" i="10"/>
  <c r="X41" i="9"/>
  <c r="Y121" i="5"/>
  <c r="AF41" i="11"/>
  <c r="AF41" i="10"/>
  <c r="AF41" i="9"/>
  <c r="AG121" i="5"/>
  <c r="P42" i="11"/>
  <c r="P42" i="10"/>
  <c r="P42" i="9"/>
  <c r="Q142" i="5"/>
  <c r="X42" i="11"/>
  <c r="X42" i="10"/>
  <c r="X42" i="9"/>
  <c r="Y142" i="5"/>
  <c r="AF42" i="11"/>
  <c r="AF42" i="10"/>
  <c r="AF42" i="9"/>
  <c r="AG142" i="5"/>
  <c r="P43" i="11"/>
  <c r="P43" i="10"/>
  <c r="P43" i="9"/>
  <c r="X43" i="11"/>
  <c r="X43" i="10"/>
  <c r="X43" i="9"/>
  <c r="Y132" i="5"/>
  <c r="AF43" i="11"/>
  <c r="AF43" i="10"/>
  <c r="AF43" i="9"/>
  <c r="AG132" i="5"/>
  <c r="V45" i="11"/>
  <c r="V45" i="10"/>
  <c r="V45" i="9"/>
  <c r="W19" i="5"/>
  <c r="AD45" i="11"/>
  <c r="AD45" i="10"/>
  <c r="AD45" i="9"/>
  <c r="AE19" i="5"/>
  <c r="V46" i="11"/>
  <c r="V46" i="10"/>
  <c r="V46" i="9"/>
  <c r="W64" i="5"/>
  <c r="AD46" i="11"/>
  <c r="AD46" i="10"/>
  <c r="AD46" i="9"/>
  <c r="AE64" i="5"/>
  <c r="V47" i="11"/>
  <c r="V47" i="10"/>
  <c r="V47" i="9"/>
  <c r="W144" i="5"/>
  <c r="AD47" i="11"/>
  <c r="AD47" i="10"/>
  <c r="AD47" i="9"/>
  <c r="AE144" i="5"/>
  <c r="V48" i="11"/>
  <c r="V48" i="10"/>
  <c r="V48" i="9"/>
  <c r="W145" i="5"/>
  <c r="AD48" i="11"/>
  <c r="AD48" i="10"/>
  <c r="AD48" i="9"/>
  <c r="AE145" i="5"/>
  <c r="V49" i="11"/>
  <c r="V49" i="10"/>
  <c r="V49" i="9"/>
  <c r="W96" i="5"/>
  <c r="AD49" i="11"/>
  <c r="AD49" i="10"/>
  <c r="AD49" i="9"/>
  <c r="AE96" i="5"/>
  <c r="V50" i="11"/>
  <c r="V50" i="10"/>
  <c r="V50" i="9"/>
  <c r="W133" i="5"/>
  <c r="AD50" i="11"/>
  <c r="AD50" i="10"/>
  <c r="AD50" i="9"/>
  <c r="AE133" i="5"/>
  <c r="V51" i="11"/>
  <c r="V51" i="10"/>
  <c r="V51" i="9"/>
  <c r="W40" i="5"/>
  <c r="AD51" i="11"/>
  <c r="AD51" i="10"/>
  <c r="AD51" i="9"/>
  <c r="AE40" i="5"/>
  <c r="T53" i="11"/>
  <c r="T53" i="10"/>
  <c r="T53" i="9"/>
  <c r="U22" i="5"/>
  <c r="AB53" i="11"/>
  <c r="AB53" i="10"/>
  <c r="AB53" i="9"/>
  <c r="AC22" i="5"/>
  <c r="AJ53" i="11"/>
  <c r="AJ53" i="10"/>
  <c r="AJ53" i="9"/>
  <c r="AK22" i="5"/>
  <c r="R55" i="11"/>
  <c r="R55" i="10"/>
  <c r="R55" i="9"/>
  <c r="Z55" i="11"/>
  <c r="Z55" i="10"/>
  <c r="Z55" i="9"/>
  <c r="AA86" i="5"/>
  <c r="AH55" i="11"/>
  <c r="AH55" i="10"/>
  <c r="AH55" i="9"/>
  <c r="AI86" i="5"/>
  <c r="P57" i="11"/>
  <c r="P57" i="10"/>
  <c r="P57" i="9"/>
  <c r="Q65" i="5"/>
  <c r="X57" i="11"/>
  <c r="X57" i="10"/>
  <c r="X57" i="9"/>
  <c r="Y65" i="5"/>
  <c r="AF57" i="11"/>
  <c r="AF57" i="10"/>
  <c r="AF57" i="9"/>
  <c r="AG65" i="5"/>
  <c r="P58" i="11"/>
  <c r="P58" i="10"/>
  <c r="P58" i="9"/>
  <c r="Q149" i="5"/>
  <c r="X58" i="11"/>
  <c r="X58" i="10"/>
  <c r="X58" i="9"/>
  <c r="Y149" i="5"/>
  <c r="AF58" i="11"/>
  <c r="AF58" i="10"/>
  <c r="AF58" i="9"/>
  <c r="AG149" i="5"/>
  <c r="P59" i="11"/>
  <c r="P59" i="10"/>
  <c r="P59" i="9"/>
  <c r="Q66" i="5"/>
  <c r="X59" i="11"/>
  <c r="X59" i="10"/>
  <c r="X59" i="9"/>
  <c r="Y66" i="5"/>
  <c r="AF59" i="11"/>
  <c r="AF59" i="10"/>
  <c r="AF59" i="9"/>
  <c r="AG66" i="5"/>
  <c r="P60" i="11"/>
  <c r="P60" i="10"/>
  <c r="P60" i="9"/>
  <c r="X60" i="11"/>
  <c r="X60" i="10"/>
  <c r="X60" i="9"/>
  <c r="Y79" i="5"/>
  <c r="AF60" i="11"/>
  <c r="AF60" i="10"/>
  <c r="AF60" i="9"/>
  <c r="AG79" i="5"/>
  <c r="P61" i="11"/>
  <c r="P61" i="10"/>
  <c r="P61" i="9"/>
  <c r="Q150" i="5"/>
  <c r="X61" i="11"/>
  <c r="X61" i="10"/>
  <c r="X61" i="9"/>
  <c r="Y150" i="5"/>
  <c r="AF61" i="11"/>
  <c r="AF61" i="10"/>
  <c r="AF61" i="9"/>
  <c r="AG150" i="5"/>
  <c r="P62" i="11"/>
  <c r="P62" i="10"/>
  <c r="P62" i="9"/>
  <c r="Q108" i="5"/>
  <c r="X62" i="11"/>
  <c r="X62" i="10"/>
  <c r="X62" i="9"/>
  <c r="Y108" i="5"/>
  <c r="AF62" i="11"/>
  <c r="AF62" i="10"/>
  <c r="AF62" i="9"/>
  <c r="AG108" i="5"/>
  <c r="P63" i="11"/>
  <c r="P63" i="10"/>
  <c r="P63" i="9"/>
  <c r="Q87" i="5"/>
  <c r="X63" i="11"/>
  <c r="X63" i="10"/>
  <c r="X63" i="9"/>
  <c r="Y87" i="5"/>
  <c r="AF63" i="11"/>
  <c r="AF63" i="10"/>
  <c r="AF63" i="9"/>
  <c r="AG87" i="5"/>
  <c r="P64" i="11"/>
  <c r="P64" i="10"/>
  <c r="P64" i="9"/>
  <c r="Q151" i="5"/>
  <c r="X64" i="11"/>
  <c r="X64" i="10"/>
  <c r="X64" i="9"/>
  <c r="Y151" i="5"/>
  <c r="AF64" i="11"/>
  <c r="AF64" i="10"/>
  <c r="AF64" i="9"/>
  <c r="AG151" i="5"/>
  <c r="P65" i="11"/>
  <c r="P65" i="10"/>
  <c r="P65" i="9"/>
  <c r="Q122" i="5"/>
  <c r="X65" i="11"/>
  <c r="X65" i="10"/>
  <c r="X65" i="9"/>
  <c r="Y122" i="5"/>
  <c r="AF65" i="11"/>
  <c r="AF65" i="10"/>
  <c r="AF65" i="9"/>
  <c r="AG122" i="5"/>
  <c r="P66" i="11"/>
  <c r="P66" i="10"/>
  <c r="P66" i="9"/>
  <c r="Q109" i="5"/>
  <c r="X66" i="11"/>
  <c r="X66" i="10"/>
  <c r="X66" i="9"/>
  <c r="Y109" i="5"/>
  <c r="AF66" i="11"/>
  <c r="AF66" i="10"/>
  <c r="AF66" i="9"/>
  <c r="AG109" i="5"/>
  <c r="V68" i="11"/>
  <c r="V68" i="10"/>
  <c r="V68" i="9"/>
  <c r="W69" i="5"/>
  <c r="AD68" i="11"/>
  <c r="AD68" i="10"/>
  <c r="AD68" i="9"/>
  <c r="AE69" i="5"/>
  <c r="V69" i="11"/>
  <c r="V69" i="10"/>
  <c r="V69" i="9"/>
  <c r="W152" i="5"/>
  <c r="AD69" i="11"/>
  <c r="AD69" i="10"/>
  <c r="AD69" i="9"/>
  <c r="AE152" i="5"/>
  <c r="V70" i="11"/>
  <c r="V70" i="10"/>
  <c r="V70" i="9"/>
  <c r="W88" i="5"/>
  <c r="AD70" i="11"/>
  <c r="AD70" i="10"/>
  <c r="AD70" i="9"/>
  <c r="AE88" i="5"/>
  <c r="V71" i="11"/>
  <c r="V71" i="10"/>
  <c r="V71" i="9"/>
  <c r="W24" i="5"/>
  <c r="AD71" i="11"/>
  <c r="AD71" i="10"/>
  <c r="AD71" i="9"/>
  <c r="AE24" i="5"/>
  <c r="V72" i="11"/>
  <c r="V72" i="10"/>
  <c r="V72" i="9"/>
  <c r="W153" i="5"/>
  <c r="AD72" i="11"/>
  <c r="AD72" i="10"/>
  <c r="AD72" i="9"/>
  <c r="AE153" i="5"/>
  <c r="V73" i="11"/>
  <c r="V73" i="10"/>
  <c r="V73" i="9"/>
  <c r="W70" i="5"/>
  <c r="AD73" i="11"/>
  <c r="AD73" i="10"/>
  <c r="AD73" i="9"/>
  <c r="AE70" i="5"/>
  <c r="V74" i="11"/>
  <c r="V74" i="10"/>
  <c r="V74" i="9"/>
  <c r="W89" i="5"/>
  <c r="AD74" i="11"/>
  <c r="AD74" i="10"/>
  <c r="AD74" i="9"/>
  <c r="AE89" i="5"/>
  <c r="V75" i="11"/>
  <c r="V75" i="10"/>
  <c r="V75" i="9"/>
  <c r="W111" i="5"/>
  <c r="AD75" i="11"/>
  <c r="AD75" i="10"/>
  <c r="AD75" i="9"/>
  <c r="AE111" i="5"/>
  <c r="V76" i="11"/>
  <c r="V76" i="10"/>
  <c r="V76" i="9"/>
  <c r="W127" i="5"/>
  <c r="AD76" i="11"/>
  <c r="AD76" i="10"/>
  <c r="AD76" i="9"/>
  <c r="AE127" i="5"/>
  <c r="V77" i="11"/>
  <c r="V77" i="10"/>
  <c r="V77" i="9"/>
  <c r="W112" i="5"/>
  <c r="AD77" i="11"/>
  <c r="AD77" i="10"/>
  <c r="AD77" i="9"/>
  <c r="AE112" i="5"/>
  <c r="V78" i="11"/>
  <c r="V78" i="10"/>
  <c r="V78" i="9"/>
  <c r="W135" i="5"/>
  <c r="AD78" i="11"/>
  <c r="AD78" i="10"/>
  <c r="AD78" i="9"/>
  <c r="AE135" i="5"/>
  <c r="V79" i="11"/>
  <c r="V79" i="10"/>
  <c r="V79" i="9"/>
  <c r="W154" i="5"/>
  <c r="AD79" i="11"/>
  <c r="AD79" i="10"/>
  <c r="AD79" i="9"/>
  <c r="AE154" i="5"/>
  <c r="V80" i="11"/>
  <c r="V80" i="10"/>
  <c r="V80" i="9"/>
  <c r="W90" i="5"/>
  <c r="AD80" i="11"/>
  <c r="AD80" i="10"/>
  <c r="AD80" i="9"/>
  <c r="AE90" i="5"/>
  <c r="V81" i="11"/>
  <c r="V81" i="10"/>
  <c r="V81" i="9"/>
  <c r="W113" i="5"/>
  <c r="AD81" i="11"/>
  <c r="AD81" i="10"/>
  <c r="AD81" i="9"/>
  <c r="AE113" i="5"/>
  <c r="V82" i="11"/>
  <c r="V82" i="10"/>
  <c r="V82" i="9"/>
  <c r="W114" i="5"/>
  <c r="AD82" i="11"/>
  <c r="AD82" i="10"/>
  <c r="AD82" i="9"/>
  <c r="AE114" i="5"/>
  <c r="T84" i="11"/>
  <c r="T84" i="10"/>
  <c r="T84" i="9"/>
  <c r="U124" i="5"/>
  <c r="AB84" i="11"/>
  <c r="AB84" i="10"/>
  <c r="AB84" i="9"/>
  <c r="AC124" i="5"/>
  <c r="AJ84" i="11"/>
  <c r="AJ84" i="10"/>
  <c r="AJ84" i="9"/>
  <c r="AK124" i="5"/>
  <c r="T85" i="11"/>
  <c r="T85" i="10"/>
  <c r="T85" i="9"/>
  <c r="U91" i="5"/>
  <c r="AB85" i="11"/>
  <c r="AB85" i="10"/>
  <c r="AB85" i="9"/>
  <c r="AC91" i="5"/>
  <c r="AJ85" i="11"/>
  <c r="AJ85" i="10"/>
  <c r="AJ85" i="9"/>
  <c r="AK91" i="5"/>
  <c r="T86" i="11"/>
  <c r="T86" i="10"/>
  <c r="T86" i="9"/>
  <c r="U115" i="5"/>
  <c r="AB86" i="11"/>
  <c r="AB86" i="10"/>
  <c r="AB86" i="9"/>
  <c r="AC115" i="5"/>
  <c r="AJ86" i="11"/>
  <c r="AJ86" i="10"/>
  <c r="AJ86" i="9"/>
  <c r="AK115" i="5"/>
  <c r="V88" i="11"/>
  <c r="V88" i="10"/>
  <c r="V88" i="9"/>
  <c r="W157" i="5"/>
  <c r="AD88" i="11"/>
  <c r="AD88" i="10"/>
  <c r="AD88" i="9"/>
  <c r="AE157" i="5"/>
  <c r="Q22" i="5"/>
  <c r="Q2" i="5"/>
  <c r="T66" i="5"/>
  <c r="Q39" i="11"/>
  <c r="Q39" i="10"/>
  <c r="Q39" i="9"/>
  <c r="R141" i="5"/>
  <c r="Y39" i="11"/>
  <c r="Y39" i="10"/>
  <c r="Y39" i="9"/>
  <c r="Z141" i="5"/>
  <c r="AG39" i="11"/>
  <c r="AG39" i="10"/>
  <c r="AG39" i="9"/>
  <c r="AH141" i="5"/>
  <c r="Q40" i="11"/>
  <c r="Q40" i="10"/>
  <c r="Q40" i="9"/>
  <c r="R84" i="5"/>
  <c r="Y40" i="11"/>
  <c r="Y40" i="10"/>
  <c r="Y40" i="9"/>
  <c r="Z84" i="5"/>
  <c r="AG40" i="11"/>
  <c r="AG40" i="10"/>
  <c r="AG40" i="9"/>
  <c r="AH84" i="5"/>
  <c r="Q41" i="11"/>
  <c r="Q41" i="10"/>
  <c r="Q41" i="9"/>
  <c r="R121" i="5"/>
  <c r="Y41" i="11"/>
  <c r="Y41" i="10"/>
  <c r="Y41" i="9"/>
  <c r="Z121" i="5"/>
  <c r="AG41" i="11"/>
  <c r="AG41" i="10"/>
  <c r="AG41" i="9"/>
  <c r="AH121" i="5"/>
  <c r="Q42" i="11"/>
  <c r="Q42" i="10"/>
  <c r="Q42" i="9"/>
  <c r="R142" i="5"/>
  <c r="Y42" i="11"/>
  <c r="Y42" i="10"/>
  <c r="Y42" i="9"/>
  <c r="Z142" i="5"/>
  <c r="AG42" i="11"/>
  <c r="AG42" i="10"/>
  <c r="AG42" i="9"/>
  <c r="AH142" i="5"/>
  <c r="Q43" i="11"/>
  <c r="Q43" i="10"/>
  <c r="Q43" i="9"/>
  <c r="R132" i="5"/>
  <c r="Y43" i="11"/>
  <c r="Y43" i="10"/>
  <c r="Y43" i="9"/>
  <c r="Z132" i="5"/>
  <c r="AG43" i="11"/>
  <c r="AG43" i="10"/>
  <c r="AG43" i="9"/>
  <c r="AH132" i="5"/>
  <c r="W45" i="11"/>
  <c r="W45" i="10"/>
  <c r="W45" i="9"/>
  <c r="X19" i="5"/>
  <c r="AE45" i="11"/>
  <c r="AE45" i="10"/>
  <c r="AE45" i="9"/>
  <c r="AF19" i="5"/>
  <c r="W46" i="11"/>
  <c r="W46" i="10"/>
  <c r="W46" i="9"/>
  <c r="X64" i="5"/>
  <c r="AE46" i="11"/>
  <c r="AE46" i="10"/>
  <c r="AE46" i="9"/>
  <c r="AF64" i="5"/>
  <c r="W47" i="11"/>
  <c r="W47" i="10"/>
  <c r="W47" i="9"/>
  <c r="X144" i="5"/>
  <c r="AE47" i="11"/>
  <c r="AE47" i="10"/>
  <c r="AE47" i="9"/>
  <c r="AF144" i="5"/>
  <c r="W48" i="11"/>
  <c r="W48" i="10"/>
  <c r="W48" i="9"/>
  <c r="X145" i="5"/>
  <c r="AE48" i="11"/>
  <c r="AE48" i="10"/>
  <c r="AE48" i="9"/>
  <c r="AF145" i="5"/>
  <c r="W49" i="11"/>
  <c r="W49" i="10"/>
  <c r="W49" i="9"/>
  <c r="X96" i="5"/>
  <c r="AE49" i="11"/>
  <c r="AE49" i="10"/>
  <c r="AE49" i="9"/>
  <c r="AF96" i="5"/>
  <c r="W50" i="11"/>
  <c r="W50" i="10"/>
  <c r="W50" i="9"/>
  <c r="X133" i="5"/>
  <c r="AE50" i="11"/>
  <c r="AE50" i="10"/>
  <c r="AE50" i="9"/>
  <c r="AF133" i="5"/>
  <c r="W51" i="11"/>
  <c r="W51" i="10"/>
  <c r="W51" i="9"/>
  <c r="X40" i="5"/>
  <c r="AE51" i="11"/>
  <c r="AE51" i="10"/>
  <c r="AE51" i="9"/>
  <c r="AF40" i="5"/>
  <c r="U53" i="11"/>
  <c r="U53" i="10"/>
  <c r="U53" i="9"/>
  <c r="V22" i="5"/>
  <c r="AC53" i="11"/>
  <c r="AC53" i="10"/>
  <c r="AC53" i="9"/>
  <c r="AD22" i="5"/>
  <c r="AK53" i="11"/>
  <c r="AK53" i="10"/>
  <c r="AK53" i="9"/>
  <c r="AL22" i="5"/>
  <c r="S55" i="11"/>
  <c r="S55" i="10"/>
  <c r="S55" i="9"/>
  <c r="T86" i="5"/>
  <c r="AA55" i="11"/>
  <c r="AA55" i="10"/>
  <c r="AA55" i="9"/>
  <c r="AB86" i="5"/>
  <c r="AI55" i="11"/>
  <c r="AI55" i="10"/>
  <c r="AI55" i="9"/>
  <c r="AJ86" i="5"/>
  <c r="Q57" i="11"/>
  <c r="Q57" i="10"/>
  <c r="Q57" i="9"/>
  <c r="Y57" i="11"/>
  <c r="Y57" i="10"/>
  <c r="Y57" i="9"/>
  <c r="Z65" i="5"/>
  <c r="AG57" i="11"/>
  <c r="AG57" i="10"/>
  <c r="AG57" i="9"/>
  <c r="AH65" i="5"/>
  <c r="Q58" i="11"/>
  <c r="Q58" i="10"/>
  <c r="Q58" i="9"/>
  <c r="R149" i="5"/>
  <c r="Y58" i="11"/>
  <c r="Y58" i="10"/>
  <c r="Y58" i="9"/>
  <c r="Z149" i="5"/>
  <c r="AG58" i="11"/>
  <c r="AG58" i="10"/>
  <c r="AG58" i="9"/>
  <c r="AH149" i="5"/>
  <c r="Q59" i="11"/>
  <c r="Q59" i="10"/>
  <c r="Q59" i="9"/>
  <c r="R66" i="5"/>
  <c r="Y59" i="11"/>
  <c r="Y59" i="10"/>
  <c r="Y59" i="9"/>
  <c r="Z66" i="5"/>
  <c r="AG59" i="11"/>
  <c r="AG59" i="10"/>
  <c r="AG59" i="9"/>
  <c r="AH66" i="5"/>
  <c r="Q60" i="11"/>
  <c r="Q60" i="10"/>
  <c r="Q60" i="9"/>
  <c r="R79" i="5"/>
  <c r="Y60" i="11"/>
  <c r="Y60" i="10"/>
  <c r="Y60" i="9"/>
  <c r="Z79" i="5"/>
  <c r="AG60" i="11"/>
  <c r="AG60" i="10"/>
  <c r="AG60" i="9"/>
  <c r="AH79" i="5"/>
  <c r="Q61" i="11"/>
  <c r="Q61" i="10"/>
  <c r="Q61" i="9"/>
  <c r="R150" i="5"/>
  <c r="Y61" i="11"/>
  <c r="Y61" i="10"/>
  <c r="Y61" i="9"/>
  <c r="Z150" i="5"/>
  <c r="AG61" i="11"/>
  <c r="AG61" i="10"/>
  <c r="AG61" i="9"/>
  <c r="AH150" i="5"/>
  <c r="Q62" i="11"/>
  <c r="Q62" i="10"/>
  <c r="Q62" i="9"/>
  <c r="R108" i="5"/>
  <c r="Y62" i="11"/>
  <c r="Y62" i="10"/>
  <c r="Y62" i="9"/>
  <c r="Z108" i="5"/>
  <c r="AG62" i="11"/>
  <c r="AG62" i="10"/>
  <c r="AG62" i="9"/>
  <c r="AH108" i="5"/>
  <c r="Q63" i="11"/>
  <c r="Q63" i="10"/>
  <c r="Q63" i="9"/>
  <c r="R87" i="5"/>
  <c r="Y63" i="11"/>
  <c r="Y63" i="10"/>
  <c r="Y63" i="9"/>
  <c r="Z87" i="5"/>
  <c r="AG63" i="11"/>
  <c r="AG63" i="10"/>
  <c r="AG63" i="9"/>
  <c r="AH87" i="5"/>
  <c r="Q64" i="11"/>
  <c r="Q64" i="10"/>
  <c r="Q64" i="9"/>
  <c r="R151" i="5"/>
  <c r="Y64" i="11"/>
  <c r="Y64" i="10"/>
  <c r="Y64" i="9"/>
  <c r="Z151" i="5"/>
  <c r="AG64" i="11"/>
  <c r="AG64" i="10"/>
  <c r="AG64" i="9"/>
  <c r="AH151" i="5"/>
  <c r="Q65" i="11"/>
  <c r="Q65" i="10"/>
  <c r="Q65" i="9"/>
  <c r="Y65" i="11"/>
  <c r="Y65" i="10"/>
  <c r="Y65" i="9"/>
  <c r="Z122" i="5"/>
  <c r="AG65" i="11"/>
  <c r="AG65" i="10"/>
  <c r="AG65" i="9"/>
  <c r="AH122" i="5"/>
  <c r="Q66" i="11"/>
  <c r="Q66" i="10"/>
  <c r="Q66" i="9"/>
  <c r="R109" i="5"/>
  <c r="Y66" i="11"/>
  <c r="Y66" i="10"/>
  <c r="Y66" i="9"/>
  <c r="Z109" i="5"/>
  <c r="AG66" i="11"/>
  <c r="AG66" i="10"/>
  <c r="AG66" i="9"/>
  <c r="AH109" i="5"/>
  <c r="W68" i="11"/>
  <c r="W68" i="10"/>
  <c r="W68" i="9"/>
  <c r="X69" i="5"/>
  <c r="AE68" i="11"/>
  <c r="AE68" i="10"/>
  <c r="AE68" i="9"/>
  <c r="AF69" i="5"/>
  <c r="W69" i="11"/>
  <c r="W69" i="10"/>
  <c r="W69" i="9"/>
  <c r="X152" i="5"/>
  <c r="AE69" i="11"/>
  <c r="AE69" i="10"/>
  <c r="AE69" i="9"/>
  <c r="AF152" i="5"/>
  <c r="W70" i="11"/>
  <c r="W70" i="10"/>
  <c r="W70" i="9"/>
  <c r="X88" i="5"/>
  <c r="AE70" i="11"/>
  <c r="AE70" i="10"/>
  <c r="AE70" i="9"/>
  <c r="AF88" i="5"/>
  <c r="W71" i="11"/>
  <c r="W71" i="10"/>
  <c r="W71" i="9"/>
  <c r="X24" i="5"/>
  <c r="AE71" i="11"/>
  <c r="AE71" i="10"/>
  <c r="AE71" i="9"/>
  <c r="AF24" i="5"/>
  <c r="W72" i="11"/>
  <c r="W72" i="10"/>
  <c r="W72" i="9"/>
  <c r="X153" i="5"/>
  <c r="AE72" i="11"/>
  <c r="AE72" i="10"/>
  <c r="AE72" i="9"/>
  <c r="AF153" i="5"/>
  <c r="W73" i="11"/>
  <c r="W73" i="10"/>
  <c r="W73" i="9"/>
  <c r="X70" i="5"/>
  <c r="AE73" i="11"/>
  <c r="AE73" i="10"/>
  <c r="AE73" i="9"/>
  <c r="AF70" i="5"/>
  <c r="W74" i="11"/>
  <c r="W74" i="10"/>
  <c r="W74" i="9"/>
  <c r="X89" i="5"/>
  <c r="AE74" i="11"/>
  <c r="AE74" i="10"/>
  <c r="AE74" i="9"/>
  <c r="AF89" i="5"/>
  <c r="W75" i="11"/>
  <c r="W75" i="10"/>
  <c r="W75" i="9"/>
  <c r="X111" i="5"/>
  <c r="AE75" i="11"/>
  <c r="AE75" i="10"/>
  <c r="AE75" i="9"/>
  <c r="AF111" i="5"/>
  <c r="W76" i="11"/>
  <c r="W76" i="10"/>
  <c r="W76" i="9"/>
  <c r="X127" i="5"/>
  <c r="AE76" i="11"/>
  <c r="AE76" i="10"/>
  <c r="AE76" i="9"/>
  <c r="AF127" i="5"/>
  <c r="W77" i="11"/>
  <c r="W77" i="10"/>
  <c r="W77" i="9"/>
  <c r="X112" i="5"/>
  <c r="AE77" i="11"/>
  <c r="AE77" i="10"/>
  <c r="AE77" i="9"/>
  <c r="AF112" i="5"/>
  <c r="W78" i="11"/>
  <c r="W78" i="10"/>
  <c r="W78" i="9"/>
  <c r="X135" i="5"/>
  <c r="AE78" i="11"/>
  <c r="AE78" i="10"/>
  <c r="AE78" i="9"/>
  <c r="AF135" i="5"/>
  <c r="W79" i="11"/>
  <c r="W79" i="10"/>
  <c r="W79" i="9"/>
  <c r="X154" i="5"/>
  <c r="AE79" i="11"/>
  <c r="AE79" i="10"/>
  <c r="AE79" i="9"/>
  <c r="AF154" i="5"/>
  <c r="W80" i="11"/>
  <c r="W80" i="10"/>
  <c r="W80" i="9"/>
  <c r="X90" i="5"/>
  <c r="AE80" i="11"/>
  <c r="AE80" i="10"/>
  <c r="AE80" i="9"/>
  <c r="AF90" i="5"/>
  <c r="W81" i="11"/>
  <c r="W81" i="10"/>
  <c r="W81" i="9"/>
  <c r="X113" i="5"/>
  <c r="AE81" i="11"/>
  <c r="AE81" i="10"/>
  <c r="AE81" i="9"/>
  <c r="AF113" i="5"/>
  <c r="W82" i="11"/>
  <c r="W82" i="10"/>
  <c r="W82" i="9"/>
  <c r="X114" i="5"/>
  <c r="AE82" i="11"/>
  <c r="AE82" i="10"/>
  <c r="AE82" i="9"/>
  <c r="AF114" i="5"/>
  <c r="V87" i="11"/>
  <c r="V87" i="10"/>
  <c r="V87" i="9"/>
  <c r="W73" i="5"/>
  <c r="AD87" i="11"/>
  <c r="AD87" i="10"/>
  <c r="AD87" i="9"/>
  <c r="AE73" i="5"/>
  <c r="AO3" i="11"/>
  <c r="AO75" i="11"/>
  <c r="AO6" i="11"/>
  <c r="AO35" i="11"/>
  <c r="AO81" i="11"/>
  <c r="AO12" i="11"/>
  <c r="AO82" i="11"/>
  <c r="AO77" i="11"/>
  <c r="AO38" i="11"/>
  <c r="AO86" i="11"/>
  <c r="AO9" i="11"/>
  <c r="AO41" i="11"/>
  <c r="AO27" i="11"/>
  <c r="AO65" i="11"/>
  <c r="AO62" i="11"/>
  <c r="AO66" i="11"/>
  <c r="AO84" i="11"/>
  <c r="AO7" i="11"/>
  <c r="AO7" i="10"/>
  <c r="AO65" i="10"/>
  <c r="AO75" i="10"/>
  <c r="AO6" i="10"/>
  <c r="AO35" i="10"/>
  <c r="AO86" i="10"/>
  <c r="AO9" i="10"/>
  <c r="AO41" i="10"/>
  <c r="AO77" i="10"/>
  <c r="AO27" i="10"/>
  <c r="AO3" i="10"/>
  <c r="AO62" i="10"/>
  <c r="AO81" i="10"/>
  <c r="AO12" i="10"/>
  <c r="AO66" i="10"/>
  <c r="AO82" i="10"/>
  <c r="AO38" i="10"/>
  <c r="AO84" i="10"/>
  <c r="AO35" i="9"/>
  <c r="AO81" i="9"/>
  <c r="AO65" i="9"/>
  <c r="AO86" i="9"/>
  <c r="AO75" i="9"/>
  <c r="AO66" i="9"/>
  <c r="AO12" i="9"/>
  <c r="AO77" i="9"/>
  <c r="AO62" i="9"/>
  <c r="AO7" i="9"/>
  <c r="AO84" i="9"/>
  <c r="AO41" i="9"/>
  <c r="AO9" i="9"/>
  <c r="AO82" i="9"/>
  <c r="AO38" i="9"/>
  <c r="AO6" i="9"/>
  <c r="AO27" i="9"/>
  <c r="AO3" i="9"/>
  <c r="AP102" i="5"/>
  <c r="AP117" i="5"/>
  <c r="AP121" i="5"/>
  <c r="AP111" i="5"/>
  <c r="AP113" i="5"/>
  <c r="AP115" i="5"/>
  <c r="AP109" i="5"/>
  <c r="AP112" i="5"/>
  <c r="AP101" i="5"/>
  <c r="AP104" i="5"/>
  <c r="AP120" i="5"/>
  <c r="AP123" i="5"/>
  <c r="AP124" i="5"/>
  <c r="AP106" i="5"/>
  <c r="AP119" i="5"/>
  <c r="AP116" i="5"/>
  <c r="AP105" i="5"/>
  <c r="AP118" i="5"/>
  <c r="AP108" i="5"/>
  <c r="AP110" i="5"/>
  <c r="AP114" i="5"/>
  <c r="AP122" i="5"/>
  <c r="AP103" i="5"/>
  <c r="AP107" i="5"/>
  <c r="AM11" i="11"/>
  <c r="AM23" i="11"/>
  <c r="AM29" i="11"/>
  <c r="AM46" i="11"/>
  <c r="AM25" i="11"/>
  <c r="AM60" i="11"/>
  <c r="AM87" i="11"/>
  <c r="AM67" i="11"/>
  <c r="AM30" i="11"/>
  <c r="AM73" i="11"/>
  <c r="AM59" i="11"/>
  <c r="AM18" i="11"/>
  <c r="AM16" i="11"/>
  <c r="AM22" i="11"/>
  <c r="AM68" i="11"/>
  <c r="AM57" i="11"/>
  <c r="AM28" i="11"/>
  <c r="AM21" i="11"/>
  <c r="AM5" i="11"/>
  <c r="AM59" i="10"/>
  <c r="AM18" i="10"/>
  <c r="AM16" i="10"/>
  <c r="AM22" i="10"/>
  <c r="AM68" i="10"/>
  <c r="AM57" i="10"/>
  <c r="AM28" i="10"/>
  <c r="AM21" i="10"/>
  <c r="AM5" i="10"/>
  <c r="AM11" i="10"/>
  <c r="AM23" i="10"/>
  <c r="AM29" i="10"/>
  <c r="AM46" i="10"/>
  <c r="AM25" i="10"/>
  <c r="AM60" i="10"/>
  <c r="AM87" i="10"/>
  <c r="AM67" i="10"/>
  <c r="AM30" i="10"/>
  <c r="AM73" i="10"/>
  <c r="AM60" i="9"/>
  <c r="AM73" i="9"/>
  <c r="AM57" i="9"/>
  <c r="AM25" i="9"/>
  <c r="AM16" i="9"/>
  <c r="AM29" i="9"/>
  <c r="AM68" i="9"/>
  <c r="AM46" i="9"/>
  <c r="AM22" i="9"/>
  <c r="AM11" i="9"/>
  <c r="AM23" i="9"/>
  <c r="AM67" i="9"/>
  <c r="AM30" i="9"/>
  <c r="AM21" i="9"/>
  <c r="AM5" i="9"/>
  <c r="AM87" i="9"/>
  <c r="AM59" i="9"/>
  <c r="AM28" i="9"/>
  <c r="AM18" i="9"/>
  <c r="AN48" i="5"/>
  <c r="AN54" i="5"/>
  <c r="AN68" i="5"/>
  <c r="AN71" i="5"/>
  <c r="AN55" i="5"/>
  <c r="AN76" i="5"/>
  <c r="AN57" i="5"/>
  <c r="AN64" i="5"/>
  <c r="AN65" i="5"/>
  <c r="AN50" i="5"/>
  <c r="AN74" i="5"/>
  <c r="AN58" i="5"/>
  <c r="AN78" i="5"/>
  <c r="AN73" i="5"/>
  <c r="AN75" i="5"/>
  <c r="AN61" i="5"/>
  <c r="AN63" i="5"/>
  <c r="AN66" i="5"/>
  <c r="AN56" i="5"/>
  <c r="AN77" i="5"/>
  <c r="AN79" i="5"/>
  <c r="AN51" i="5"/>
  <c r="AN53" i="5"/>
  <c r="AN59" i="5"/>
  <c r="AN62" i="5"/>
  <c r="AN67" i="5"/>
  <c r="AN70" i="5"/>
  <c r="AN72" i="5"/>
  <c r="AN60" i="5"/>
  <c r="AN69" i="5"/>
  <c r="AN49" i="5"/>
  <c r="AN52" i="5"/>
  <c r="AN51" i="11"/>
  <c r="AN45" i="11"/>
  <c r="AN4" i="11"/>
  <c r="AN71" i="11"/>
  <c r="AN53" i="11"/>
  <c r="AN13" i="11"/>
  <c r="AN4" i="10"/>
  <c r="AN71" i="10"/>
  <c r="AN53" i="10"/>
  <c r="AN13" i="10"/>
  <c r="AN51" i="10"/>
  <c r="AN45" i="10"/>
  <c r="AN71" i="9"/>
  <c r="AN4" i="9"/>
  <c r="AN53" i="9"/>
  <c r="AN45" i="9"/>
  <c r="AO7" i="5"/>
  <c r="AO11" i="5"/>
  <c r="AO21" i="5"/>
  <c r="AO24" i="5"/>
  <c r="AO44" i="5"/>
  <c r="AN13" i="9"/>
  <c r="AO3" i="5"/>
  <c r="AO8" i="5"/>
  <c r="AO32" i="5"/>
  <c r="AO37" i="5"/>
  <c r="AO18" i="5"/>
  <c r="AO39" i="5"/>
  <c r="AO26" i="5"/>
  <c r="AO46" i="5"/>
  <c r="AO10" i="5"/>
  <c r="AO13" i="5"/>
  <c r="AO36" i="5"/>
  <c r="AO16" i="5"/>
  <c r="AO45" i="5"/>
  <c r="AO47" i="5"/>
  <c r="AO5" i="5"/>
  <c r="AO33" i="5"/>
  <c r="AO34" i="5"/>
  <c r="AO19" i="5"/>
  <c r="AO40" i="5"/>
  <c r="AO4" i="5"/>
  <c r="AO29" i="5"/>
  <c r="AO20" i="5"/>
  <c r="AO6" i="5"/>
  <c r="AO9" i="5"/>
  <c r="AO35" i="5"/>
  <c r="AO14" i="5"/>
  <c r="AO17" i="5"/>
  <c r="AO23" i="5"/>
  <c r="AO42" i="5"/>
  <c r="AN51" i="9"/>
  <c r="AO31" i="5"/>
  <c r="AO15" i="5"/>
  <c r="AO38" i="5"/>
  <c r="AO43" i="5"/>
  <c r="AO12" i="5"/>
  <c r="AO41" i="5"/>
  <c r="AO25" i="5"/>
  <c r="AO2" i="5"/>
  <c r="AO27" i="5"/>
  <c r="AO28" i="5"/>
  <c r="AO30" i="5"/>
  <c r="AO22" i="5"/>
  <c r="AM83" i="11"/>
  <c r="AM76" i="11"/>
  <c r="AM15" i="11"/>
  <c r="AM26" i="11"/>
  <c r="AM54" i="11"/>
  <c r="AM42" i="11"/>
  <c r="AM47" i="11"/>
  <c r="AM39" i="11"/>
  <c r="AM58" i="11"/>
  <c r="AM36" i="11"/>
  <c r="AM32" i="11"/>
  <c r="AM44" i="11"/>
  <c r="AM79" i="11"/>
  <c r="AM17" i="11"/>
  <c r="AM48" i="11"/>
  <c r="AM14" i="11"/>
  <c r="AM52" i="11"/>
  <c r="AM64" i="11"/>
  <c r="AM69" i="11"/>
  <c r="AM61" i="11"/>
  <c r="AM56" i="11"/>
  <c r="AM88" i="11"/>
  <c r="AM72" i="11"/>
  <c r="AM44" i="10"/>
  <c r="AM79" i="10"/>
  <c r="AM17" i="10"/>
  <c r="AM48" i="10"/>
  <c r="AM14" i="10"/>
  <c r="AM52" i="10"/>
  <c r="AM64" i="10"/>
  <c r="AM69" i="10"/>
  <c r="AM61" i="10"/>
  <c r="AM56" i="10"/>
  <c r="AM88" i="10"/>
  <c r="AM72" i="10"/>
  <c r="AM83" i="10"/>
  <c r="AM76" i="10"/>
  <c r="AM15" i="10"/>
  <c r="AM26" i="10"/>
  <c r="AM54" i="10"/>
  <c r="AM42" i="10"/>
  <c r="AM47" i="10"/>
  <c r="AM39" i="10"/>
  <c r="AM58" i="10"/>
  <c r="AM36" i="10"/>
  <c r="AM32" i="10"/>
  <c r="AM79" i="9"/>
  <c r="AM61" i="9"/>
  <c r="AM52" i="9"/>
  <c r="AM42" i="9"/>
  <c r="AM17" i="9"/>
  <c r="AM72" i="9"/>
  <c r="AM58" i="9"/>
  <c r="AM48" i="9"/>
  <c r="AM39" i="9"/>
  <c r="AM15" i="9"/>
  <c r="AM76" i="9"/>
  <c r="AM88" i="9"/>
  <c r="AM69" i="9"/>
  <c r="AM56" i="9"/>
  <c r="AM47" i="9"/>
  <c r="AM36" i="9"/>
  <c r="AM14" i="9"/>
  <c r="AM83" i="9"/>
  <c r="AM64" i="9"/>
  <c r="AM54" i="9"/>
  <c r="AM44" i="9"/>
  <c r="AM26" i="9"/>
  <c r="AM32" i="9"/>
  <c r="AN143" i="5"/>
  <c r="AN125" i="5"/>
  <c r="AN146" i="5"/>
  <c r="AN148" i="5"/>
  <c r="AN151" i="5"/>
  <c r="AN152" i="5"/>
  <c r="AN127" i="5"/>
  <c r="AN156" i="5"/>
  <c r="AN136" i="5"/>
  <c r="AN139" i="5"/>
  <c r="AN141" i="5"/>
  <c r="AN144" i="5"/>
  <c r="AN149" i="5"/>
  <c r="AN155" i="5"/>
  <c r="AN138" i="5"/>
  <c r="AN142" i="5"/>
  <c r="AN145" i="5"/>
  <c r="AN126" i="5"/>
  <c r="AN157" i="5"/>
  <c r="AN147" i="5"/>
  <c r="AN150" i="5"/>
  <c r="AN154" i="5"/>
  <c r="AN137" i="5"/>
  <c r="AN153" i="5"/>
  <c r="AN140" i="5"/>
  <c r="AO57" i="11"/>
  <c r="AO28" i="11"/>
  <c r="AO21" i="11"/>
  <c r="AO11" i="11"/>
  <c r="AO23" i="11"/>
  <c r="AO29" i="11"/>
  <c r="AO46" i="11"/>
  <c r="AO25" i="11"/>
  <c r="AO60" i="11"/>
  <c r="AO87" i="11"/>
  <c r="AO67" i="11"/>
  <c r="AO30" i="11"/>
  <c r="AO16" i="11"/>
  <c r="AO22" i="11"/>
  <c r="AO68" i="11"/>
  <c r="AO5" i="11"/>
  <c r="AO73" i="11"/>
  <c r="AO59" i="11"/>
  <c r="AO18" i="11"/>
  <c r="AO5" i="10"/>
  <c r="AO29" i="10"/>
  <c r="AO46" i="10"/>
  <c r="AO16" i="10"/>
  <c r="AO28" i="10"/>
  <c r="AO23" i="10"/>
  <c r="AO87" i="10"/>
  <c r="AO18" i="10"/>
  <c r="AO11" i="10"/>
  <c r="AO60" i="10"/>
  <c r="AO57" i="10"/>
  <c r="AO25" i="10"/>
  <c r="AO30" i="10"/>
  <c r="AO59" i="10"/>
  <c r="AO68" i="10"/>
  <c r="AO67" i="10"/>
  <c r="AO73" i="10"/>
  <c r="AO21" i="10"/>
  <c r="AO22" i="10"/>
  <c r="AO29" i="9"/>
  <c r="AO68" i="9"/>
  <c r="AO46" i="9"/>
  <c r="AO22" i="9"/>
  <c r="AO11" i="9"/>
  <c r="AO23" i="9"/>
  <c r="AO67" i="9"/>
  <c r="AO30" i="9"/>
  <c r="AO21" i="9"/>
  <c r="AO5" i="9"/>
  <c r="AO87" i="9"/>
  <c r="AO59" i="9"/>
  <c r="AO28" i="9"/>
  <c r="AO18" i="9"/>
  <c r="AO60" i="9"/>
  <c r="AO73" i="9"/>
  <c r="AO57" i="9"/>
  <c r="AO25" i="9"/>
  <c r="AO16" i="9"/>
  <c r="AP55" i="5"/>
  <c r="AP76" i="5"/>
  <c r="AP50" i="5"/>
  <c r="AP74" i="5"/>
  <c r="AP58" i="5"/>
  <c r="AP78" i="5"/>
  <c r="AP73" i="5"/>
  <c r="AP75" i="5"/>
  <c r="AP61" i="5"/>
  <c r="AP63" i="5"/>
  <c r="AP66" i="5"/>
  <c r="AP56" i="5"/>
  <c r="AP77" i="5"/>
  <c r="AP79" i="5"/>
  <c r="AP51" i="5"/>
  <c r="AP53" i="5"/>
  <c r="AP59" i="5"/>
  <c r="AP62" i="5"/>
  <c r="AP67" i="5"/>
  <c r="AP70" i="5"/>
  <c r="AP48" i="5"/>
  <c r="AP54" i="5"/>
  <c r="AP68" i="5"/>
  <c r="AP71" i="5"/>
  <c r="AP49" i="5"/>
  <c r="AP52" i="5"/>
  <c r="AP60" i="5"/>
  <c r="AP69" i="5"/>
  <c r="AP72" i="5"/>
  <c r="AP64" i="5"/>
  <c r="AP57" i="5"/>
  <c r="AP65" i="5"/>
  <c r="Q94" i="5"/>
  <c r="R122" i="5"/>
  <c r="R6" i="5"/>
  <c r="S133" i="5"/>
  <c r="Z3" i="11"/>
  <c r="Z3" i="10"/>
  <c r="Z3" i="9"/>
  <c r="AA101" i="5"/>
  <c r="Z6" i="11"/>
  <c r="Z6" i="10"/>
  <c r="Z6" i="9"/>
  <c r="AA102" i="5"/>
  <c r="AH7" i="11"/>
  <c r="AH7" i="10"/>
  <c r="AH7" i="9"/>
  <c r="AI103" i="5"/>
  <c r="AJ3" i="11"/>
  <c r="AJ3" i="10"/>
  <c r="AJ3" i="9"/>
  <c r="AK101" i="5"/>
  <c r="T5" i="11"/>
  <c r="T5" i="10"/>
  <c r="T5" i="9"/>
  <c r="U49" i="5"/>
  <c r="AJ6" i="11"/>
  <c r="AJ6" i="10"/>
  <c r="AJ6" i="9"/>
  <c r="AK102" i="5"/>
  <c r="AJ7" i="11"/>
  <c r="AJ7" i="10"/>
  <c r="AJ7" i="9"/>
  <c r="AK103" i="5"/>
  <c r="T8" i="11"/>
  <c r="T8" i="10"/>
  <c r="T8" i="9"/>
  <c r="U80" i="5"/>
  <c r="T9" i="11"/>
  <c r="T9" i="10"/>
  <c r="T9" i="9"/>
  <c r="U116" i="5"/>
  <c r="AB10" i="11"/>
  <c r="AB10" i="10"/>
  <c r="AB10" i="9"/>
  <c r="AC129" i="5"/>
  <c r="AJ10" i="11"/>
  <c r="AJ10" i="10"/>
  <c r="AJ10" i="9"/>
  <c r="AK129" i="5"/>
  <c r="T11" i="11"/>
  <c r="T11" i="10"/>
  <c r="T11" i="9"/>
  <c r="U53" i="5"/>
  <c r="AB12" i="11"/>
  <c r="AB12" i="10"/>
  <c r="AB12" i="9"/>
  <c r="AC105" i="5"/>
  <c r="AJ13" i="11"/>
  <c r="AJ13" i="10"/>
  <c r="AJ13" i="9"/>
  <c r="AK6" i="5"/>
  <c r="AJ14" i="11"/>
  <c r="AJ14" i="10"/>
  <c r="AJ14" i="9"/>
  <c r="AK136" i="5"/>
  <c r="Z18" i="11"/>
  <c r="Z18" i="10"/>
  <c r="Z18" i="9"/>
  <c r="AA56" i="5"/>
  <c r="R19" i="11"/>
  <c r="R19" i="10"/>
  <c r="R19" i="9"/>
  <c r="AH19" i="11"/>
  <c r="AH19" i="10"/>
  <c r="AH19" i="9"/>
  <c r="AI130" i="5"/>
  <c r="Z20" i="11"/>
  <c r="Z20" i="10"/>
  <c r="Z20" i="9"/>
  <c r="AA93" i="5"/>
  <c r="P23" i="11"/>
  <c r="P23" i="10"/>
  <c r="P23" i="9"/>
  <c r="Q75" i="5"/>
  <c r="AF24" i="11"/>
  <c r="AF24" i="10"/>
  <c r="AF24" i="9"/>
  <c r="AG94" i="5"/>
  <c r="Q26" i="11"/>
  <c r="Q26" i="10"/>
  <c r="Q26" i="9"/>
  <c r="R139" i="5"/>
  <c r="Q29" i="11"/>
  <c r="Q29" i="10"/>
  <c r="Q29" i="9"/>
  <c r="R76" i="5"/>
  <c r="AG29" i="11"/>
  <c r="AG29" i="10"/>
  <c r="AG29" i="9"/>
  <c r="AH76" i="5"/>
  <c r="Q30" i="11"/>
  <c r="Q30" i="10"/>
  <c r="Q30" i="9"/>
  <c r="R62" i="5"/>
  <c r="Q31" i="11"/>
  <c r="Q31" i="10"/>
  <c r="Q31" i="9"/>
  <c r="R131" i="5"/>
  <c r="Q32" i="11"/>
  <c r="Q32" i="10"/>
  <c r="Q32" i="9"/>
  <c r="R125" i="5"/>
  <c r="Q33" i="11"/>
  <c r="Q33" i="10"/>
  <c r="Q33" i="9"/>
  <c r="AG33" i="11"/>
  <c r="AG33" i="10"/>
  <c r="AG33" i="9"/>
  <c r="AH81" i="5"/>
  <c r="AG34" i="11"/>
  <c r="AG34" i="10"/>
  <c r="AG34" i="9"/>
  <c r="AH95" i="5"/>
  <c r="Y35" i="11"/>
  <c r="Y35" i="10"/>
  <c r="Y35" i="9"/>
  <c r="Z119" i="5"/>
  <c r="AG35" i="11"/>
  <c r="AG35" i="10"/>
  <c r="AG35" i="9"/>
  <c r="AH119" i="5"/>
  <c r="AG36" i="11"/>
  <c r="AG36" i="10"/>
  <c r="AG36" i="9"/>
  <c r="AH140" i="5"/>
  <c r="Q37" i="11"/>
  <c r="Q37" i="10"/>
  <c r="Q37" i="9"/>
  <c r="R83" i="5"/>
  <c r="Y37" i="11"/>
  <c r="Y37" i="10"/>
  <c r="Y37" i="9"/>
  <c r="Z83" i="5"/>
  <c r="AG37" i="11"/>
  <c r="AG37" i="10"/>
  <c r="AG37" i="9"/>
  <c r="AH83" i="5"/>
  <c r="Q38" i="11"/>
  <c r="Q38" i="10"/>
  <c r="Q38" i="9"/>
  <c r="Y38" i="11"/>
  <c r="Y38" i="10"/>
  <c r="Y38" i="9"/>
  <c r="Z107" i="5"/>
  <c r="AG38" i="11"/>
  <c r="AG38" i="10"/>
  <c r="AG38" i="9"/>
  <c r="AH107" i="5"/>
  <c r="U2" i="11"/>
  <c r="U2" i="10"/>
  <c r="U2" i="9"/>
  <c r="V92" i="5"/>
  <c r="AC2" i="11"/>
  <c r="AC2" i="10"/>
  <c r="AC2" i="9"/>
  <c r="AD92" i="5"/>
  <c r="AK2" i="11"/>
  <c r="AK2" i="10"/>
  <c r="AK2" i="9"/>
  <c r="AL92" i="5"/>
  <c r="U3" i="11"/>
  <c r="U3" i="10"/>
  <c r="U3" i="9"/>
  <c r="V101" i="5"/>
  <c r="AC3" i="11"/>
  <c r="AC3" i="10"/>
  <c r="AC3" i="9"/>
  <c r="AD101" i="5"/>
  <c r="AK3" i="11"/>
  <c r="AK3" i="10"/>
  <c r="AK3" i="9"/>
  <c r="AL101" i="5"/>
  <c r="U4" i="11"/>
  <c r="U4" i="10"/>
  <c r="U4" i="9"/>
  <c r="V2" i="5"/>
  <c r="AC4" i="11"/>
  <c r="AC4" i="10"/>
  <c r="AC4" i="9"/>
  <c r="AD2" i="5"/>
  <c r="AK4" i="11"/>
  <c r="AK4" i="10"/>
  <c r="AK4" i="9"/>
  <c r="AL2" i="5"/>
  <c r="U5" i="11"/>
  <c r="U5" i="10"/>
  <c r="U5" i="9"/>
  <c r="V49" i="5"/>
  <c r="AC5" i="11"/>
  <c r="AC5" i="10"/>
  <c r="AC5" i="9"/>
  <c r="AD49" i="5"/>
  <c r="AK5" i="11"/>
  <c r="AK5" i="10"/>
  <c r="AK5" i="9"/>
  <c r="AL49" i="5"/>
  <c r="U6" i="11"/>
  <c r="U6" i="10"/>
  <c r="U6" i="9"/>
  <c r="V102" i="5"/>
  <c r="AC6" i="11"/>
  <c r="AC6" i="10"/>
  <c r="AC6" i="9"/>
  <c r="AD102" i="5"/>
  <c r="AK6" i="11"/>
  <c r="AK6" i="10"/>
  <c r="AK6" i="9"/>
  <c r="AL102" i="5"/>
  <c r="U7" i="11"/>
  <c r="U7" i="10"/>
  <c r="U7" i="9"/>
  <c r="V103" i="5"/>
  <c r="AC7" i="11"/>
  <c r="AC7" i="10"/>
  <c r="AC7" i="9"/>
  <c r="AD103" i="5"/>
  <c r="AK7" i="11"/>
  <c r="AK7" i="10"/>
  <c r="AK7" i="9"/>
  <c r="AL103" i="5"/>
  <c r="U8" i="11"/>
  <c r="U8" i="10"/>
  <c r="U8" i="9"/>
  <c r="V80" i="5"/>
  <c r="AC8" i="11"/>
  <c r="AC8" i="10"/>
  <c r="AC8" i="9"/>
  <c r="AD80" i="5"/>
  <c r="AK8" i="11"/>
  <c r="AK8" i="10"/>
  <c r="AK8" i="9"/>
  <c r="AL80" i="5"/>
  <c r="U9" i="11"/>
  <c r="U9" i="10"/>
  <c r="U9" i="9"/>
  <c r="V116" i="5"/>
  <c r="AC9" i="11"/>
  <c r="AC9" i="10"/>
  <c r="AC9" i="9"/>
  <c r="AD116" i="5"/>
  <c r="AK9" i="11"/>
  <c r="AK9" i="10"/>
  <c r="AK9" i="9"/>
  <c r="AL116" i="5"/>
  <c r="U10" i="11"/>
  <c r="U10" i="10"/>
  <c r="U10" i="9"/>
  <c r="V129" i="5"/>
  <c r="AC10" i="11"/>
  <c r="AC10" i="10"/>
  <c r="AC10" i="9"/>
  <c r="AD129" i="5"/>
  <c r="AK10" i="11"/>
  <c r="AK10" i="10"/>
  <c r="AK10" i="9"/>
  <c r="AL129" i="5"/>
  <c r="U11" i="11"/>
  <c r="U11" i="10"/>
  <c r="U11" i="9"/>
  <c r="V53" i="5"/>
  <c r="AC11" i="11"/>
  <c r="AC11" i="10"/>
  <c r="AC11" i="9"/>
  <c r="AD53" i="5"/>
  <c r="AK11" i="11"/>
  <c r="AK11" i="10"/>
  <c r="AK11" i="9"/>
  <c r="AL53" i="5"/>
  <c r="U12" i="11"/>
  <c r="U12" i="10"/>
  <c r="U12" i="9"/>
  <c r="V105" i="5"/>
  <c r="AC12" i="11"/>
  <c r="AC12" i="10"/>
  <c r="AC12" i="9"/>
  <c r="AD105" i="5"/>
  <c r="AK12" i="11"/>
  <c r="AK12" i="10"/>
  <c r="AK12" i="9"/>
  <c r="AL105" i="5"/>
  <c r="U13" i="11"/>
  <c r="U13" i="10"/>
  <c r="U13" i="9"/>
  <c r="V6" i="5"/>
  <c r="AC13" i="11"/>
  <c r="AC13" i="10"/>
  <c r="AC13" i="9"/>
  <c r="AD6" i="5"/>
  <c r="AK13" i="11"/>
  <c r="AK13" i="10"/>
  <c r="AK13" i="9"/>
  <c r="AL6" i="5"/>
  <c r="U14" i="11"/>
  <c r="U14" i="10"/>
  <c r="U14" i="9"/>
  <c r="V136" i="5"/>
  <c r="AC14" i="11"/>
  <c r="AC14" i="10"/>
  <c r="AC14" i="9"/>
  <c r="AD136" i="5"/>
  <c r="AK14" i="11"/>
  <c r="AK14" i="10"/>
  <c r="AK14" i="9"/>
  <c r="AL136" i="5"/>
  <c r="U15" i="11"/>
  <c r="U15" i="10"/>
  <c r="U15" i="9"/>
  <c r="V137" i="5"/>
  <c r="AC15" i="11"/>
  <c r="AC15" i="10"/>
  <c r="AC15" i="9"/>
  <c r="AD137" i="5"/>
  <c r="AK15" i="11"/>
  <c r="AK15" i="10"/>
  <c r="AK15" i="9"/>
  <c r="AL137" i="5"/>
  <c r="U16" i="11"/>
  <c r="U16" i="10"/>
  <c r="U16" i="9"/>
  <c r="V55" i="5"/>
  <c r="AC16" i="11"/>
  <c r="AC16" i="10"/>
  <c r="AC16" i="9"/>
  <c r="AD55" i="5"/>
  <c r="AK16" i="11"/>
  <c r="AK16" i="10"/>
  <c r="AK16" i="9"/>
  <c r="AL55" i="5"/>
  <c r="S18" i="11"/>
  <c r="S18" i="10"/>
  <c r="S18" i="9"/>
  <c r="T56" i="5"/>
  <c r="AA18" i="11"/>
  <c r="AA18" i="10"/>
  <c r="AA18" i="9"/>
  <c r="AB56" i="5"/>
  <c r="AI18" i="11"/>
  <c r="AI18" i="10"/>
  <c r="AI18" i="9"/>
  <c r="AJ56" i="5"/>
  <c r="S19" i="11"/>
  <c r="S19" i="10"/>
  <c r="S19" i="9"/>
  <c r="T130" i="5"/>
  <c r="AA19" i="11"/>
  <c r="AA19" i="10"/>
  <c r="AA19" i="9"/>
  <c r="AB130" i="5"/>
  <c r="AI19" i="11"/>
  <c r="AI19" i="10"/>
  <c r="AI19" i="9"/>
  <c r="AJ130" i="5"/>
  <c r="S20" i="11"/>
  <c r="S20" i="10"/>
  <c r="S20" i="9"/>
  <c r="T93" i="5"/>
  <c r="AA20" i="11"/>
  <c r="AA20" i="10"/>
  <c r="AA20" i="9"/>
  <c r="AB93" i="5"/>
  <c r="AI20" i="11"/>
  <c r="AI20" i="10"/>
  <c r="AI20" i="9"/>
  <c r="AJ93" i="5"/>
  <c r="Q22" i="11"/>
  <c r="Q22" i="10"/>
  <c r="Q22" i="9"/>
  <c r="R58" i="5"/>
  <c r="Y22" i="11"/>
  <c r="Y22" i="10"/>
  <c r="Y22" i="9"/>
  <c r="Z58" i="5"/>
  <c r="AG22" i="11"/>
  <c r="AG22" i="10"/>
  <c r="AG22" i="9"/>
  <c r="AH58" i="5"/>
  <c r="Q23" i="11"/>
  <c r="Q23" i="10"/>
  <c r="Q23" i="9"/>
  <c r="R75" i="5"/>
  <c r="Y23" i="11"/>
  <c r="Y23" i="10"/>
  <c r="Y23" i="9"/>
  <c r="Z75" i="5"/>
  <c r="AG23" i="11"/>
  <c r="AG23" i="10"/>
  <c r="AG23" i="9"/>
  <c r="AH75" i="5"/>
  <c r="Q24" i="11"/>
  <c r="Q24" i="10"/>
  <c r="Q24" i="9"/>
  <c r="R94" i="5"/>
  <c r="Y24" i="11"/>
  <c r="Y24" i="10"/>
  <c r="Y24" i="9"/>
  <c r="Z94" i="5"/>
  <c r="AG24" i="11"/>
  <c r="AG24" i="10"/>
  <c r="AG24" i="9"/>
  <c r="AH94" i="5"/>
  <c r="Q25" i="11"/>
  <c r="Q25" i="10"/>
  <c r="Q25" i="9"/>
  <c r="R59" i="5"/>
  <c r="Y25" i="11"/>
  <c r="Y25" i="10"/>
  <c r="Y25" i="9"/>
  <c r="Z59" i="5"/>
  <c r="AG25" i="11"/>
  <c r="AG25" i="10"/>
  <c r="AG25" i="9"/>
  <c r="AH59" i="5"/>
  <c r="R26" i="11"/>
  <c r="R26" i="10"/>
  <c r="R26" i="9"/>
  <c r="S139" i="5"/>
  <c r="Z26" i="11"/>
  <c r="Z26" i="10"/>
  <c r="Z26" i="9"/>
  <c r="AA139" i="5"/>
  <c r="AH26" i="11"/>
  <c r="AH26" i="10"/>
  <c r="AH26" i="9"/>
  <c r="AI139" i="5"/>
  <c r="R27" i="11"/>
  <c r="R27" i="10"/>
  <c r="R27" i="9"/>
  <c r="S106" i="5"/>
  <c r="Z27" i="11"/>
  <c r="Z27" i="10"/>
  <c r="Z27" i="9"/>
  <c r="AA106" i="5"/>
  <c r="AH27" i="11"/>
  <c r="AH27" i="10"/>
  <c r="AH27" i="9"/>
  <c r="AI106" i="5"/>
  <c r="R28" i="11"/>
  <c r="R28" i="10"/>
  <c r="R28" i="9"/>
  <c r="S60" i="5"/>
  <c r="Z28" i="11"/>
  <c r="Z28" i="10"/>
  <c r="Z28" i="9"/>
  <c r="AA60" i="5"/>
  <c r="AH28" i="11"/>
  <c r="AH28" i="10"/>
  <c r="AH28" i="9"/>
  <c r="AI60" i="5"/>
  <c r="R29" i="11"/>
  <c r="R29" i="10"/>
  <c r="R29" i="9"/>
  <c r="S76" i="5"/>
  <c r="Z29" i="11"/>
  <c r="Z29" i="10"/>
  <c r="Z29" i="9"/>
  <c r="AA76" i="5"/>
  <c r="AH29" i="11"/>
  <c r="AH29" i="10"/>
  <c r="AH29" i="9"/>
  <c r="AI76" i="5"/>
  <c r="R30" i="11"/>
  <c r="R30" i="10"/>
  <c r="R30" i="9"/>
  <c r="S62" i="5"/>
  <c r="Z30" i="11"/>
  <c r="Z30" i="10"/>
  <c r="Z30" i="9"/>
  <c r="AA62" i="5"/>
  <c r="AH30" i="11"/>
  <c r="AH30" i="10"/>
  <c r="AH30" i="9"/>
  <c r="AI62" i="5"/>
  <c r="R31" i="11"/>
  <c r="R31" i="10"/>
  <c r="R31" i="9"/>
  <c r="S131" i="5"/>
  <c r="Z31" i="11"/>
  <c r="Z31" i="10"/>
  <c r="Z31" i="9"/>
  <c r="AA131" i="5"/>
  <c r="AH31" i="11"/>
  <c r="AH31" i="10"/>
  <c r="AH31" i="9"/>
  <c r="AI131" i="5"/>
  <c r="R32" i="11"/>
  <c r="R32" i="10"/>
  <c r="R32" i="9"/>
  <c r="S125" i="5"/>
  <c r="Z32" i="11"/>
  <c r="Z32" i="10"/>
  <c r="Z32" i="9"/>
  <c r="AA125" i="5"/>
  <c r="AH32" i="11"/>
  <c r="AH32" i="10"/>
  <c r="AH32" i="9"/>
  <c r="AI125" i="5"/>
  <c r="R33" i="11"/>
  <c r="R33" i="10"/>
  <c r="R33" i="9"/>
  <c r="S81" i="5"/>
  <c r="Z33" i="11"/>
  <c r="Z33" i="10"/>
  <c r="Z33" i="9"/>
  <c r="AA81" i="5"/>
  <c r="AH33" i="11"/>
  <c r="AH33" i="10"/>
  <c r="AH33" i="9"/>
  <c r="AI81" i="5"/>
  <c r="R34" i="11"/>
  <c r="R34" i="10"/>
  <c r="R34" i="9"/>
  <c r="S95" i="5"/>
  <c r="Z34" i="11"/>
  <c r="Z34" i="10"/>
  <c r="Z34" i="9"/>
  <c r="AA95" i="5"/>
  <c r="AH34" i="11"/>
  <c r="AH34" i="10"/>
  <c r="AH34" i="9"/>
  <c r="AI95" i="5"/>
  <c r="R35" i="11"/>
  <c r="R35" i="10"/>
  <c r="R35" i="9"/>
  <c r="S119" i="5"/>
  <c r="Z35" i="11"/>
  <c r="Z35" i="10"/>
  <c r="Z35" i="9"/>
  <c r="AA119" i="5"/>
  <c r="AH35" i="11"/>
  <c r="AH35" i="10"/>
  <c r="AH35" i="9"/>
  <c r="AI119" i="5"/>
  <c r="R36" i="11"/>
  <c r="R36" i="10"/>
  <c r="R36" i="9"/>
  <c r="S140" i="5"/>
  <c r="Z36" i="11"/>
  <c r="Z36" i="10"/>
  <c r="Z36" i="9"/>
  <c r="AA140" i="5"/>
  <c r="AH36" i="11"/>
  <c r="AH36" i="10"/>
  <c r="AH36" i="9"/>
  <c r="AI140" i="5"/>
  <c r="R37" i="11"/>
  <c r="R37" i="10"/>
  <c r="R37" i="9"/>
  <c r="S83" i="5"/>
  <c r="Z37" i="11"/>
  <c r="Z37" i="10"/>
  <c r="Z37" i="9"/>
  <c r="AA83" i="5"/>
  <c r="AH37" i="11"/>
  <c r="AH37" i="10"/>
  <c r="AH37" i="9"/>
  <c r="AI83" i="5"/>
  <c r="R38" i="11"/>
  <c r="R38" i="10"/>
  <c r="R38" i="9"/>
  <c r="S107" i="5"/>
  <c r="Z38" i="11"/>
  <c r="Z38" i="10"/>
  <c r="Z38" i="9"/>
  <c r="AA107" i="5"/>
  <c r="AH38" i="11"/>
  <c r="AH38" i="10"/>
  <c r="AH38" i="9"/>
  <c r="AI107" i="5"/>
  <c r="R39" i="11"/>
  <c r="R39" i="10"/>
  <c r="R39" i="9"/>
  <c r="S141" i="5"/>
  <c r="Z39" i="11"/>
  <c r="Z39" i="10"/>
  <c r="Z39" i="9"/>
  <c r="AA141" i="5"/>
  <c r="AH39" i="11"/>
  <c r="AH39" i="10"/>
  <c r="AH39" i="9"/>
  <c r="AI141" i="5"/>
  <c r="R40" i="11"/>
  <c r="R40" i="10"/>
  <c r="R40" i="9"/>
  <c r="S84" i="5"/>
  <c r="Z40" i="11"/>
  <c r="Z40" i="10"/>
  <c r="Z40" i="9"/>
  <c r="AA84" i="5"/>
  <c r="AH40" i="11"/>
  <c r="AH40" i="10"/>
  <c r="AH40" i="9"/>
  <c r="AI84" i="5"/>
  <c r="R41" i="11"/>
  <c r="R41" i="10"/>
  <c r="R41" i="9"/>
  <c r="S121" i="5"/>
  <c r="Z41" i="11"/>
  <c r="Z41" i="10"/>
  <c r="Z41" i="9"/>
  <c r="AA121" i="5"/>
  <c r="AH41" i="11"/>
  <c r="AH41" i="10"/>
  <c r="AH41" i="9"/>
  <c r="AI121" i="5"/>
  <c r="R42" i="11"/>
  <c r="R42" i="10"/>
  <c r="R42" i="9"/>
  <c r="S142" i="5"/>
  <c r="Z42" i="11"/>
  <c r="Z42" i="10"/>
  <c r="Z42" i="9"/>
  <c r="AA142" i="5"/>
  <c r="AH42" i="11"/>
  <c r="AH42" i="10"/>
  <c r="AH42" i="9"/>
  <c r="AI142" i="5"/>
  <c r="R43" i="11"/>
  <c r="R43" i="10"/>
  <c r="R43" i="9"/>
  <c r="S132" i="5"/>
  <c r="Z43" i="11"/>
  <c r="Z43" i="10"/>
  <c r="Z43" i="9"/>
  <c r="AA132" i="5"/>
  <c r="AH43" i="11"/>
  <c r="AH43" i="10"/>
  <c r="AH43" i="9"/>
  <c r="AI132" i="5"/>
  <c r="P45" i="11"/>
  <c r="P45" i="10"/>
  <c r="P45" i="9"/>
  <c r="Q19" i="5"/>
  <c r="X45" i="11"/>
  <c r="X45" i="10"/>
  <c r="X45" i="9"/>
  <c r="Y19" i="5"/>
  <c r="AF45" i="11"/>
  <c r="AF45" i="10"/>
  <c r="AF45" i="9"/>
  <c r="AG19" i="5"/>
  <c r="P46" i="11"/>
  <c r="P46" i="10"/>
  <c r="P46" i="9"/>
  <c r="Q64" i="5"/>
  <c r="X46" i="11"/>
  <c r="X46" i="10"/>
  <c r="X46" i="9"/>
  <c r="Y64" i="5"/>
  <c r="AF46" i="11"/>
  <c r="AF46" i="10"/>
  <c r="AF46" i="9"/>
  <c r="AG64" i="5"/>
  <c r="P47" i="11"/>
  <c r="P47" i="10"/>
  <c r="P47" i="9"/>
  <c r="Q144" i="5"/>
  <c r="X47" i="11"/>
  <c r="X47" i="10"/>
  <c r="X47" i="9"/>
  <c r="Y144" i="5"/>
  <c r="AF47" i="11"/>
  <c r="AF47" i="10"/>
  <c r="AF47" i="9"/>
  <c r="AG144" i="5"/>
  <c r="P48" i="11"/>
  <c r="P48" i="10"/>
  <c r="P48" i="9"/>
  <c r="Q145" i="5"/>
  <c r="X48" i="11"/>
  <c r="X48" i="10"/>
  <c r="X48" i="9"/>
  <c r="Y145" i="5"/>
  <c r="AF48" i="11"/>
  <c r="AF48" i="10"/>
  <c r="AF48" i="9"/>
  <c r="AG145" i="5"/>
  <c r="P49" i="11"/>
  <c r="P49" i="10"/>
  <c r="P49" i="9"/>
  <c r="X49" i="11"/>
  <c r="X49" i="10"/>
  <c r="X49" i="9"/>
  <c r="Y96" i="5"/>
  <c r="AF49" i="11"/>
  <c r="AF49" i="10"/>
  <c r="AF49" i="9"/>
  <c r="AG96" i="5"/>
  <c r="P50" i="11"/>
  <c r="P50" i="10"/>
  <c r="P50" i="9"/>
  <c r="Q133" i="5"/>
  <c r="X50" i="11"/>
  <c r="X50" i="10"/>
  <c r="X50" i="9"/>
  <c r="Y133" i="5"/>
  <c r="AF50" i="11"/>
  <c r="AF50" i="10"/>
  <c r="AF50" i="9"/>
  <c r="AG133" i="5"/>
  <c r="P51" i="11"/>
  <c r="P51" i="10"/>
  <c r="P51" i="9"/>
  <c r="Q40" i="5"/>
  <c r="X51" i="11"/>
  <c r="X51" i="10"/>
  <c r="X51" i="9"/>
  <c r="Y40" i="5"/>
  <c r="AF51" i="11"/>
  <c r="AF51" i="10"/>
  <c r="AF51" i="9"/>
  <c r="AG40" i="5"/>
  <c r="V53" i="11"/>
  <c r="V53" i="10"/>
  <c r="V53" i="9"/>
  <c r="W22" i="5"/>
  <c r="AD53" i="11"/>
  <c r="AD53" i="10"/>
  <c r="AD53" i="9"/>
  <c r="AE22" i="5"/>
  <c r="T55" i="11"/>
  <c r="T55" i="10"/>
  <c r="T55" i="9"/>
  <c r="U86" i="5"/>
  <c r="AB55" i="11"/>
  <c r="AB55" i="10"/>
  <c r="AB55" i="9"/>
  <c r="AC86" i="5"/>
  <c r="AJ55" i="11"/>
  <c r="AJ55" i="10"/>
  <c r="AJ55" i="9"/>
  <c r="AK86" i="5"/>
  <c r="R57" i="11"/>
  <c r="R57" i="10"/>
  <c r="R57" i="9"/>
  <c r="S65" i="5"/>
  <c r="Z57" i="11"/>
  <c r="Z57" i="10"/>
  <c r="Z57" i="9"/>
  <c r="AA65" i="5"/>
  <c r="AH57" i="11"/>
  <c r="AH57" i="10"/>
  <c r="AH57" i="9"/>
  <c r="AI65" i="5"/>
  <c r="R58" i="11"/>
  <c r="R58" i="10"/>
  <c r="R58" i="9"/>
  <c r="S149" i="5"/>
  <c r="Z58" i="11"/>
  <c r="Z58" i="10"/>
  <c r="Z58" i="9"/>
  <c r="AA149" i="5"/>
  <c r="AH58" i="11"/>
  <c r="AH58" i="10"/>
  <c r="AH58" i="9"/>
  <c r="AI149" i="5"/>
  <c r="R59" i="11"/>
  <c r="R59" i="10"/>
  <c r="R59" i="9"/>
  <c r="S66" i="5"/>
  <c r="Z59" i="11"/>
  <c r="Z59" i="10"/>
  <c r="Z59" i="9"/>
  <c r="AA66" i="5"/>
  <c r="AH59" i="11"/>
  <c r="AH59" i="10"/>
  <c r="AH59" i="9"/>
  <c r="AI66" i="5"/>
  <c r="R60" i="11"/>
  <c r="R60" i="10"/>
  <c r="R60" i="9"/>
  <c r="S79" i="5"/>
  <c r="Z60" i="11"/>
  <c r="Z60" i="10"/>
  <c r="Z60" i="9"/>
  <c r="AA79" i="5"/>
  <c r="AH60" i="11"/>
  <c r="AH60" i="10"/>
  <c r="AH60" i="9"/>
  <c r="AI79" i="5"/>
  <c r="R61" i="11"/>
  <c r="R61" i="10"/>
  <c r="R61" i="9"/>
  <c r="S150" i="5"/>
  <c r="Z61" i="11"/>
  <c r="Z61" i="10"/>
  <c r="Z61" i="9"/>
  <c r="AA150" i="5"/>
  <c r="AH61" i="11"/>
  <c r="AH61" i="10"/>
  <c r="AH61" i="9"/>
  <c r="AI150" i="5"/>
  <c r="R62" i="11"/>
  <c r="R62" i="10"/>
  <c r="R62" i="9"/>
  <c r="Z62" i="11"/>
  <c r="Z62" i="10"/>
  <c r="Z62" i="9"/>
  <c r="AA108" i="5"/>
  <c r="AH62" i="11"/>
  <c r="AH62" i="10"/>
  <c r="AH62" i="9"/>
  <c r="AI108" i="5"/>
  <c r="R63" i="11"/>
  <c r="R63" i="10"/>
  <c r="R63" i="9"/>
  <c r="S87" i="5"/>
  <c r="Z63" i="11"/>
  <c r="Z63" i="10"/>
  <c r="Z63" i="9"/>
  <c r="AA87" i="5"/>
  <c r="AH63" i="11"/>
  <c r="AH63" i="10"/>
  <c r="AH63" i="9"/>
  <c r="AI87" i="5"/>
  <c r="R64" i="11"/>
  <c r="R64" i="10"/>
  <c r="R64" i="9"/>
  <c r="S151" i="5"/>
  <c r="Z64" i="11"/>
  <c r="Z64" i="10"/>
  <c r="Z64" i="9"/>
  <c r="AA151" i="5"/>
  <c r="AH64" i="11"/>
  <c r="AH64" i="10"/>
  <c r="AH64" i="9"/>
  <c r="AI151" i="5"/>
  <c r="R65" i="11"/>
  <c r="R65" i="10"/>
  <c r="R65" i="9"/>
  <c r="S122" i="5"/>
  <c r="Z65" i="11"/>
  <c r="Z65" i="10"/>
  <c r="Z65" i="9"/>
  <c r="AA122" i="5"/>
  <c r="AH65" i="11"/>
  <c r="AH65" i="10"/>
  <c r="AH65" i="9"/>
  <c r="AI122" i="5"/>
  <c r="R66" i="11"/>
  <c r="R66" i="10"/>
  <c r="R66" i="9"/>
  <c r="S109" i="5"/>
  <c r="Z66" i="11"/>
  <c r="Z66" i="10"/>
  <c r="Z66" i="9"/>
  <c r="AA109" i="5"/>
  <c r="AH66" i="11"/>
  <c r="AH66" i="10"/>
  <c r="AH66" i="9"/>
  <c r="AI109" i="5"/>
  <c r="P68" i="11"/>
  <c r="P68" i="10"/>
  <c r="P68" i="9"/>
  <c r="Q69" i="5"/>
  <c r="X68" i="11"/>
  <c r="X68" i="10"/>
  <c r="X68" i="9"/>
  <c r="Y69" i="5"/>
  <c r="AF68" i="11"/>
  <c r="AF68" i="10"/>
  <c r="AF68" i="9"/>
  <c r="AG69" i="5"/>
  <c r="P69" i="11"/>
  <c r="P69" i="10"/>
  <c r="P69" i="9"/>
  <c r="Q152" i="5"/>
  <c r="X69" i="11"/>
  <c r="X69" i="10"/>
  <c r="X69" i="9"/>
  <c r="Y152" i="5"/>
  <c r="AF69" i="11"/>
  <c r="AF69" i="10"/>
  <c r="AF69" i="9"/>
  <c r="AG152" i="5"/>
  <c r="P70" i="11"/>
  <c r="P70" i="10"/>
  <c r="P70" i="9"/>
  <c r="Q88" i="5"/>
  <c r="X70" i="11"/>
  <c r="X70" i="10"/>
  <c r="X70" i="9"/>
  <c r="Y88" i="5"/>
  <c r="AF70" i="11"/>
  <c r="AF70" i="10"/>
  <c r="AF70" i="9"/>
  <c r="AG88" i="5"/>
  <c r="P71" i="11"/>
  <c r="P71" i="10"/>
  <c r="P71" i="9"/>
  <c r="Q24" i="5"/>
  <c r="X71" i="11"/>
  <c r="X71" i="10"/>
  <c r="X71" i="9"/>
  <c r="Y24" i="5"/>
  <c r="AF71" i="11"/>
  <c r="AF71" i="10"/>
  <c r="AF71" i="9"/>
  <c r="AG24" i="5"/>
  <c r="P72" i="11"/>
  <c r="P72" i="10"/>
  <c r="P72" i="9"/>
  <c r="Q153" i="5"/>
  <c r="X72" i="11"/>
  <c r="X72" i="10"/>
  <c r="X72" i="9"/>
  <c r="Y153" i="5"/>
  <c r="AF72" i="11"/>
  <c r="AF72" i="10"/>
  <c r="AF72" i="9"/>
  <c r="AG153" i="5"/>
  <c r="P73" i="11"/>
  <c r="P73" i="10"/>
  <c r="P73" i="9"/>
  <c r="Q70" i="5"/>
  <c r="X73" i="11"/>
  <c r="X73" i="10"/>
  <c r="X73" i="9"/>
  <c r="Y70" i="5"/>
  <c r="AF73" i="11"/>
  <c r="AF73" i="10"/>
  <c r="AF73" i="9"/>
  <c r="AG70" i="5"/>
  <c r="P74" i="11"/>
  <c r="P74" i="10"/>
  <c r="P74" i="9"/>
  <c r="Q89" i="5"/>
  <c r="X74" i="11"/>
  <c r="X74" i="10"/>
  <c r="X74" i="9"/>
  <c r="Y89" i="5"/>
  <c r="AF74" i="11"/>
  <c r="AF74" i="10"/>
  <c r="AF74" i="9"/>
  <c r="AG89" i="5"/>
  <c r="P75" i="11"/>
  <c r="P75" i="10"/>
  <c r="P75" i="9"/>
  <c r="Q111" i="5"/>
  <c r="X75" i="11"/>
  <c r="X75" i="10"/>
  <c r="X75" i="9"/>
  <c r="Y111" i="5"/>
  <c r="AF75" i="11"/>
  <c r="AF75" i="10"/>
  <c r="AF75" i="9"/>
  <c r="AG111" i="5"/>
  <c r="P76" i="11"/>
  <c r="P76" i="10"/>
  <c r="P76" i="9"/>
  <c r="Q127" i="5"/>
  <c r="X76" i="11"/>
  <c r="X76" i="10"/>
  <c r="X76" i="9"/>
  <c r="Y127" i="5"/>
  <c r="AF76" i="11"/>
  <c r="AF76" i="10"/>
  <c r="AF76" i="9"/>
  <c r="AG127" i="5"/>
  <c r="P77" i="11"/>
  <c r="P77" i="10"/>
  <c r="P77" i="9"/>
  <c r="Q112" i="5"/>
  <c r="X77" i="11"/>
  <c r="X77" i="10"/>
  <c r="X77" i="9"/>
  <c r="Y112" i="5"/>
  <c r="AF77" i="11"/>
  <c r="AF77" i="10"/>
  <c r="AF77" i="9"/>
  <c r="AG112" i="5"/>
  <c r="P78" i="11"/>
  <c r="P78" i="10"/>
  <c r="P78" i="9"/>
  <c r="Q135" i="5"/>
  <c r="X78" i="11"/>
  <c r="X78" i="10"/>
  <c r="X78" i="9"/>
  <c r="Y135" i="5"/>
  <c r="AF78" i="11"/>
  <c r="AF78" i="10"/>
  <c r="AF78" i="9"/>
  <c r="AG135" i="5"/>
  <c r="P79" i="11"/>
  <c r="P79" i="10"/>
  <c r="P79" i="9"/>
  <c r="Q154" i="5"/>
  <c r="X79" i="11"/>
  <c r="X79" i="10"/>
  <c r="X79" i="9"/>
  <c r="Y154" i="5"/>
  <c r="AF79" i="11"/>
  <c r="AF79" i="10"/>
  <c r="AF79" i="9"/>
  <c r="AG154" i="5"/>
  <c r="P80" i="11"/>
  <c r="P80" i="10"/>
  <c r="P80" i="9"/>
  <c r="Q90" i="5"/>
  <c r="X80" i="11"/>
  <c r="X80" i="10"/>
  <c r="X80" i="9"/>
  <c r="Y90" i="5"/>
  <c r="AF80" i="11"/>
  <c r="AF80" i="10"/>
  <c r="AF80" i="9"/>
  <c r="AG90" i="5"/>
  <c r="P81" i="11"/>
  <c r="P81" i="10"/>
  <c r="P81" i="9"/>
  <c r="Q113" i="5"/>
  <c r="X81" i="11"/>
  <c r="X81" i="10"/>
  <c r="X81" i="9"/>
  <c r="Y113" i="5"/>
  <c r="AF81" i="11"/>
  <c r="AF81" i="10"/>
  <c r="AF81" i="9"/>
  <c r="AG113" i="5"/>
  <c r="P82" i="11"/>
  <c r="P82" i="10"/>
  <c r="P82" i="9"/>
  <c r="Q114" i="5"/>
  <c r="X82" i="11"/>
  <c r="X82" i="10"/>
  <c r="X82" i="9"/>
  <c r="Y114" i="5"/>
  <c r="AF82" i="11"/>
  <c r="AF82" i="10"/>
  <c r="AF82" i="9"/>
  <c r="AG114" i="5"/>
  <c r="V84" i="11"/>
  <c r="V84" i="10"/>
  <c r="V84" i="9"/>
  <c r="W124" i="5"/>
  <c r="AD84" i="11"/>
  <c r="AD84" i="10"/>
  <c r="AD84" i="9"/>
  <c r="AE124" i="5"/>
  <c r="V85" i="11"/>
  <c r="V85" i="10"/>
  <c r="V85" i="9"/>
  <c r="W91" i="5"/>
  <c r="AD85" i="11"/>
  <c r="AD85" i="10"/>
  <c r="AD85" i="9"/>
  <c r="AE91" i="5"/>
  <c r="V86" i="11"/>
  <c r="V86" i="10"/>
  <c r="V86" i="9"/>
  <c r="W115" i="5"/>
  <c r="AD86" i="11"/>
  <c r="AD86" i="10"/>
  <c r="AD86" i="9"/>
  <c r="AE115" i="5"/>
  <c r="AN5" i="11"/>
  <c r="AN11" i="11"/>
  <c r="AN23" i="11"/>
  <c r="AN29" i="11"/>
  <c r="AN46" i="11"/>
  <c r="AN25" i="11"/>
  <c r="AN60" i="11"/>
  <c r="AN87" i="11"/>
  <c r="AN67" i="11"/>
  <c r="AN30" i="11"/>
  <c r="AN73" i="11"/>
  <c r="AN59" i="11"/>
  <c r="AN18" i="11"/>
  <c r="AN16" i="11"/>
  <c r="AN22" i="11"/>
  <c r="AN68" i="11"/>
  <c r="AN57" i="11"/>
  <c r="AN28" i="11"/>
  <c r="AN21" i="11"/>
  <c r="AN73" i="10"/>
  <c r="AN59" i="10"/>
  <c r="AN18" i="10"/>
  <c r="AN16" i="10"/>
  <c r="AN22" i="10"/>
  <c r="AN68" i="10"/>
  <c r="AN57" i="10"/>
  <c r="AN28" i="10"/>
  <c r="AN21" i="10"/>
  <c r="AN5" i="10"/>
  <c r="AN11" i="10"/>
  <c r="AN23" i="10"/>
  <c r="AN29" i="10"/>
  <c r="AN46" i="10"/>
  <c r="AN25" i="10"/>
  <c r="AN60" i="10"/>
  <c r="AN87" i="10"/>
  <c r="AN67" i="10"/>
  <c r="AN30" i="10"/>
  <c r="AN60" i="9"/>
  <c r="AN73" i="9"/>
  <c r="AN57" i="9"/>
  <c r="AN25" i="9"/>
  <c r="AN16" i="9"/>
  <c r="AN29" i="9"/>
  <c r="AN68" i="9"/>
  <c r="AN46" i="9"/>
  <c r="AN22" i="9"/>
  <c r="AN11" i="9"/>
  <c r="AN23" i="9"/>
  <c r="AN67" i="9"/>
  <c r="AN30" i="9"/>
  <c r="AN21" i="9"/>
  <c r="AN5" i="9"/>
  <c r="AO75" i="5"/>
  <c r="AO61" i="5"/>
  <c r="AO63" i="5"/>
  <c r="AO66" i="5"/>
  <c r="AN28" i="9"/>
  <c r="AO51" i="5"/>
  <c r="AO53" i="5"/>
  <c r="AO59" i="5"/>
  <c r="AO62" i="5"/>
  <c r="AO67" i="5"/>
  <c r="AO70" i="5"/>
  <c r="AN87" i="9"/>
  <c r="AO48" i="5"/>
  <c r="AO54" i="5"/>
  <c r="AO68" i="5"/>
  <c r="AO71" i="5"/>
  <c r="AN18" i="9"/>
  <c r="AO49" i="5"/>
  <c r="AO52" i="5"/>
  <c r="AO60" i="5"/>
  <c r="AO69" i="5"/>
  <c r="AO72" i="5"/>
  <c r="AO55" i="5"/>
  <c r="AO76" i="5"/>
  <c r="AN59" i="9"/>
  <c r="AO57" i="5"/>
  <c r="AO64" i="5"/>
  <c r="AO65" i="5"/>
  <c r="AO50" i="5"/>
  <c r="AO74" i="5"/>
  <c r="AO58" i="5"/>
  <c r="AO78" i="5"/>
  <c r="AO73" i="5"/>
  <c r="AO77" i="5"/>
  <c r="AO56" i="5"/>
  <c r="AO79" i="5"/>
  <c r="J30" i="3"/>
  <c r="E14" i="4" s="1"/>
  <c r="AM75" i="11"/>
  <c r="AM6" i="11"/>
  <c r="AM35" i="11"/>
  <c r="AM81" i="11"/>
  <c r="AM12" i="11"/>
  <c r="AM82" i="11"/>
  <c r="AM77" i="11"/>
  <c r="AM38" i="11"/>
  <c r="AM86" i="11"/>
  <c r="AM9" i="11"/>
  <c r="AM41" i="11"/>
  <c r="AM27" i="11"/>
  <c r="AM62" i="11"/>
  <c r="AM66" i="11"/>
  <c r="AM84" i="11"/>
  <c r="AM3" i="11"/>
  <c r="AM7" i="11"/>
  <c r="AM65" i="11"/>
  <c r="AM62" i="10"/>
  <c r="AM66" i="10"/>
  <c r="AM84" i="10"/>
  <c r="AM3" i="10"/>
  <c r="AM7" i="10"/>
  <c r="AM65" i="10"/>
  <c r="AM75" i="10"/>
  <c r="AM6" i="10"/>
  <c r="AM35" i="10"/>
  <c r="AM81" i="10"/>
  <c r="AM12" i="10"/>
  <c r="AM82" i="10"/>
  <c r="AM77" i="10"/>
  <c r="AM38" i="10"/>
  <c r="AM86" i="10"/>
  <c r="AM9" i="10"/>
  <c r="AM41" i="10"/>
  <c r="AM27" i="10"/>
  <c r="AM41" i="9"/>
  <c r="AM82" i="9"/>
  <c r="AM84" i="9"/>
  <c r="AM9" i="9"/>
  <c r="AM75" i="9"/>
  <c r="AM27" i="9"/>
  <c r="AM3" i="9"/>
  <c r="AM66" i="9"/>
  <c r="AM12" i="9"/>
  <c r="AM65" i="9"/>
  <c r="AM35" i="9"/>
  <c r="AM86" i="9"/>
  <c r="AM77" i="9"/>
  <c r="AM62" i="9"/>
  <c r="AM7" i="9"/>
  <c r="AM38" i="9"/>
  <c r="AM6" i="9"/>
  <c r="AM81" i="9"/>
  <c r="AN116" i="5"/>
  <c r="AN105" i="5"/>
  <c r="AN118" i="5"/>
  <c r="AN108" i="5"/>
  <c r="AN110" i="5"/>
  <c r="AN102" i="5"/>
  <c r="AN117" i="5"/>
  <c r="AN121" i="5"/>
  <c r="AN111" i="5"/>
  <c r="AN113" i="5"/>
  <c r="AN115" i="5"/>
  <c r="AN103" i="5"/>
  <c r="AN107" i="5"/>
  <c r="AN122" i="5"/>
  <c r="AN114" i="5"/>
  <c r="AN109" i="5"/>
  <c r="AN112" i="5"/>
  <c r="AN101" i="5"/>
  <c r="AN104" i="5"/>
  <c r="AN120" i="5"/>
  <c r="AN123" i="5"/>
  <c r="AN124" i="5"/>
  <c r="AN106" i="5"/>
  <c r="AN119" i="5"/>
  <c r="AP8" i="11"/>
  <c r="AP80" i="11"/>
  <c r="AP55" i="11"/>
  <c r="AP63" i="11"/>
  <c r="AP70" i="11"/>
  <c r="AP85" i="11"/>
  <c r="AP20" i="11"/>
  <c r="AP2" i="11"/>
  <c r="AP24" i="11"/>
  <c r="AP49" i="11"/>
  <c r="AP33" i="11"/>
  <c r="AP34" i="11"/>
  <c r="AP37" i="11"/>
  <c r="AP40" i="11"/>
  <c r="AP74" i="11"/>
  <c r="AP55" i="10"/>
  <c r="AP63" i="10"/>
  <c r="AP70" i="10"/>
  <c r="AP34" i="10"/>
  <c r="AP85" i="10"/>
  <c r="AP20" i="10"/>
  <c r="AP2" i="10"/>
  <c r="AP33" i="10"/>
  <c r="AP8" i="10"/>
  <c r="AP80" i="10"/>
  <c r="AP24" i="10"/>
  <c r="AP40" i="10"/>
  <c r="AP37" i="10"/>
  <c r="AP49" i="10"/>
  <c r="AP74" i="10"/>
  <c r="AP49" i="9"/>
  <c r="AP2" i="9"/>
  <c r="AP70" i="9"/>
  <c r="AP37" i="9"/>
  <c r="AP34" i="9"/>
  <c r="AP85" i="9"/>
  <c r="AP63" i="9"/>
  <c r="AP33" i="9"/>
  <c r="AP24" i="9"/>
  <c r="AP80" i="9"/>
  <c r="AP55" i="9"/>
  <c r="AP8" i="9"/>
  <c r="AP74" i="9"/>
  <c r="AQ91" i="5"/>
  <c r="AQ85" i="5"/>
  <c r="AQ97" i="5"/>
  <c r="AQ87" i="5"/>
  <c r="AQ89" i="5"/>
  <c r="AQ90" i="5"/>
  <c r="AP40" i="9"/>
  <c r="AQ93" i="5"/>
  <c r="AQ83" i="5"/>
  <c r="AQ98" i="5"/>
  <c r="AQ81" i="5"/>
  <c r="AP20" i="9"/>
  <c r="AQ92" i="5"/>
  <c r="AQ95" i="5"/>
  <c r="AQ88" i="5"/>
  <c r="AQ80" i="5"/>
  <c r="AQ94" i="5"/>
  <c r="AQ82" i="5"/>
  <c r="AQ84" i="5"/>
  <c r="AQ96" i="5"/>
  <c r="AQ99" i="5"/>
  <c r="AQ100" i="5"/>
  <c r="AQ86" i="5"/>
  <c r="Q96" i="5"/>
  <c r="R65" i="5"/>
  <c r="R107" i="5"/>
  <c r="R129" i="5"/>
  <c r="T135" i="5"/>
  <c r="U84" i="11"/>
  <c r="U84" i="10"/>
  <c r="U84" i="9"/>
  <c r="V124" i="5"/>
  <c r="AC84" i="11"/>
  <c r="AC84" i="10"/>
  <c r="AC84" i="9"/>
  <c r="AD124" i="5"/>
  <c r="AK84" i="11"/>
  <c r="AK84" i="10"/>
  <c r="AK84" i="9"/>
  <c r="AL124" i="5"/>
  <c r="U85" i="11"/>
  <c r="U85" i="10"/>
  <c r="U85" i="9"/>
  <c r="V91" i="5"/>
  <c r="AC85" i="11"/>
  <c r="AC85" i="10"/>
  <c r="AC85" i="9"/>
  <c r="AD91" i="5"/>
  <c r="AK85" i="11"/>
  <c r="AK85" i="10"/>
  <c r="AK85" i="9"/>
  <c r="AL91" i="5"/>
  <c r="U86" i="11"/>
  <c r="U86" i="10"/>
  <c r="U86" i="9"/>
  <c r="V115" i="5"/>
  <c r="AC86" i="11"/>
  <c r="AC86" i="10"/>
  <c r="AC86" i="9"/>
  <c r="AD115" i="5"/>
  <c r="AK86" i="11"/>
  <c r="AK86" i="10"/>
  <c r="AK86" i="9"/>
  <c r="AL115" i="5"/>
  <c r="U87" i="11"/>
  <c r="U87" i="10"/>
  <c r="U87" i="9"/>
  <c r="V73" i="5"/>
  <c r="AC87" i="11"/>
  <c r="AC87" i="10"/>
  <c r="AC87" i="9"/>
  <c r="AD73" i="5"/>
  <c r="AK87" i="11"/>
  <c r="AK87" i="10"/>
  <c r="AK87" i="9"/>
  <c r="AL73" i="5"/>
  <c r="U88" i="11"/>
  <c r="U88" i="10"/>
  <c r="U88" i="9"/>
  <c r="V157" i="5"/>
  <c r="AC88" i="11"/>
  <c r="AC88" i="10"/>
  <c r="AC88" i="9"/>
  <c r="AD157" i="5"/>
  <c r="AK88" i="11"/>
  <c r="AK88" i="10"/>
  <c r="AK88" i="9"/>
  <c r="AL157" i="5"/>
  <c r="I32" i="3"/>
  <c r="D16" i="4" s="1"/>
  <c r="AT158" i="5" s="1"/>
  <c r="AO63" i="11"/>
  <c r="AO70" i="11"/>
  <c r="AO34" i="11"/>
  <c r="AO24" i="11"/>
  <c r="AO49" i="11"/>
  <c r="AO33" i="11"/>
  <c r="AO8" i="11"/>
  <c r="AO80" i="11"/>
  <c r="AO2" i="11"/>
  <c r="AO20" i="11"/>
  <c r="AO40" i="11"/>
  <c r="AO37" i="11"/>
  <c r="AO85" i="11"/>
  <c r="AO55" i="11"/>
  <c r="AO74" i="11"/>
  <c r="AO85" i="10"/>
  <c r="AO20" i="10"/>
  <c r="AO2" i="10"/>
  <c r="AO24" i="10"/>
  <c r="AO8" i="10"/>
  <c r="AO37" i="10"/>
  <c r="AO70" i="10"/>
  <c r="AO49" i="10"/>
  <c r="AO33" i="10"/>
  <c r="AO55" i="10"/>
  <c r="AO63" i="10"/>
  <c r="AO74" i="10"/>
  <c r="AO80" i="10"/>
  <c r="AO40" i="10"/>
  <c r="AO34" i="10"/>
  <c r="AO49" i="9"/>
  <c r="AO2" i="9"/>
  <c r="AO70" i="9"/>
  <c r="AO37" i="9"/>
  <c r="AO34" i="9"/>
  <c r="AO85" i="9"/>
  <c r="AO63" i="9"/>
  <c r="AO33" i="9"/>
  <c r="AO24" i="9"/>
  <c r="AO80" i="9"/>
  <c r="AO55" i="9"/>
  <c r="AO8" i="9"/>
  <c r="AO20" i="9"/>
  <c r="AO74" i="9"/>
  <c r="AO40" i="9"/>
  <c r="AP93" i="5"/>
  <c r="AP83" i="5"/>
  <c r="AP98" i="5"/>
  <c r="AP92" i="5"/>
  <c r="AP95" i="5"/>
  <c r="AP88" i="5"/>
  <c r="AP80" i="5"/>
  <c r="AP94" i="5"/>
  <c r="AP82" i="5"/>
  <c r="AP84" i="5"/>
  <c r="AP96" i="5"/>
  <c r="AP99" i="5"/>
  <c r="AP100" i="5"/>
  <c r="AP91" i="5"/>
  <c r="AP86" i="5"/>
  <c r="AP85" i="5"/>
  <c r="AP97" i="5"/>
  <c r="AP87" i="5"/>
  <c r="AP89" i="5"/>
  <c r="AP90" i="5"/>
  <c r="AP81" i="5"/>
  <c r="AP36" i="11"/>
  <c r="AP17" i="11"/>
  <c r="AP48" i="11"/>
  <c r="AP14" i="11"/>
  <c r="AP52" i="11"/>
  <c r="AP64" i="11"/>
  <c r="AP69" i="11"/>
  <c r="AP56" i="11"/>
  <c r="AP88" i="11"/>
  <c r="AP72" i="11"/>
  <c r="AP83" i="11"/>
  <c r="AP76" i="11"/>
  <c r="AP15" i="11"/>
  <c r="AP26" i="11"/>
  <c r="AP54" i="11"/>
  <c r="AP42" i="11"/>
  <c r="AP47" i="11"/>
  <c r="AP39" i="11"/>
  <c r="AP58" i="11"/>
  <c r="AP79" i="11"/>
  <c r="AP32" i="11"/>
  <c r="AP44" i="11"/>
  <c r="AP61" i="11"/>
  <c r="AP17" i="10"/>
  <c r="AP48" i="10"/>
  <c r="AP52" i="10"/>
  <c r="AP64" i="10"/>
  <c r="AP69" i="10"/>
  <c r="AP61" i="10"/>
  <c r="AP56" i="10"/>
  <c r="AP88" i="10"/>
  <c r="AP72" i="10"/>
  <c r="AP15" i="10"/>
  <c r="AP26" i="10"/>
  <c r="AP54" i="10"/>
  <c r="AP42" i="10"/>
  <c r="AP47" i="10"/>
  <c r="AP39" i="10"/>
  <c r="AP58" i="10"/>
  <c r="AP36" i="10"/>
  <c r="AP32" i="10"/>
  <c r="AP83" i="10"/>
  <c r="AP44" i="10"/>
  <c r="AP76" i="10"/>
  <c r="AP14" i="10"/>
  <c r="AP79" i="10"/>
  <c r="AP88" i="9"/>
  <c r="AP69" i="9"/>
  <c r="AP56" i="9"/>
  <c r="AP47" i="9"/>
  <c r="AP36" i="9"/>
  <c r="AP14" i="9"/>
  <c r="AP32" i="9"/>
  <c r="AP83" i="9"/>
  <c r="AP64" i="9"/>
  <c r="AP54" i="9"/>
  <c r="AP44" i="9"/>
  <c r="AP26" i="9"/>
  <c r="AP79" i="9"/>
  <c r="AP61" i="9"/>
  <c r="AP52" i="9"/>
  <c r="AP42" i="9"/>
  <c r="AP17" i="9"/>
  <c r="AP72" i="9"/>
  <c r="AP58" i="9"/>
  <c r="AP48" i="9"/>
  <c r="AP39" i="9"/>
  <c r="AP15" i="9"/>
  <c r="AP76" i="9"/>
  <c r="AQ147" i="5"/>
  <c r="AQ150" i="5"/>
  <c r="AQ154" i="5"/>
  <c r="AQ137" i="5"/>
  <c r="AQ140" i="5"/>
  <c r="AQ153" i="5"/>
  <c r="AQ125" i="5"/>
  <c r="AQ146" i="5"/>
  <c r="AQ148" i="5"/>
  <c r="AQ151" i="5"/>
  <c r="AQ152" i="5"/>
  <c r="AQ127" i="5"/>
  <c r="AQ156" i="5"/>
  <c r="AQ136" i="5"/>
  <c r="AQ139" i="5"/>
  <c r="AQ141" i="5"/>
  <c r="AQ144" i="5"/>
  <c r="AQ149" i="5"/>
  <c r="AQ155" i="5"/>
  <c r="AQ138" i="5"/>
  <c r="AQ142" i="5"/>
  <c r="AQ145" i="5"/>
  <c r="AQ126" i="5"/>
  <c r="AQ157" i="5"/>
  <c r="AQ143" i="5"/>
  <c r="W87" i="11"/>
  <c r="W87" i="10"/>
  <c r="W87" i="9"/>
  <c r="X73" i="5"/>
  <c r="AE87" i="11"/>
  <c r="AE87" i="10"/>
  <c r="AE87" i="9"/>
  <c r="AF73" i="5"/>
  <c r="W88" i="11"/>
  <c r="W88" i="10"/>
  <c r="W88" i="9"/>
  <c r="X157" i="5"/>
  <c r="AE88" i="11"/>
  <c r="AE88" i="10"/>
  <c r="AE88" i="9"/>
  <c r="AF157" i="5"/>
  <c r="AM45" i="11"/>
  <c r="AM4" i="11"/>
  <c r="AM71" i="11"/>
  <c r="AM53" i="11"/>
  <c r="AM13" i="11"/>
  <c r="AM51" i="11"/>
  <c r="AM53" i="10"/>
  <c r="AM13" i="10"/>
  <c r="AM51" i="10"/>
  <c r="AM45" i="10"/>
  <c r="AM4" i="10"/>
  <c r="AM71" i="10"/>
  <c r="AM71" i="9"/>
  <c r="AM4" i="9"/>
  <c r="AM53" i="9"/>
  <c r="AM45" i="9"/>
  <c r="AM51" i="9"/>
  <c r="AM13" i="9"/>
  <c r="AN10" i="5"/>
  <c r="AN13" i="5"/>
  <c r="AN36" i="5"/>
  <c r="AN16" i="5"/>
  <c r="AN45" i="5"/>
  <c r="AN47" i="5"/>
  <c r="AN4" i="5"/>
  <c r="AN29" i="5"/>
  <c r="AN20" i="5"/>
  <c r="AN6" i="5"/>
  <c r="AN9" i="5"/>
  <c r="AN35" i="5"/>
  <c r="AN14" i="5"/>
  <c r="AN17" i="5"/>
  <c r="AN23" i="5"/>
  <c r="AN42" i="5"/>
  <c r="AN31" i="5"/>
  <c r="AN15" i="5"/>
  <c r="AN38" i="5"/>
  <c r="AN43" i="5"/>
  <c r="AN7" i="5"/>
  <c r="AN11" i="5"/>
  <c r="AN21" i="5"/>
  <c r="AN24" i="5"/>
  <c r="AN44" i="5"/>
  <c r="AN2" i="5"/>
  <c r="AN28" i="5"/>
  <c r="AN30" i="5"/>
  <c r="AN12" i="5"/>
  <c r="AN22" i="5"/>
  <c r="AN41" i="5"/>
  <c r="AN25" i="5"/>
  <c r="AN27" i="5"/>
  <c r="AN3" i="5"/>
  <c r="AN8" i="5"/>
  <c r="AN32" i="5"/>
  <c r="AN37" i="5"/>
  <c r="AN18" i="5"/>
  <c r="AN39" i="5"/>
  <c r="AN26" i="5"/>
  <c r="AN46" i="5"/>
  <c r="AN5" i="5"/>
  <c r="AN19" i="5"/>
  <c r="AN40" i="5"/>
  <c r="AN33" i="5"/>
  <c r="AN34" i="5"/>
  <c r="AN85" i="11"/>
  <c r="AN20" i="11"/>
  <c r="AN2" i="11"/>
  <c r="AN24" i="11"/>
  <c r="AN49" i="11"/>
  <c r="AN33" i="11"/>
  <c r="AN8" i="11"/>
  <c r="AN80" i="11"/>
  <c r="AN37" i="11"/>
  <c r="AN40" i="11"/>
  <c r="AN74" i="11"/>
  <c r="AN55" i="11"/>
  <c r="AN63" i="11"/>
  <c r="AN70" i="11"/>
  <c r="AN34" i="11"/>
  <c r="AN80" i="10"/>
  <c r="AN8" i="10"/>
  <c r="AN40" i="10"/>
  <c r="AN74" i="10"/>
  <c r="AN37" i="10"/>
  <c r="AN55" i="10"/>
  <c r="AN63" i="10"/>
  <c r="AN70" i="10"/>
  <c r="AN34" i="10"/>
  <c r="AN85" i="10"/>
  <c r="AN20" i="10"/>
  <c r="AN2" i="10"/>
  <c r="AN24" i="10"/>
  <c r="AN49" i="10"/>
  <c r="AN33" i="10"/>
  <c r="AN20" i="9"/>
  <c r="AN74" i="9"/>
  <c r="AN40" i="9"/>
  <c r="AN49" i="9"/>
  <c r="AN2" i="9"/>
  <c r="AN70" i="9"/>
  <c r="AN37" i="9"/>
  <c r="AN34" i="9"/>
  <c r="AN85" i="9"/>
  <c r="AN63" i="9"/>
  <c r="AN33" i="9"/>
  <c r="AN8" i="9"/>
  <c r="AO80" i="5"/>
  <c r="AN80" i="9"/>
  <c r="AO91" i="5"/>
  <c r="AO86" i="5"/>
  <c r="AO85" i="5"/>
  <c r="AO97" i="5"/>
  <c r="AO87" i="5"/>
  <c r="AO89" i="5"/>
  <c r="AO90" i="5"/>
  <c r="AN55" i="9"/>
  <c r="AO93" i="5"/>
  <c r="AO83" i="5"/>
  <c r="AO98" i="5"/>
  <c r="AO81" i="5"/>
  <c r="AN24" i="9"/>
  <c r="AO92" i="5"/>
  <c r="AO95" i="5"/>
  <c r="AO88" i="5"/>
  <c r="AO82" i="5"/>
  <c r="AO99" i="5"/>
  <c r="AO84" i="5"/>
  <c r="AO96" i="5"/>
  <c r="AO100" i="5"/>
  <c r="AO94" i="5"/>
  <c r="Z80" i="11"/>
  <c r="Z80" i="10"/>
  <c r="Z80" i="9"/>
  <c r="AA90" i="5"/>
  <c r="AH80" i="11"/>
  <c r="AH80" i="10"/>
  <c r="AH80" i="9"/>
  <c r="AI90" i="5"/>
  <c r="R81" i="11"/>
  <c r="R81" i="10"/>
  <c r="R81" i="9"/>
  <c r="Z81" i="11"/>
  <c r="Z81" i="10"/>
  <c r="Z81" i="9"/>
  <c r="AA113" i="5"/>
  <c r="AH81" i="11"/>
  <c r="AH81" i="10"/>
  <c r="AH81" i="9"/>
  <c r="AI113" i="5"/>
  <c r="R82" i="11"/>
  <c r="R82" i="10"/>
  <c r="R82" i="9"/>
  <c r="Z82" i="11"/>
  <c r="Z82" i="10"/>
  <c r="Z82" i="9"/>
  <c r="AA114" i="5"/>
  <c r="AH82" i="11"/>
  <c r="AH82" i="10"/>
  <c r="AH82" i="9"/>
  <c r="AI114" i="5"/>
  <c r="P84" i="11"/>
  <c r="P84" i="10"/>
  <c r="P84" i="9"/>
  <c r="X84" i="11"/>
  <c r="X84" i="10"/>
  <c r="X84" i="9"/>
  <c r="Y124" i="5"/>
  <c r="AF84" i="11"/>
  <c r="AF84" i="10"/>
  <c r="AF84" i="9"/>
  <c r="AG124" i="5"/>
  <c r="P85" i="11"/>
  <c r="P85" i="10"/>
  <c r="P85" i="9"/>
  <c r="X85" i="11"/>
  <c r="X85" i="10"/>
  <c r="X85" i="9"/>
  <c r="Y91" i="5"/>
  <c r="AF85" i="11"/>
  <c r="AF85" i="10"/>
  <c r="AF85" i="9"/>
  <c r="AG91" i="5"/>
  <c r="P86" i="11"/>
  <c r="P86" i="10"/>
  <c r="P86" i="9"/>
  <c r="X86" i="11"/>
  <c r="X86" i="10"/>
  <c r="X86" i="9"/>
  <c r="Y115" i="5"/>
  <c r="AF86" i="11"/>
  <c r="AF86" i="10"/>
  <c r="AF86" i="9"/>
  <c r="AG115" i="5"/>
  <c r="P87" i="11"/>
  <c r="P87" i="10"/>
  <c r="P87" i="9"/>
  <c r="X87" i="11"/>
  <c r="X87" i="10"/>
  <c r="X87" i="9"/>
  <c r="Y73" i="5"/>
  <c r="AF87" i="11"/>
  <c r="AF87" i="10"/>
  <c r="AF87" i="9"/>
  <c r="AG73" i="5"/>
  <c r="P88" i="11"/>
  <c r="P88" i="10"/>
  <c r="P88" i="9"/>
  <c r="X88" i="11"/>
  <c r="X88" i="10"/>
  <c r="X88" i="9"/>
  <c r="Y157" i="5"/>
  <c r="AF88" i="11"/>
  <c r="AF88" i="10"/>
  <c r="AF88" i="9"/>
  <c r="AG157" i="5"/>
  <c r="Q73" i="5"/>
  <c r="S81" i="11"/>
  <c r="S81" i="10"/>
  <c r="S81" i="9"/>
  <c r="AA81" i="11"/>
  <c r="AA81" i="10"/>
  <c r="AA81" i="9"/>
  <c r="AB113" i="5"/>
  <c r="AI81" i="11"/>
  <c r="AI81" i="10"/>
  <c r="AI81" i="9"/>
  <c r="AJ113" i="5"/>
  <c r="S82" i="11"/>
  <c r="S82" i="10"/>
  <c r="S82" i="9"/>
  <c r="AA82" i="11"/>
  <c r="AA82" i="10"/>
  <c r="AA82" i="9"/>
  <c r="AB114" i="5"/>
  <c r="AI82" i="11"/>
  <c r="AI82" i="10"/>
  <c r="AI82" i="9"/>
  <c r="AJ114" i="5"/>
  <c r="Q84" i="11"/>
  <c r="Q84" i="10"/>
  <c r="Q84" i="9"/>
  <c r="Y84" i="11"/>
  <c r="Y84" i="10"/>
  <c r="Y84" i="9"/>
  <c r="Z124" i="5"/>
  <c r="AG84" i="11"/>
  <c r="AG84" i="10"/>
  <c r="AG84" i="9"/>
  <c r="AH124" i="5"/>
  <c r="Q85" i="11"/>
  <c r="Q85" i="10"/>
  <c r="Q85" i="9"/>
  <c r="Y85" i="11"/>
  <c r="Y85" i="10"/>
  <c r="Y85" i="9"/>
  <c r="Z91" i="5"/>
  <c r="AG85" i="11"/>
  <c r="AG85" i="10"/>
  <c r="AG85" i="9"/>
  <c r="AH91" i="5"/>
  <c r="Q86" i="11"/>
  <c r="Q86" i="10"/>
  <c r="Q86" i="9"/>
  <c r="Y86" i="11"/>
  <c r="Y86" i="10"/>
  <c r="Y86" i="9"/>
  <c r="Z115" i="5"/>
  <c r="AG86" i="11"/>
  <c r="AG86" i="10"/>
  <c r="AG86" i="9"/>
  <c r="AH115" i="5"/>
  <c r="Q87" i="11"/>
  <c r="Q87" i="10"/>
  <c r="Q87" i="9"/>
  <c r="Y87" i="11"/>
  <c r="Y87" i="10"/>
  <c r="Y87" i="9"/>
  <c r="Z73" i="5"/>
  <c r="AG87" i="11"/>
  <c r="AG87" i="10"/>
  <c r="AG87" i="9"/>
  <c r="AH73" i="5"/>
  <c r="Q88" i="11"/>
  <c r="Q88" i="10"/>
  <c r="Q88" i="9"/>
  <c r="Y88" i="11"/>
  <c r="Y88" i="10"/>
  <c r="Y88" i="9"/>
  <c r="Z157" i="5"/>
  <c r="AG88" i="11"/>
  <c r="AG88" i="10"/>
  <c r="AG88" i="9"/>
  <c r="AH157" i="5"/>
  <c r="J27" i="3"/>
  <c r="E11" i="4" s="1"/>
  <c r="J32" i="3"/>
  <c r="E16" i="4" s="1"/>
  <c r="AU158" i="5" s="1"/>
  <c r="T113" i="5"/>
  <c r="AJ82" i="11"/>
  <c r="AJ82" i="10"/>
  <c r="AJ82" i="9"/>
  <c r="AK114" i="5"/>
  <c r="R84" i="11"/>
  <c r="R84" i="10"/>
  <c r="R84" i="9"/>
  <c r="Z84" i="11"/>
  <c r="Z84" i="10"/>
  <c r="Z84" i="9"/>
  <c r="AA124" i="5"/>
  <c r="AH84" i="11"/>
  <c r="AH84" i="10"/>
  <c r="AH84" i="9"/>
  <c r="AI124" i="5"/>
  <c r="R85" i="11"/>
  <c r="R85" i="10"/>
  <c r="R85" i="9"/>
  <c r="Z85" i="11"/>
  <c r="Z85" i="10"/>
  <c r="Z85" i="9"/>
  <c r="AA91" i="5"/>
  <c r="AH85" i="11"/>
  <c r="AH85" i="10"/>
  <c r="AH85" i="9"/>
  <c r="AI91" i="5"/>
  <c r="R86" i="11"/>
  <c r="R86" i="10"/>
  <c r="R86" i="9"/>
  <c r="Z86" i="11"/>
  <c r="Z86" i="10"/>
  <c r="Z86" i="9"/>
  <c r="AA115" i="5"/>
  <c r="AH86" i="11"/>
  <c r="AH86" i="10"/>
  <c r="AH86" i="9"/>
  <c r="AI115" i="5"/>
  <c r="R87" i="11"/>
  <c r="R87" i="10"/>
  <c r="R87" i="9"/>
  <c r="Z87" i="11"/>
  <c r="Z87" i="10"/>
  <c r="Z87" i="9"/>
  <c r="AA73" i="5"/>
  <c r="AH87" i="11"/>
  <c r="AH87" i="10"/>
  <c r="AH87" i="9"/>
  <c r="AI73" i="5"/>
  <c r="R88" i="11"/>
  <c r="R88" i="10"/>
  <c r="R88" i="9"/>
  <c r="Z88" i="11"/>
  <c r="Z88" i="10"/>
  <c r="Z88" i="9"/>
  <c r="AA157" i="5"/>
  <c r="AH88" i="11"/>
  <c r="AH88" i="10"/>
  <c r="AH88" i="9"/>
  <c r="AI157" i="5"/>
  <c r="AL4" i="11"/>
  <c r="AL71" i="11"/>
  <c r="AL53" i="11"/>
  <c r="AL13" i="11"/>
  <c r="AL51" i="11"/>
  <c r="AL45" i="11"/>
  <c r="AL13" i="10"/>
  <c r="AL51" i="10"/>
  <c r="AL45" i="10"/>
  <c r="AL4" i="10"/>
  <c r="AL71" i="10"/>
  <c r="AL53" i="10"/>
  <c r="AL51" i="9"/>
  <c r="AL13" i="9"/>
  <c r="AL71" i="9"/>
  <c r="AL4" i="9"/>
  <c r="AL53" i="9"/>
  <c r="AM29" i="5"/>
  <c r="AM31" i="5"/>
  <c r="AM34" i="5"/>
  <c r="AM14" i="5"/>
  <c r="AM37" i="5"/>
  <c r="AM18" i="5"/>
  <c r="AM26" i="5"/>
  <c r="AM4" i="5"/>
  <c r="AM32" i="5"/>
  <c r="AM35" i="5"/>
  <c r="AM19" i="5"/>
  <c r="AM41" i="5"/>
  <c r="AM2" i="5"/>
  <c r="AM7" i="5"/>
  <c r="AM20" i="5"/>
  <c r="AL45" i="9"/>
  <c r="AM3" i="5"/>
  <c r="AM30" i="5"/>
  <c r="AM33" i="5"/>
  <c r="AM11" i="5"/>
  <c r="AM17" i="5"/>
  <c r="AM21" i="5"/>
  <c r="AM23" i="5"/>
  <c r="AM42" i="5"/>
  <c r="AM44" i="5"/>
  <c r="AM46" i="5"/>
  <c r="AM28" i="5"/>
  <c r="AM8" i="5"/>
  <c r="AM12" i="5"/>
  <c r="AM38" i="5"/>
  <c r="AM22" i="5"/>
  <c r="AM43" i="5"/>
  <c r="AM47" i="5"/>
  <c r="AM24" i="5"/>
  <c r="AM27" i="5"/>
  <c r="AM5" i="5"/>
  <c r="AM9" i="5"/>
  <c r="AM10" i="5"/>
  <c r="AM13" i="5"/>
  <c r="AM39" i="5"/>
  <c r="AM25" i="5"/>
  <c r="AM45" i="5"/>
  <c r="AM16" i="5"/>
  <c r="AM40" i="5"/>
  <c r="AM6" i="5"/>
  <c r="AM15" i="5"/>
  <c r="AM36" i="5"/>
  <c r="AN7" i="11"/>
  <c r="AN65" i="11"/>
  <c r="AN75" i="11"/>
  <c r="AN6" i="11"/>
  <c r="AN35" i="11"/>
  <c r="AN81" i="11"/>
  <c r="AN12" i="11"/>
  <c r="AN82" i="11"/>
  <c r="AN77" i="11"/>
  <c r="AN38" i="11"/>
  <c r="AN86" i="11"/>
  <c r="AN9" i="11"/>
  <c r="AN41" i="11"/>
  <c r="AN27" i="11"/>
  <c r="AN62" i="11"/>
  <c r="AN66" i="11"/>
  <c r="AN84" i="11"/>
  <c r="AN3" i="11"/>
  <c r="AN75" i="10"/>
  <c r="AN86" i="10"/>
  <c r="AN9" i="10"/>
  <c r="AN41" i="10"/>
  <c r="AN27" i="10"/>
  <c r="AN62" i="10"/>
  <c r="AN66" i="10"/>
  <c r="AN84" i="10"/>
  <c r="AN3" i="10"/>
  <c r="AN65" i="10"/>
  <c r="AN7" i="10"/>
  <c r="AN6" i="10"/>
  <c r="AN35" i="10"/>
  <c r="AN81" i="10"/>
  <c r="AN12" i="10"/>
  <c r="AN82" i="10"/>
  <c r="AN77" i="10"/>
  <c r="AN38" i="10"/>
  <c r="AN41" i="9"/>
  <c r="AN35" i="9"/>
  <c r="AN81" i="9"/>
  <c r="AN84" i="9"/>
  <c r="AN9" i="9"/>
  <c r="AN65" i="9"/>
  <c r="AN86" i="9"/>
  <c r="AN75" i="9"/>
  <c r="AN27" i="9"/>
  <c r="AN3" i="9"/>
  <c r="AN66" i="9"/>
  <c r="AN12" i="9"/>
  <c r="AN77" i="9"/>
  <c r="AN62" i="9"/>
  <c r="AN7" i="9"/>
  <c r="AN82" i="9"/>
  <c r="AO101" i="5"/>
  <c r="AO104" i="5"/>
  <c r="AO120" i="5"/>
  <c r="AO123" i="5"/>
  <c r="AN38" i="9"/>
  <c r="AO106" i="5"/>
  <c r="AO119" i="5"/>
  <c r="AO116" i="5"/>
  <c r="AO105" i="5"/>
  <c r="AO118" i="5"/>
  <c r="AO108" i="5"/>
  <c r="AO110" i="5"/>
  <c r="AN6" i="9"/>
  <c r="AO102" i="5"/>
  <c r="AO117" i="5"/>
  <c r="AO121" i="5"/>
  <c r="AO111" i="5"/>
  <c r="AO113" i="5"/>
  <c r="AO115" i="5"/>
  <c r="AO103" i="5"/>
  <c r="AO107" i="5"/>
  <c r="AO122" i="5"/>
  <c r="AO114" i="5"/>
  <c r="AO109" i="5"/>
  <c r="AO112" i="5"/>
  <c r="AO124" i="5"/>
  <c r="Q115" i="5"/>
  <c r="R91" i="5"/>
  <c r="S73" i="5"/>
  <c r="R124" i="5"/>
  <c r="S114" i="5"/>
  <c r="R157" i="5"/>
  <c r="S115" i="5"/>
  <c r="S113" i="5"/>
  <c r="E3" i="8"/>
  <c r="C4" i="8"/>
  <c r="J67" i="9" s="1"/>
  <c r="B2" i="8"/>
  <c r="C5" i="8"/>
  <c r="D8" i="8"/>
  <c r="D7" i="8"/>
  <c r="E2" i="8"/>
  <c r="C12" i="8"/>
  <c r="E10" i="8"/>
  <c r="B9" i="8"/>
  <c r="B8" i="8"/>
  <c r="C11" i="8"/>
  <c r="C3" i="8"/>
  <c r="D6" i="8"/>
  <c r="E9" i="8"/>
  <c r="B7" i="8"/>
  <c r="C10" i="8"/>
  <c r="C2" i="8"/>
  <c r="D5" i="8"/>
  <c r="E8" i="8"/>
  <c r="B6" i="8"/>
  <c r="C9" i="8"/>
  <c r="D12" i="8"/>
  <c r="D4" i="8"/>
  <c r="E7" i="8"/>
  <c r="B5" i="8"/>
  <c r="C8" i="8"/>
  <c r="D11" i="8"/>
  <c r="D3" i="8"/>
  <c r="E6" i="8"/>
  <c r="B12" i="8"/>
  <c r="B4" i="8"/>
  <c r="C7" i="8"/>
  <c r="D10" i="8"/>
  <c r="D2" i="8"/>
  <c r="E5" i="8"/>
  <c r="B11" i="8"/>
  <c r="B3" i="8"/>
  <c r="C6" i="8"/>
  <c r="D9" i="8"/>
  <c r="E12" i="8"/>
  <c r="E4" i="8"/>
  <c r="B10" i="8"/>
  <c r="E11" i="8"/>
  <c r="AM65" i="5"/>
  <c r="AM64" i="5"/>
  <c r="AM57" i="5"/>
  <c r="AM76" i="5"/>
  <c r="AM55" i="5"/>
  <c r="AM72" i="5"/>
  <c r="AM69" i="5"/>
  <c r="AM60" i="5"/>
  <c r="AM52" i="5"/>
  <c r="AM49" i="5"/>
  <c r="AM71" i="5"/>
  <c r="AM68" i="5"/>
  <c r="AM54" i="5"/>
  <c r="AM48" i="5"/>
  <c r="AM70" i="5"/>
  <c r="AM67" i="5"/>
  <c r="AM62" i="5"/>
  <c r="AM59" i="5"/>
  <c r="AM53" i="5"/>
  <c r="AM51" i="5"/>
  <c r="AM79" i="5"/>
  <c r="AM77" i="5"/>
  <c r="AM56" i="5"/>
  <c r="AM66" i="5"/>
  <c r="AM63" i="5"/>
  <c r="AM61" i="5"/>
  <c r="AM75" i="5"/>
  <c r="AM73" i="5"/>
  <c r="AM78" i="5"/>
  <c r="AM58" i="5"/>
  <c r="AM74" i="5"/>
  <c r="I27" i="3"/>
  <c r="D11" i="4" s="1"/>
  <c r="K28" i="3"/>
  <c r="F12" i="4" s="1"/>
  <c r="G30" i="3"/>
  <c r="B14" i="4" s="1"/>
  <c r="I31" i="3"/>
  <c r="D15" i="4" s="1"/>
  <c r="K32" i="3"/>
  <c r="F16" i="4" s="1"/>
  <c r="AV158" i="5" s="1"/>
  <c r="K27" i="3"/>
  <c r="F11" i="4" s="1"/>
  <c r="G29" i="3"/>
  <c r="B13" i="4" s="1"/>
  <c r="I30" i="3"/>
  <c r="D14" i="4" s="1"/>
  <c r="K31" i="3"/>
  <c r="F15" i="4" s="1"/>
  <c r="H29" i="3"/>
  <c r="C13" i="4" s="1"/>
  <c r="G28" i="3"/>
  <c r="B12" i="4" s="1"/>
  <c r="I29" i="3"/>
  <c r="D13" i="4" s="1"/>
  <c r="G32" i="3"/>
  <c r="B16" i="4" s="1"/>
  <c r="AR158" i="5" s="1"/>
  <c r="H28" i="3"/>
  <c r="C12" i="4" s="1"/>
  <c r="J29" i="3"/>
  <c r="E13" i="4" s="1"/>
  <c r="G27" i="3"/>
  <c r="B11" i="4" s="1"/>
  <c r="I28" i="3"/>
  <c r="D12" i="4" s="1"/>
  <c r="G31" i="3"/>
  <c r="B15" i="4" s="1"/>
  <c r="D8" i="15" l="1"/>
  <c r="D8" i="14"/>
  <c r="AV69" i="5"/>
  <c r="AU63" i="9"/>
  <c r="AV94" i="5"/>
  <c r="AU16" i="11"/>
  <c r="AV88" i="5"/>
  <c r="AV87" i="5"/>
  <c r="AU40" i="9"/>
  <c r="AU80" i="10"/>
  <c r="AU2" i="11"/>
  <c r="AU8" i="11"/>
  <c r="AV53" i="5"/>
  <c r="AU18" i="10"/>
  <c r="AV75" i="5"/>
  <c r="AU87" i="9"/>
  <c r="AU57" i="9"/>
  <c r="AU30" i="11"/>
  <c r="AU5" i="9"/>
  <c r="AV77" i="5"/>
  <c r="AU25" i="11"/>
  <c r="AU23" i="9"/>
  <c r="AU57" i="10"/>
  <c r="AU11" i="11"/>
  <c r="AU11" i="9"/>
  <c r="AU67" i="10"/>
  <c r="AV78" i="5"/>
  <c r="AU29" i="9"/>
  <c r="AU46" i="10"/>
  <c r="AV73" i="5"/>
  <c r="AV48" i="5"/>
  <c r="AU5" i="10"/>
  <c r="AV66" i="5"/>
  <c r="AV65" i="5"/>
  <c r="AV76" i="5"/>
  <c r="AU22" i="9"/>
  <c r="AV67" i="5"/>
  <c r="AU73" i="9"/>
  <c r="AU68" i="10"/>
  <c r="AU87" i="10"/>
  <c r="AU5" i="11"/>
  <c r="AU67" i="11"/>
  <c r="AU21" i="11"/>
  <c r="AV63" i="5"/>
  <c r="AV64" i="5"/>
  <c r="AV55" i="5"/>
  <c r="AU46" i="9"/>
  <c r="AV62" i="5"/>
  <c r="AU60" i="9"/>
  <c r="AU22" i="10"/>
  <c r="AU60" i="10"/>
  <c r="AU68" i="11"/>
  <c r="AU87" i="11"/>
  <c r="AU28" i="11"/>
  <c r="AV58" i="5"/>
  <c r="AV61" i="5"/>
  <c r="AV57" i="5"/>
  <c r="AV72" i="5"/>
  <c r="AU68" i="9"/>
  <c r="AV59" i="5"/>
  <c r="AV79" i="5"/>
  <c r="AU16" i="10"/>
  <c r="AU25" i="10"/>
  <c r="AU22" i="11"/>
  <c r="AU60" i="11"/>
  <c r="AU57" i="11"/>
  <c r="AV70" i="5"/>
  <c r="AU18" i="9"/>
  <c r="AU21" i="9"/>
  <c r="AV60" i="5"/>
  <c r="AV71" i="5"/>
  <c r="AV51" i="5"/>
  <c r="AV56" i="5"/>
  <c r="AU59" i="10"/>
  <c r="AU29" i="10"/>
  <c r="AU18" i="11"/>
  <c r="AU46" i="11"/>
  <c r="AV74" i="5"/>
  <c r="AU28" i="9"/>
  <c r="AU30" i="9"/>
  <c r="AV52" i="5"/>
  <c r="AV68" i="5"/>
  <c r="AU16" i="9"/>
  <c r="AU21" i="10"/>
  <c r="AU73" i="10"/>
  <c r="AU23" i="10"/>
  <c r="AU59" i="11"/>
  <c r="AU29" i="11"/>
  <c r="D8" i="13"/>
  <c r="AV50" i="5"/>
  <c r="AU59" i="9"/>
  <c r="AU67" i="9"/>
  <c r="AV49" i="5"/>
  <c r="AV54" i="5"/>
  <c r="AU25" i="9"/>
  <c r="AU28" i="10"/>
  <c r="AU30" i="10"/>
  <c r="AU11" i="10"/>
  <c r="AU73" i="11"/>
  <c r="AV92" i="5"/>
  <c r="AU33" i="9"/>
  <c r="AV89" i="5"/>
  <c r="AV86" i="5"/>
  <c r="AV82" i="5"/>
  <c r="AU37" i="10"/>
  <c r="AU85" i="10"/>
  <c r="AU80" i="11"/>
  <c r="AV80" i="5"/>
  <c r="AU85" i="9"/>
  <c r="AV97" i="5"/>
  <c r="AU74" i="9"/>
  <c r="AU34" i="10"/>
  <c r="AU8" i="10"/>
  <c r="AU85" i="11"/>
  <c r="AU33" i="11"/>
  <c r="AU8" i="9"/>
  <c r="AU34" i="9"/>
  <c r="AV85" i="5"/>
  <c r="AU20" i="9"/>
  <c r="AU70" i="10"/>
  <c r="AU33" i="10"/>
  <c r="AU20" i="11"/>
  <c r="AU49" i="11"/>
  <c r="AU55" i="9"/>
  <c r="AV98" i="5"/>
  <c r="AU37" i="9"/>
  <c r="AV100" i="5"/>
  <c r="AU63" i="10"/>
  <c r="AU49" i="10"/>
  <c r="AU55" i="11"/>
  <c r="AU24" i="11"/>
  <c r="AU80" i="9"/>
  <c r="AV83" i="5"/>
  <c r="AU70" i="9"/>
  <c r="AV99" i="5"/>
  <c r="AU55" i="10"/>
  <c r="AU24" i="10"/>
  <c r="AU74" i="11"/>
  <c r="AU34" i="11"/>
  <c r="AV91" i="5"/>
  <c r="AU24" i="9"/>
  <c r="AV93" i="5"/>
  <c r="AU2" i="9"/>
  <c r="AV96" i="5"/>
  <c r="AU74" i="10"/>
  <c r="AU2" i="10"/>
  <c r="AU40" i="11"/>
  <c r="AU70" i="11"/>
  <c r="AV95" i="5"/>
  <c r="AV81" i="5"/>
  <c r="AV90" i="5"/>
  <c r="AU49" i="9"/>
  <c r="AV84" i="5"/>
  <c r="AU40" i="10"/>
  <c r="AU20" i="10"/>
  <c r="AU37" i="11"/>
  <c r="J68" i="9"/>
  <c r="J59" i="9"/>
  <c r="J30" i="9"/>
  <c r="L79" i="11"/>
  <c r="L17" i="11"/>
  <c r="L52" i="11"/>
  <c r="L79" i="10"/>
  <c r="L52" i="10"/>
  <c r="L17" i="10"/>
  <c r="J20" i="9"/>
  <c r="J20" i="11"/>
  <c r="J20" i="10"/>
  <c r="L20" i="9"/>
  <c r="L20" i="11"/>
  <c r="L20" i="10"/>
  <c r="K20" i="9"/>
  <c r="K20" i="11"/>
  <c r="K20" i="10"/>
  <c r="AT7" i="11"/>
  <c r="AT65" i="11"/>
  <c r="AT81" i="11"/>
  <c r="AT12" i="11"/>
  <c r="AT82" i="11"/>
  <c r="AT77" i="11"/>
  <c r="AT38" i="11"/>
  <c r="AT86" i="11"/>
  <c r="AT9" i="11"/>
  <c r="AT41" i="11"/>
  <c r="AT27" i="11"/>
  <c r="AT62" i="11"/>
  <c r="AT66" i="11"/>
  <c r="AT84" i="11"/>
  <c r="AT3" i="11"/>
  <c r="AT75" i="11"/>
  <c r="AT6" i="11"/>
  <c r="AT35" i="11"/>
  <c r="AT75" i="10"/>
  <c r="AT6" i="10"/>
  <c r="AT35" i="10"/>
  <c r="AT81" i="10"/>
  <c r="AT12" i="10"/>
  <c r="AT82" i="10"/>
  <c r="AT77" i="10"/>
  <c r="AT38" i="10"/>
  <c r="AT86" i="10"/>
  <c r="AT9" i="10"/>
  <c r="AT41" i="10"/>
  <c r="AT27" i="10"/>
  <c r="AT62" i="10"/>
  <c r="AT66" i="10"/>
  <c r="AT84" i="10"/>
  <c r="AT3" i="10"/>
  <c r="AT7" i="10"/>
  <c r="AT65" i="10"/>
  <c r="AT65" i="9"/>
  <c r="AT86" i="9"/>
  <c r="AT41" i="9"/>
  <c r="AT82" i="9"/>
  <c r="AT35" i="9"/>
  <c r="AT81" i="9"/>
  <c r="AT84" i="9"/>
  <c r="AT9" i="9"/>
  <c r="AT77" i="9"/>
  <c r="AT38" i="9"/>
  <c r="AT6" i="9"/>
  <c r="AT27" i="9"/>
  <c r="AT3" i="9"/>
  <c r="AU103" i="5"/>
  <c r="AU107" i="5"/>
  <c r="AU122" i="5"/>
  <c r="AU114" i="5"/>
  <c r="AU109" i="5"/>
  <c r="AU112" i="5"/>
  <c r="AT75" i="9"/>
  <c r="AT66" i="9"/>
  <c r="AT12" i="9"/>
  <c r="AU101" i="5"/>
  <c r="AU104" i="5"/>
  <c r="AU120" i="5"/>
  <c r="AU123" i="5"/>
  <c r="AU116" i="5"/>
  <c r="AU105" i="5"/>
  <c r="AU118" i="5"/>
  <c r="AU108" i="5"/>
  <c r="AU110" i="5"/>
  <c r="AU115" i="5"/>
  <c r="AT62" i="9"/>
  <c r="AU119" i="5"/>
  <c r="AU111" i="5"/>
  <c r="AU102" i="5"/>
  <c r="AT7" i="9"/>
  <c r="AU117" i="5"/>
  <c r="AU121" i="5"/>
  <c r="AU113" i="5"/>
  <c r="AU106" i="5"/>
  <c r="AU124" i="5"/>
  <c r="AT56" i="11"/>
  <c r="AT88" i="11"/>
  <c r="AT72" i="11"/>
  <c r="AT15" i="11"/>
  <c r="AT26" i="11"/>
  <c r="AT54" i="11"/>
  <c r="AT42" i="11"/>
  <c r="AT47" i="11"/>
  <c r="AT39" i="11"/>
  <c r="AT58" i="11"/>
  <c r="AT36" i="11"/>
  <c r="AT32" i="11"/>
  <c r="AT44" i="11"/>
  <c r="AT79" i="11"/>
  <c r="AT17" i="11"/>
  <c r="AT48" i="11"/>
  <c r="AT14" i="11"/>
  <c r="AT52" i="11"/>
  <c r="AT64" i="11"/>
  <c r="AT69" i="11"/>
  <c r="AT61" i="11"/>
  <c r="AT83" i="11"/>
  <c r="AT76" i="11"/>
  <c r="AT83" i="10"/>
  <c r="AT76" i="10"/>
  <c r="AT15" i="10"/>
  <c r="AT26" i="10"/>
  <c r="AT54" i="10"/>
  <c r="AT42" i="10"/>
  <c r="AT47" i="10"/>
  <c r="AT39" i="10"/>
  <c r="AT58" i="10"/>
  <c r="AT36" i="10"/>
  <c r="AT32" i="10"/>
  <c r="AT44" i="10"/>
  <c r="AT79" i="10"/>
  <c r="AT17" i="10"/>
  <c r="AT48" i="10"/>
  <c r="AT14" i="10"/>
  <c r="AT52" i="10"/>
  <c r="AT64" i="10"/>
  <c r="AT69" i="10"/>
  <c r="AT61" i="10"/>
  <c r="AT56" i="10"/>
  <c r="AT88" i="10"/>
  <c r="AT72" i="10"/>
  <c r="AT79" i="9"/>
  <c r="AT61" i="9"/>
  <c r="AT52" i="9"/>
  <c r="AT42" i="9"/>
  <c r="AT17" i="9"/>
  <c r="AT72" i="9"/>
  <c r="AT58" i="9"/>
  <c r="AT48" i="9"/>
  <c r="AT39" i="9"/>
  <c r="AT15" i="9"/>
  <c r="AT76" i="9"/>
  <c r="AT88" i="9"/>
  <c r="AT69" i="9"/>
  <c r="AT56" i="9"/>
  <c r="AT47" i="9"/>
  <c r="AT36" i="9"/>
  <c r="AT14" i="9"/>
  <c r="AT32" i="9"/>
  <c r="AT83" i="9"/>
  <c r="AT64" i="9"/>
  <c r="AT54" i="9"/>
  <c r="AT44" i="9"/>
  <c r="AT26" i="9"/>
  <c r="AU137" i="5"/>
  <c r="AU140" i="5"/>
  <c r="AU153" i="5"/>
  <c r="AU127" i="5"/>
  <c r="AU156" i="5"/>
  <c r="AU136" i="5"/>
  <c r="AU139" i="5"/>
  <c r="AU141" i="5"/>
  <c r="AU144" i="5"/>
  <c r="AU149" i="5"/>
  <c r="AU155" i="5"/>
  <c r="AU138" i="5"/>
  <c r="AU142" i="5"/>
  <c r="AU145" i="5"/>
  <c r="AU126" i="5"/>
  <c r="AU157" i="5"/>
  <c r="AU143" i="5"/>
  <c r="AU150" i="5"/>
  <c r="AU125" i="5"/>
  <c r="AU151" i="5"/>
  <c r="AU146" i="5"/>
  <c r="AU152" i="5"/>
  <c r="AU154" i="5"/>
  <c r="AU147" i="5"/>
  <c r="AU148" i="5"/>
  <c r="AR46" i="11"/>
  <c r="AR25" i="11"/>
  <c r="AR60" i="11"/>
  <c r="AR87" i="11"/>
  <c r="AR73" i="11"/>
  <c r="AR59" i="11"/>
  <c r="AR18" i="11"/>
  <c r="AR16" i="11"/>
  <c r="AR22" i="11"/>
  <c r="AR68" i="11"/>
  <c r="AR57" i="11"/>
  <c r="AR28" i="11"/>
  <c r="AR21" i="11"/>
  <c r="AR5" i="11"/>
  <c r="AR11" i="11"/>
  <c r="AR23" i="11"/>
  <c r="AR29" i="11"/>
  <c r="AR67" i="11"/>
  <c r="AR30" i="11"/>
  <c r="AR67" i="10"/>
  <c r="AR30" i="10"/>
  <c r="AR73" i="10"/>
  <c r="AR59" i="10"/>
  <c r="AR18" i="10"/>
  <c r="AR16" i="10"/>
  <c r="AR22" i="10"/>
  <c r="AR68" i="10"/>
  <c r="AR57" i="10"/>
  <c r="AR28" i="10"/>
  <c r="AR21" i="10"/>
  <c r="AR5" i="10"/>
  <c r="AR11" i="10"/>
  <c r="AR23" i="10"/>
  <c r="AR29" i="10"/>
  <c r="AR46" i="10"/>
  <c r="AR25" i="10"/>
  <c r="AR60" i="10"/>
  <c r="AR87" i="10"/>
  <c r="AR23" i="9"/>
  <c r="AR67" i="9"/>
  <c r="AR30" i="9"/>
  <c r="AR21" i="9"/>
  <c r="AR5" i="9"/>
  <c r="AS51" i="5"/>
  <c r="AS53" i="5"/>
  <c r="AS59" i="5"/>
  <c r="AS62" i="5"/>
  <c r="AR87" i="9"/>
  <c r="AR59" i="9"/>
  <c r="AR28" i="9"/>
  <c r="AR18" i="9"/>
  <c r="AS55" i="5"/>
  <c r="AR60" i="9"/>
  <c r="AR73" i="9"/>
  <c r="AR57" i="9"/>
  <c r="AR25" i="9"/>
  <c r="AR16" i="9"/>
  <c r="AS57" i="5"/>
  <c r="AS64" i="5"/>
  <c r="AS65" i="5"/>
  <c r="AR68" i="9"/>
  <c r="AS61" i="5"/>
  <c r="AS69" i="5"/>
  <c r="AS72" i="5"/>
  <c r="AR11" i="9"/>
  <c r="AS77" i="5"/>
  <c r="AS52" i="5"/>
  <c r="AR46" i="9"/>
  <c r="AS74" i="5"/>
  <c r="AS54" i="5"/>
  <c r="AS58" i="5"/>
  <c r="AS73" i="5"/>
  <c r="AS48" i="5"/>
  <c r="AS75" i="5"/>
  <c r="AR29" i="9"/>
  <c r="AS49" i="5"/>
  <c r="AS60" i="5"/>
  <c r="AS78" i="5"/>
  <c r="AS66" i="5"/>
  <c r="AR22" i="9"/>
  <c r="AS50" i="5"/>
  <c r="AS76" i="5"/>
  <c r="AS63" i="5"/>
  <c r="AS79" i="5"/>
  <c r="AS67" i="5"/>
  <c r="AS70" i="5"/>
  <c r="AS56" i="5"/>
  <c r="AS68" i="5"/>
  <c r="AS71" i="5"/>
  <c r="AU50" i="11"/>
  <c r="AU31" i="11"/>
  <c r="AU43" i="11"/>
  <c r="AU19" i="11"/>
  <c r="AU10" i="11"/>
  <c r="AU78" i="11"/>
  <c r="AU78" i="10"/>
  <c r="AU50" i="10"/>
  <c r="AU31" i="10"/>
  <c r="AU43" i="10"/>
  <c r="AU19" i="10"/>
  <c r="AU10" i="10"/>
  <c r="AU50" i="9"/>
  <c r="AU43" i="9"/>
  <c r="AU31" i="9"/>
  <c r="AU78" i="9"/>
  <c r="AU19" i="9"/>
  <c r="AV128" i="5"/>
  <c r="AV132" i="5"/>
  <c r="AV130" i="5"/>
  <c r="AV133" i="5"/>
  <c r="AV131" i="5"/>
  <c r="AU10" i="9"/>
  <c r="AV129" i="5"/>
  <c r="AV134" i="5"/>
  <c r="AV135" i="5"/>
  <c r="I68" i="11"/>
  <c r="I21" i="11"/>
  <c r="I28" i="11"/>
  <c r="I30" i="11"/>
  <c r="I67" i="11"/>
  <c r="I59" i="11"/>
  <c r="I30" i="10"/>
  <c r="I67" i="10"/>
  <c r="I59" i="10"/>
  <c r="I68" i="10"/>
  <c r="I21" i="10"/>
  <c r="I28" i="10"/>
  <c r="K68" i="11"/>
  <c r="K21" i="11"/>
  <c r="K30" i="11"/>
  <c r="K67" i="11"/>
  <c r="K59" i="11"/>
  <c r="K28" i="11"/>
  <c r="K59" i="10"/>
  <c r="K68" i="10"/>
  <c r="K21" i="10"/>
  <c r="K28" i="10"/>
  <c r="K30" i="10"/>
  <c r="K67" i="10"/>
  <c r="I20" i="9"/>
  <c r="I20" i="11"/>
  <c r="I20" i="10"/>
  <c r="J79" i="11"/>
  <c r="J17" i="11"/>
  <c r="J52" i="11"/>
  <c r="J79" i="10"/>
  <c r="J17" i="10"/>
  <c r="J52" i="10"/>
  <c r="K77" i="9"/>
  <c r="K77" i="11"/>
  <c r="K77" i="10"/>
  <c r="AT85" i="11"/>
  <c r="AT20" i="11"/>
  <c r="AT2" i="11"/>
  <c r="AT49" i="11"/>
  <c r="AT33" i="11"/>
  <c r="AT8" i="11"/>
  <c r="AT80" i="11"/>
  <c r="AT37" i="11"/>
  <c r="AT40" i="11"/>
  <c r="AT74" i="11"/>
  <c r="AT55" i="11"/>
  <c r="AT63" i="11"/>
  <c r="AT70" i="11"/>
  <c r="AT34" i="11"/>
  <c r="AT24" i="11"/>
  <c r="AT24" i="10"/>
  <c r="AT49" i="10"/>
  <c r="AT8" i="10"/>
  <c r="AT33" i="10"/>
  <c r="AT80" i="10"/>
  <c r="AT37" i="10"/>
  <c r="AT40" i="10"/>
  <c r="AT74" i="10"/>
  <c r="AT55" i="10"/>
  <c r="AT63" i="10"/>
  <c r="AT70" i="10"/>
  <c r="AT34" i="10"/>
  <c r="AT85" i="10"/>
  <c r="AT20" i="10"/>
  <c r="AT2" i="10"/>
  <c r="AT24" i="9"/>
  <c r="AT80" i="9"/>
  <c r="AT55" i="9"/>
  <c r="AT8" i="9"/>
  <c r="AU85" i="5"/>
  <c r="AU97" i="5"/>
  <c r="AU87" i="5"/>
  <c r="AU89" i="5"/>
  <c r="AU90" i="5"/>
  <c r="AT20" i="9"/>
  <c r="AT74" i="9"/>
  <c r="AT40" i="9"/>
  <c r="AU81" i="5"/>
  <c r="AU92" i="5"/>
  <c r="AU95" i="5"/>
  <c r="AU88" i="5"/>
  <c r="AT49" i="9"/>
  <c r="AT2" i="9"/>
  <c r="AT70" i="9"/>
  <c r="AT37" i="9"/>
  <c r="AU80" i="5"/>
  <c r="AU94" i="5"/>
  <c r="AU82" i="5"/>
  <c r="AU84" i="5"/>
  <c r="AU86" i="5"/>
  <c r="AT34" i="9"/>
  <c r="AU99" i="5"/>
  <c r="AT33" i="9"/>
  <c r="AU96" i="5"/>
  <c r="AU100" i="5"/>
  <c r="AT85" i="9"/>
  <c r="AU93" i="5"/>
  <c r="AU83" i="5"/>
  <c r="AT63" i="9"/>
  <c r="AU98" i="5"/>
  <c r="AU91" i="5"/>
  <c r="AR71" i="11"/>
  <c r="AR53" i="11"/>
  <c r="AR13" i="11"/>
  <c r="AR51" i="11"/>
  <c r="AR45" i="11"/>
  <c r="AR4" i="11"/>
  <c r="AR4" i="10"/>
  <c r="AR71" i="10"/>
  <c r="AR53" i="10"/>
  <c r="AR13" i="10"/>
  <c r="AR51" i="10"/>
  <c r="AR45" i="10"/>
  <c r="AR45" i="9"/>
  <c r="AS3" i="5"/>
  <c r="AS8" i="5"/>
  <c r="AS32" i="5"/>
  <c r="AS37" i="5"/>
  <c r="AS18" i="5"/>
  <c r="AS39" i="5"/>
  <c r="AR51" i="9"/>
  <c r="AR13" i="9"/>
  <c r="AS4" i="5"/>
  <c r="AS29" i="5"/>
  <c r="AR71" i="9"/>
  <c r="AR4" i="9"/>
  <c r="AS6" i="5"/>
  <c r="AS9" i="5"/>
  <c r="AS35" i="5"/>
  <c r="AS14" i="5"/>
  <c r="AS17" i="5"/>
  <c r="AS36" i="5"/>
  <c r="AS7" i="5"/>
  <c r="AS33" i="5"/>
  <c r="AS38" i="5"/>
  <c r="AS30" i="5"/>
  <c r="AS11" i="5"/>
  <c r="AS23" i="5"/>
  <c r="AS42" i="5"/>
  <c r="AS2" i="5"/>
  <c r="AS12" i="5"/>
  <c r="AS40" i="5"/>
  <c r="AS43" i="5"/>
  <c r="AR53" i="9"/>
  <c r="AS13" i="5"/>
  <c r="AS24" i="5"/>
  <c r="AS44" i="5"/>
  <c r="AS28" i="5"/>
  <c r="AS31" i="5"/>
  <c r="AS19" i="5"/>
  <c r="AS41" i="5"/>
  <c r="AS25" i="5"/>
  <c r="AS27" i="5"/>
  <c r="AS10" i="5"/>
  <c r="AS16" i="5"/>
  <c r="AS20" i="5"/>
  <c r="AS21" i="5"/>
  <c r="AS26" i="5"/>
  <c r="AS46" i="5"/>
  <c r="AS5" i="5"/>
  <c r="AS34" i="5"/>
  <c r="AS15" i="5"/>
  <c r="AS22" i="5"/>
  <c r="AS45" i="5"/>
  <c r="AS47" i="5"/>
  <c r="AQ43" i="11"/>
  <c r="AQ19" i="11"/>
  <c r="AQ10" i="11"/>
  <c r="AQ78" i="11"/>
  <c r="AQ50" i="11"/>
  <c r="AQ31" i="11"/>
  <c r="AQ43" i="10"/>
  <c r="AQ19" i="10"/>
  <c r="AQ10" i="10"/>
  <c r="AQ50" i="10"/>
  <c r="AQ31" i="10"/>
  <c r="AQ78" i="10"/>
  <c r="AQ78" i="9"/>
  <c r="AQ19" i="9"/>
  <c r="AQ50" i="9"/>
  <c r="AQ10" i="9"/>
  <c r="AQ43" i="9"/>
  <c r="AQ31" i="9"/>
  <c r="AR128" i="5"/>
  <c r="AR132" i="5"/>
  <c r="AR130" i="5"/>
  <c r="AR133" i="5"/>
  <c r="AR131" i="5"/>
  <c r="AR129" i="5"/>
  <c r="AR134" i="5"/>
  <c r="AR135" i="5"/>
  <c r="AS75" i="11"/>
  <c r="AS6" i="11"/>
  <c r="AS35" i="11"/>
  <c r="AS82" i="11"/>
  <c r="AS77" i="11"/>
  <c r="AS38" i="11"/>
  <c r="AS86" i="11"/>
  <c r="AS9" i="11"/>
  <c r="AS41" i="11"/>
  <c r="AS27" i="11"/>
  <c r="AS62" i="11"/>
  <c r="AS66" i="11"/>
  <c r="AS84" i="11"/>
  <c r="AS3" i="11"/>
  <c r="AS7" i="11"/>
  <c r="AS65" i="11"/>
  <c r="AS81" i="11"/>
  <c r="AS12" i="11"/>
  <c r="AS81" i="10"/>
  <c r="AS12" i="10"/>
  <c r="AS82" i="10"/>
  <c r="AS77" i="10"/>
  <c r="AS38" i="10"/>
  <c r="AS86" i="10"/>
  <c r="AS9" i="10"/>
  <c r="AS41" i="10"/>
  <c r="AS27" i="10"/>
  <c r="AS62" i="10"/>
  <c r="AS66" i="10"/>
  <c r="AS84" i="10"/>
  <c r="AS3" i="10"/>
  <c r="AS7" i="10"/>
  <c r="AS65" i="10"/>
  <c r="AS75" i="10"/>
  <c r="AS6" i="10"/>
  <c r="AS35" i="10"/>
  <c r="AS65" i="9"/>
  <c r="AS86" i="9"/>
  <c r="AS35" i="9"/>
  <c r="AS81" i="9"/>
  <c r="AS77" i="9"/>
  <c r="AT109" i="5"/>
  <c r="AT112" i="5"/>
  <c r="AS38" i="9"/>
  <c r="AS6" i="9"/>
  <c r="AS84" i="9"/>
  <c r="AS41" i="9"/>
  <c r="AS9" i="9"/>
  <c r="AS82" i="9"/>
  <c r="AS27" i="9"/>
  <c r="AS3" i="9"/>
  <c r="AT106" i="5"/>
  <c r="AT119" i="5"/>
  <c r="AT116" i="5"/>
  <c r="AT105" i="5"/>
  <c r="AT118" i="5"/>
  <c r="AT108" i="5"/>
  <c r="AT110" i="5"/>
  <c r="AS75" i="9"/>
  <c r="AS66" i="9"/>
  <c r="AS12" i="9"/>
  <c r="AS62" i="9"/>
  <c r="AS7" i="9"/>
  <c r="AT103" i="5"/>
  <c r="AT122" i="5"/>
  <c r="AT113" i="5"/>
  <c r="AT104" i="5"/>
  <c r="AT123" i="5"/>
  <c r="AT114" i="5"/>
  <c r="AT101" i="5"/>
  <c r="AT111" i="5"/>
  <c r="AT124" i="5"/>
  <c r="AT107" i="5"/>
  <c r="AT102" i="5"/>
  <c r="AT120" i="5"/>
  <c r="AT115" i="5"/>
  <c r="AT117" i="5"/>
  <c r="AT121" i="5"/>
  <c r="AQ82" i="11"/>
  <c r="AQ77" i="11"/>
  <c r="AQ38" i="11"/>
  <c r="AQ62" i="11"/>
  <c r="AQ66" i="11"/>
  <c r="AQ84" i="11"/>
  <c r="AQ3" i="11"/>
  <c r="AQ7" i="11"/>
  <c r="AQ65" i="11"/>
  <c r="AQ75" i="11"/>
  <c r="AQ6" i="11"/>
  <c r="AQ35" i="11"/>
  <c r="AQ81" i="11"/>
  <c r="AQ12" i="11"/>
  <c r="AQ86" i="11"/>
  <c r="AQ9" i="11"/>
  <c r="AQ41" i="11"/>
  <c r="AQ27" i="11"/>
  <c r="AQ86" i="10"/>
  <c r="AQ9" i="10"/>
  <c r="AQ41" i="10"/>
  <c r="AQ27" i="10"/>
  <c r="AQ62" i="10"/>
  <c r="AQ66" i="10"/>
  <c r="AQ84" i="10"/>
  <c r="AQ3" i="10"/>
  <c r="AQ7" i="10"/>
  <c r="AQ65" i="10"/>
  <c r="AQ75" i="10"/>
  <c r="AQ6" i="10"/>
  <c r="AQ35" i="10"/>
  <c r="AQ81" i="10"/>
  <c r="AQ12" i="10"/>
  <c r="AQ82" i="10"/>
  <c r="AQ77" i="10"/>
  <c r="AQ38" i="10"/>
  <c r="AQ84" i="9"/>
  <c r="AQ9" i="9"/>
  <c r="AQ77" i="9"/>
  <c r="AQ41" i="9"/>
  <c r="AQ82" i="9"/>
  <c r="AQ62" i="9"/>
  <c r="AQ7" i="9"/>
  <c r="AQ65" i="9"/>
  <c r="AQ35" i="9"/>
  <c r="AQ86" i="9"/>
  <c r="AQ38" i="9"/>
  <c r="AQ6" i="9"/>
  <c r="AQ81" i="9"/>
  <c r="AQ27" i="9"/>
  <c r="AQ3" i="9"/>
  <c r="AQ66" i="9"/>
  <c r="AQ12" i="9"/>
  <c r="AR109" i="5"/>
  <c r="AR112" i="5"/>
  <c r="AR101" i="5"/>
  <c r="AR104" i="5"/>
  <c r="AR120" i="5"/>
  <c r="AR124" i="5"/>
  <c r="AR106" i="5"/>
  <c r="AR119" i="5"/>
  <c r="AQ75" i="9"/>
  <c r="AR116" i="5"/>
  <c r="AR105" i="5"/>
  <c r="AR118" i="5"/>
  <c r="AR108" i="5"/>
  <c r="AR110" i="5"/>
  <c r="AR102" i="5"/>
  <c r="AR117" i="5"/>
  <c r="AR121" i="5"/>
  <c r="AR111" i="5"/>
  <c r="AR113" i="5"/>
  <c r="AR115" i="5"/>
  <c r="AR103" i="5"/>
  <c r="AR107" i="5"/>
  <c r="AR122" i="5"/>
  <c r="AR114" i="5"/>
  <c r="AR123" i="5"/>
  <c r="AS24" i="11"/>
  <c r="AS33" i="11"/>
  <c r="AS8" i="11"/>
  <c r="AS80" i="11"/>
  <c r="AS37" i="11"/>
  <c r="AS40" i="11"/>
  <c r="AS74" i="11"/>
  <c r="AS55" i="11"/>
  <c r="AS63" i="11"/>
  <c r="AS70" i="11"/>
  <c r="AS34" i="11"/>
  <c r="AS85" i="11"/>
  <c r="AS20" i="11"/>
  <c r="AS2" i="11"/>
  <c r="AS49" i="11"/>
  <c r="AS49" i="10"/>
  <c r="AS33" i="10"/>
  <c r="AS8" i="10"/>
  <c r="AS80" i="10"/>
  <c r="AS37" i="10"/>
  <c r="AS40" i="10"/>
  <c r="AS74" i="10"/>
  <c r="AS55" i="10"/>
  <c r="AS63" i="10"/>
  <c r="AS70" i="10"/>
  <c r="AS34" i="10"/>
  <c r="AS85" i="10"/>
  <c r="AS20" i="10"/>
  <c r="AS2" i="10"/>
  <c r="AS24" i="10"/>
  <c r="AT92" i="5"/>
  <c r="AT95" i="5"/>
  <c r="AT88" i="5"/>
  <c r="AS24" i="9"/>
  <c r="AS80" i="9"/>
  <c r="AS55" i="9"/>
  <c r="AS8" i="9"/>
  <c r="AT94" i="5"/>
  <c r="AT82" i="5"/>
  <c r="AT84" i="5"/>
  <c r="AT96" i="5"/>
  <c r="AT99" i="5"/>
  <c r="AS20" i="9"/>
  <c r="AS74" i="9"/>
  <c r="AS40" i="9"/>
  <c r="AT91" i="5"/>
  <c r="AT86" i="5"/>
  <c r="AS49" i="9"/>
  <c r="AS2" i="9"/>
  <c r="AS70" i="9"/>
  <c r="AS37" i="9"/>
  <c r="AS34" i="9"/>
  <c r="AS85" i="9"/>
  <c r="AS63" i="9"/>
  <c r="AS33" i="9"/>
  <c r="AT81" i="5"/>
  <c r="AT100" i="5"/>
  <c r="AT97" i="5"/>
  <c r="AT89" i="5"/>
  <c r="AT93" i="5"/>
  <c r="AT83" i="5"/>
  <c r="AT80" i="5"/>
  <c r="AT85" i="5"/>
  <c r="AT87" i="5"/>
  <c r="AT98" i="5"/>
  <c r="AT90" i="5"/>
  <c r="I52" i="11"/>
  <c r="I79" i="11"/>
  <c r="I17" i="11"/>
  <c r="I79" i="10"/>
  <c r="I17" i="10"/>
  <c r="I52" i="10"/>
  <c r="K79" i="11"/>
  <c r="K17" i="11"/>
  <c r="K52" i="11"/>
  <c r="K79" i="10"/>
  <c r="K52" i="10"/>
  <c r="K17" i="10"/>
  <c r="AT5" i="11"/>
  <c r="AT46" i="11"/>
  <c r="AT25" i="11"/>
  <c r="AT60" i="11"/>
  <c r="AT87" i="11"/>
  <c r="AT67" i="11"/>
  <c r="AT30" i="11"/>
  <c r="AT73" i="11"/>
  <c r="AT59" i="11"/>
  <c r="AT18" i="11"/>
  <c r="AT16" i="11"/>
  <c r="AT22" i="11"/>
  <c r="AT68" i="11"/>
  <c r="AT57" i="11"/>
  <c r="AT28" i="11"/>
  <c r="AT21" i="11"/>
  <c r="AT29" i="11"/>
  <c r="AT11" i="11"/>
  <c r="AT23" i="11"/>
  <c r="AT11" i="10"/>
  <c r="AT23" i="10"/>
  <c r="AT29" i="10"/>
  <c r="AT46" i="10"/>
  <c r="AT25" i="10"/>
  <c r="AT60" i="10"/>
  <c r="AT87" i="10"/>
  <c r="AT67" i="10"/>
  <c r="AT30" i="10"/>
  <c r="AT73" i="10"/>
  <c r="AT59" i="10"/>
  <c r="AT18" i="10"/>
  <c r="AT16" i="10"/>
  <c r="AT22" i="10"/>
  <c r="AT68" i="10"/>
  <c r="AT57" i="10"/>
  <c r="AT28" i="10"/>
  <c r="AT21" i="10"/>
  <c r="AT5" i="10"/>
  <c r="AT87" i="9"/>
  <c r="AT59" i="9"/>
  <c r="AT28" i="9"/>
  <c r="AT18" i="9"/>
  <c r="AU49" i="5"/>
  <c r="AU52" i="5"/>
  <c r="AU60" i="5"/>
  <c r="AU69" i="5"/>
  <c r="AU72" i="5"/>
  <c r="AT60" i="9"/>
  <c r="AT73" i="9"/>
  <c r="AT57" i="9"/>
  <c r="AT25" i="9"/>
  <c r="AT16" i="9"/>
  <c r="AU57" i="5"/>
  <c r="AU64" i="5"/>
  <c r="AU65" i="5"/>
  <c r="AU50" i="5"/>
  <c r="AU74" i="5"/>
  <c r="AU58" i="5"/>
  <c r="AU78" i="5"/>
  <c r="AU73" i="5"/>
  <c r="AT29" i="9"/>
  <c r="AT68" i="9"/>
  <c r="AT46" i="9"/>
  <c r="AT22" i="9"/>
  <c r="AT11" i="9"/>
  <c r="AU75" i="5"/>
  <c r="AU61" i="5"/>
  <c r="AU63" i="5"/>
  <c r="AU66" i="5"/>
  <c r="AU56" i="5"/>
  <c r="AU77" i="5"/>
  <c r="AU48" i="5"/>
  <c r="AU54" i="5"/>
  <c r="AU68" i="5"/>
  <c r="AU71" i="5"/>
  <c r="AT5" i="9"/>
  <c r="AU62" i="5"/>
  <c r="AU55" i="5"/>
  <c r="AU70" i="5"/>
  <c r="AT30" i="9"/>
  <c r="AU67" i="5"/>
  <c r="AT23" i="9"/>
  <c r="AU51" i="5"/>
  <c r="AU59" i="5"/>
  <c r="AT21" i="9"/>
  <c r="AU53" i="5"/>
  <c r="AT67" i="9"/>
  <c r="AU76" i="5"/>
  <c r="AU79" i="5"/>
  <c r="AQ67" i="11"/>
  <c r="AQ30" i="11"/>
  <c r="AQ59" i="11"/>
  <c r="AQ18" i="11"/>
  <c r="AQ16" i="11"/>
  <c r="AQ22" i="11"/>
  <c r="AQ68" i="11"/>
  <c r="AQ57" i="11"/>
  <c r="AQ28" i="11"/>
  <c r="AQ21" i="11"/>
  <c r="AQ5" i="11"/>
  <c r="AQ11" i="11"/>
  <c r="AQ23" i="11"/>
  <c r="AQ29" i="11"/>
  <c r="AQ46" i="11"/>
  <c r="AQ25" i="11"/>
  <c r="AQ60" i="11"/>
  <c r="AQ87" i="11"/>
  <c r="AQ73" i="11"/>
  <c r="AQ59" i="10"/>
  <c r="AQ18" i="10"/>
  <c r="AQ16" i="10"/>
  <c r="AQ22" i="10"/>
  <c r="AQ68" i="10"/>
  <c r="AQ57" i="10"/>
  <c r="AQ28" i="10"/>
  <c r="AQ21" i="10"/>
  <c r="AQ5" i="10"/>
  <c r="AQ11" i="10"/>
  <c r="AQ23" i="10"/>
  <c r="AQ29" i="10"/>
  <c r="AQ46" i="10"/>
  <c r="AQ25" i="10"/>
  <c r="AQ60" i="10"/>
  <c r="AQ87" i="10"/>
  <c r="AQ67" i="10"/>
  <c r="AQ30" i="10"/>
  <c r="AQ73" i="10"/>
  <c r="AQ23" i="9"/>
  <c r="AQ67" i="9"/>
  <c r="AQ30" i="9"/>
  <c r="AQ21" i="9"/>
  <c r="AQ5" i="9"/>
  <c r="AQ87" i="9"/>
  <c r="AQ59" i="9"/>
  <c r="AQ28" i="9"/>
  <c r="AQ18" i="9"/>
  <c r="AQ60" i="9"/>
  <c r="AQ73" i="9"/>
  <c r="AQ57" i="9"/>
  <c r="AQ25" i="9"/>
  <c r="AQ16" i="9"/>
  <c r="AQ29" i="9"/>
  <c r="AQ68" i="9"/>
  <c r="AQ46" i="9"/>
  <c r="AQ22" i="9"/>
  <c r="AQ11" i="9"/>
  <c r="AR50" i="5"/>
  <c r="AR74" i="5"/>
  <c r="AR58" i="5"/>
  <c r="AR78" i="5"/>
  <c r="AR73" i="5"/>
  <c r="AR75" i="5"/>
  <c r="AR61" i="5"/>
  <c r="AR63" i="5"/>
  <c r="AR66" i="5"/>
  <c r="AR56" i="5"/>
  <c r="AR77" i="5"/>
  <c r="AR79" i="5"/>
  <c r="AR51" i="5"/>
  <c r="AR53" i="5"/>
  <c r="AR59" i="5"/>
  <c r="AR62" i="5"/>
  <c r="AR67" i="5"/>
  <c r="AR70" i="5"/>
  <c r="AR48" i="5"/>
  <c r="AR54" i="5"/>
  <c r="AR68" i="5"/>
  <c r="AR71" i="5"/>
  <c r="AR49" i="5"/>
  <c r="AR52" i="5"/>
  <c r="AR60" i="5"/>
  <c r="AR69" i="5"/>
  <c r="AR72" i="5"/>
  <c r="AR55" i="5"/>
  <c r="AR76" i="5"/>
  <c r="AR57" i="5"/>
  <c r="AR64" i="5"/>
  <c r="AR65" i="5"/>
  <c r="I13" i="9"/>
  <c r="I13" i="11"/>
  <c r="I13" i="10"/>
  <c r="AU52" i="11"/>
  <c r="AU64" i="11"/>
  <c r="AU69" i="11"/>
  <c r="AU61" i="11"/>
  <c r="AU83" i="11"/>
  <c r="AU76" i="11"/>
  <c r="AU15" i="11"/>
  <c r="AU26" i="11"/>
  <c r="AU54" i="11"/>
  <c r="AU42" i="11"/>
  <c r="AU47" i="11"/>
  <c r="AU39" i="11"/>
  <c r="AU58" i="11"/>
  <c r="AU36" i="11"/>
  <c r="AU32" i="11"/>
  <c r="AU44" i="11"/>
  <c r="AU79" i="11"/>
  <c r="AU17" i="11"/>
  <c r="AU48" i="11"/>
  <c r="AU14" i="11"/>
  <c r="AU88" i="11"/>
  <c r="AU72" i="11"/>
  <c r="AU56" i="11"/>
  <c r="AU56" i="10"/>
  <c r="AU88" i="10"/>
  <c r="AU72" i="10"/>
  <c r="AU83" i="10"/>
  <c r="AU76" i="10"/>
  <c r="AU15" i="10"/>
  <c r="AU26" i="10"/>
  <c r="AU54" i="10"/>
  <c r="AU42" i="10"/>
  <c r="AU47" i="10"/>
  <c r="AU39" i="10"/>
  <c r="AU58" i="10"/>
  <c r="AU36" i="10"/>
  <c r="AU32" i="10"/>
  <c r="AU44" i="10"/>
  <c r="AU79" i="10"/>
  <c r="AU17" i="10"/>
  <c r="AU48" i="10"/>
  <c r="AU14" i="10"/>
  <c r="AU52" i="10"/>
  <c r="AU64" i="10"/>
  <c r="AU69" i="10"/>
  <c r="AU61" i="10"/>
  <c r="AU79" i="9"/>
  <c r="AU61" i="9"/>
  <c r="AU52" i="9"/>
  <c r="AU42" i="9"/>
  <c r="AU17" i="9"/>
  <c r="AU72" i="9"/>
  <c r="AU58" i="9"/>
  <c r="AU48" i="9"/>
  <c r="AU39" i="9"/>
  <c r="AU15" i="9"/>
  <c r="AU76" i="9"/>
  <c r="AU88" i="9"/>
  <c r="AU69" i="9"/>
  <c r="AU56" i="9"/>
  <c r="AU47" i="9"/>
  <c r="AU36" i="9"/>
  <c r="AU14" i="9"/>
  <c r="AU83" i="9"/>
  <c r="AU64" i="9"/>
  <c r="AU54" i="9"/>
  <c r="AU44" i="9"/>
  <c r="AU26" i="9"/>
  <c r="AV147" i="5"/>
  <c r="AV150" i="5"/>
  <c r="AU32" i="9"/>
  <c r="AV143" i="5"/>
  <c r="AV137" i="5"/>
  <c r="AV140" i="5"/>
  <c r="AV153" i="5"/>
  <c r="AV125" i="5"/>
  <c r="AV146" i="5"/>
  <c r="AV148" i="5"/>
  <c r="AV151" i="5"/>
  <c r="AV152" i="5"/>
  <c r="AV127" i="5"/>
  <c r="AV156" i="5"/>
  <c r="AV138" i="5"/>
  <c r="AV142" i="5"/>
  <c r="AV145" i="5"/>
  <c r="AV126" i="5"/>
  <c r="AV157" i="5"/>
  <c r="AV141" i="5"/>
  <c r="AV136" i="5"/>
  <c r="AV144" i="5"/>
  <c r="AV154" i="5"/>
  <c r="AV149" i="5"/>
  <c r="AV155" i="5"/>
  <c r="AV139" i="5"/>
  <c r="AS83" i="11"/>
  <c r="AS76" i="11"/>
  <c r="AS42" i="11"/>
  <c r="AS47" i="11"/>
  <c r="AS39" i="11"/>
  <c r="AS58" i="11"/>
  <c r="AS36" i="11"/>
  <c r="AS32" i="11"/>
  <c r="AS44" i="11"/>
  <c r="AS79" i="11"/>
  <c r="AS17" i="11"/>
  <c r="AS48" i="11"/>
  <c r="AS14" i="11"/>
  <c r="AS52" i="11"/>
  <c r="AS64" i="11"/>
  <c r="AS69" i="11"/>
  <c r="AS61" i="11"/>
  <c r="AS56" i="11"/>
  <c r="AS88" i="11"/>
  <c r="AS72" i="11"/>
  <c r="AS54" i="11"/>
  <c r="AS15" i="11"/>
  <c r="AS26" i="11"/>
  <c r="AS15" i="10"/>
  <c r="AS26" i="10"/>
  <c r="AS54" i="10"/>
  <c r="AS42" i="10"/>
  <c r="AS47" i="10"/>
  <c r="AS39" i="10"/>
  <c r="AS58" i="10"/>
  <c r="AS36" i="10"/>
  <c r="AS32" i="10"/>
  <c r="AS44" i="10"/>
  <c r="AS79" i="10"/>
  <c r="AS17" i="10"/>
  <c r="AS48" i="10"/>
  <c r="AS14" i="10"/>
  <c r="AS52" i="10"/>
  <c r="AS64" i="10"/>
  <c r="AS69" i="10"/>
  <c r="AS61" i="10"/>
  <c r="AS56" i="10"/>
  <c r="AS88" i="10"/>
  <c r="AS72" i="10"/>
  <c r="AS83" i="10"/>
  <c r="AS76" i="10"/>
  <c r="AS83" i="9"/>
  <c r="AS64" i="9"/>
  <c r="AS54" i="9"/>
  <c r="AS44" i="9"/>
  <c r="AS26" i="9"/>
  <c r="AS79" i="9"/>
  <c r="AS61" i="9"/>
  <c r="AS52" i="9"/>
  <c r="AS42" i="9"/>
  <c r="AS17" i="9"/>
  <c r="AS72" i="9"/>
  <c r="AS58" i="9"/>
  <c r="AS48" i="9"/>
  <c r="AS39" i="9"/>
  <c r="AS15" i="9"/>
  <c r="AS76" i="9"/>
  <c r="AS88" i="9"/>
  <c r="AS69" i="9"/>
  <c r="AS56" i="9"/>
  <c r="AS47" i="9"/>
  <c r="AS36" i="9"/>
  <c r="AS14" i="9"/>
  <c r="AS32" i="9"/>
  <c r="AT136" i="5"/>
  <c r="AT139" i="5"/>
  <c r="AT141" i="5"/>
  <c r="AT144" i="5"/>
  <c r="AT149" i="5"/>
  <c r="AT155" i="5"/>
  <c r="AT147" i="5"/>
  <c r="AT150" i="5"/>
  <c r="AT154" i="5"/>
  <c r="AT143" i="5"/>
  <c r="AT138" i="5"/>
  <c r="AT142" i="5"/>
  <c r="AT126" i="5"/>
  <c r="AT140" i="5"/>
  <c r="AT148" i="5"/>
  <c r="AT152" i="5"/>
  <c r="AT127" i="5"/>
  <c r="AT145" i="5"/>
  <c r="AT137" i="5"/>
  <c r="AT153" i="5"/>
  <c r="AT156" i="5"/>
  <c r="AT125" i="5"/>
  <c r="AT146" i="5"/>
  <c r="AT151" i="5"/>
  <c r="AT157" i="5"/>
  <c r="AR15" i="11"/>
  <c r="AR26" i="11"/>
  <c r="AR54" i="11"/>
  <c r="AR36" i="11"/>
  <c r="AR32" i="11"/>
  <c r="AR44" i="11"/>
  <c r="AR79" i="11"/>
  <c r="AR17" i="11"/>
  <c r="AR48" i="11"/>
  <c r="AR14" i="11"/>
  <c r="AR52" i="11"/>
  <c r="AR64" i="11"/>
  <c r="AR69" i="11"/>
  <c r="AR61" i="11"/>
  <c r="AR56" i="11"/>
  <c r="AR88" i="11"/>
  <c r="AR72" i="11"/>
  <c r="AR83" i="11"/>
  <c r="AR76" i="11"/>
  <c r="AR42" i="11"/>
  <c r="AR47" i="11"/>
  <c r="AR39" i="11"/>
  <c r="AR58" i="11"/>
  <c r="AR42" i="10"/>
  <c r="AR47" i="10"/>
  <c r="AR39" i="10"/>
  <c r="AR58" i="10"/>
  <c r="AR36" i="10"/>
  <c r="AR32" i="10"/>
  <c r="AR44" i="10"/>
  <c r="AR79" i="10"/>
  <c r="AR17" i="10"/>
  <c r="AR48" i="10"/>
  <c r="AR14" i="10"/>
  <c r="AR52" i="10"/>
  <c r="AR64" i="10"/>
  <c r="AR69" i="10"/>
  <c r="AR61" i="10"/>
  <c r="AR56" i="10"/>
  <c r="AR88" i="10"/>
  <c r="AR72" i="10"/>
  <c r="AR83" i="10"/>
  <c r="AR76" i="10"/>
  <c r="AR15" i="10"/>
  <c r="AR26" i="10"/>
  <c r="AR54" i="10"/>
  <c r="AR83" i="9"/>
  <c r="AR64" i="9"/>
  <c r="AR54" i="9"/>
  <c r="AR44" i="9"/>
  <c r="AR26" i="9"/>
  <c r="AR79" i="9"/>
  <c r="AR61" i="9"/>
  <c r="AR52" i="9"/>
  <c r="AR42" i="9"/>
  <c r="AR17" i="9"/>
  <c r="AR72" i="9"/>
  <c r="AR58" i="9"/>
  <c r="AR48" i="9"/>
  <c r="AR39" i="9"/>
  <c r="AR15" i="9"/>
  <c r="AR76" i="9"/>
  <c r="AR88" i="9"/>
  <c r="AR69" i="9"/>
  <c r="AR56" i="9"/>
  <c r="AR47" i="9"/>
  <c r="AR36" i="9"/>
  <c r="AR14" i="9"/>
  <c r="AR32" i="9"/>
  <c r="AS136" i="5"/>
  <c r="AS145" i="5"/>
  <c r="AS147" i="5"/>
  <c r="AS153" i="5"/>
  <c r="AS139" i="5"/>
  <c r="AS140" i="5"/>
  <c r="AS152" i="5"/>
  <c r="AS142" i="5"/>
  <c r="AS151" i="5"/>
  <c r="AS127" i="5"/>
  <c r="AS156" i="5"/>
  <c r="AS141" i="5"/>
  <c r="AS148" i="5"/>
  <c r="AS155" i="5"/>
  <c r="AS137" i="5"/>
  <c r="AS125" i="5"/>
  <c r="AS143" i="5"/>
  <c r="AS146" i="5"/>
  <c r="AS149" i="5"/>
  <c r="AS126" i="5"/>
  <c r="AS157" i="5"/>
  <c r="AS138" i="5"/>
  <c r="AS154" i="5"/>
  <c r="AS144" i="5"/>
  <c r="AS150" i="5"/>
  <c r="AU3" i="11"/>
  <c r="AU75" i="11"/>
  <c r="AU6" i="11"/>
  <c r="AU35" i="11"/>
  <c r="AU81" i="11"/>
  <c r="AU12" i="11"/>
  <c r="AU82" i="11"/>
  <c r="AU77" i="11"/>
  <c r="AU38" i="11"/>
  <c r="AU86" i="11"/>
  <c r="AU9" i="11"/>
  <c r="AU41" i="11"/>
  <c r="AU27" i="11"/>
  <c r="AU62" i="11"/>
  <c r="AU66" i="11"/>
  <c r="AU84" i="11"/>
  <c r="AU65" i="11"/>
  <c r="AU7" i="11"/>
  <c r="AU7" i="10"/>
  <c r="AU65" i="10"/>
  <c r="AU75" i="10"/>
  <c r="AU6" i="10"/>
  <c r="AU35" i="10"/>
  <c r="AU81" i="10"/>
  <c r="AU12" i="10"/>
  <c r="AU82" i="10"/>
  <c r="AU77" i="10"/>
  <c r="AU38" i="10"/>
  <c r="AU86" i="10"/>
  <c r="AU9" i="10"/>
  <c r="AU41" i="10"/>
  <c r="AU27" i="10"/>
  <c r="AU62" i="10"/>
  <c r="AU66" i="10"/>
  <c r="AU84" i="10"/>
  <c r="AU3" i="10"/>
  <c r="AU41" i="9"/>
  <c r="AU82" i="9"/>
  <c r="AU84" i="9"/>
  <c r="AU9" i="9"/>
  <c r="AV124" i="5"/>
  <c r="AU27" i="9"/>
  <c r="AU3" i="9"/>
  <c r="AV106" i="5"/>
  <c r="AV119" i="5"/>
  <c r="AU65" i="9"/>
  <c r="AU35" i="9"/>
  <c r="AU86" i="9"/>
  <c r="AV116" i="5"/>
  <c r="AV105" i="5"/>
  <c r="AV118" i="5"/>
  <c r="AV108" i="5"/>
  <c r="AV110" i="5"/>
  <c r="AU81" i="9"/>
  <c r="AU75" i="9"/>
  <c r="AU66" i="9"/>
  <c r="AU12" i="9"/>
  <c r="AV102" i="5"/>
  <c r="AV117" i="5"/>
  <c r="AV121" i="5"/>
  <c r="AV111" i="5"/>
  <c r="AV113" i="5"/>
  <c r="AV115" i="5"/>
  <c r="AU62" i="9"/>
  <c r="AU7" i="9"/>
  <c r="AV103" i="5"/>
  <c r="AV107" i="5"/>
  <c r="AV122" i="5"/>
  <c r="AV114" i="5"/>
  <c r="AU77" i="9"/>
  <c r="AU38" i="9"/>
  <c r="AU6" i="9"/>
  <c r="AV101" i="5"/>
  <c r="AV104" i="5"/>
  <c r="AV120" i="5"/>
  <c r="AV123" i="5"/>
  <c r="AV112" i="5"/>
  <c r="AV109" i="5"/>
  <c r="I78" i="11"/>
  <c r="I19" i="11"/>
  <c r="I43" i="11"/>
  <c r="I19" i="10"/>
  <c r="I78" i="10"/>
  <c r="I43" i="10"/>
  <c r="J28" i="9"/>
  <c r="J21" i="11"/>
  <c r="J68" i="11"/>
  <c r="J30" i="11"/>
  <c r="J67" i="11"/>
  <c r="J59" i="11"/>
  <c r="J28" i="11"/>
  <c r="J59" i="10"/>
  <c r="J68" i="10"/>
  <c r="J21" i="10"/>
  <c r="J28" i="10"/>
  <c r="J30" i="10"/>
  <c r="J67" i="10"/>
  <c r="AR49" i="11"/>
  <c r="AR8" i="11"/>
  <c r="AR80" i="11"/>
  <c r="AR37" i="11"/>
  <c r="AR40" i="11"/>
  <c r="AR74" i="11"/>
  <c r="AR55" i="11"/>
  <c r="AR63" i="11"/>
  <c r="AR70" i="11"/>
  <c r="AR34" i="11"/>
  <c r="AR85" i="11"/>
  <c r="AR20" i="11"/>
  <c r="AR2" i="11"/>
  <c r="AR24" i="11"/>
  <c r="AR33" i="11"/>
  <c r="AR33" i="10"/>
  <c r="AR8" i="10"/>
  <c r="AR80" i="10"/>
  <c r="AR37" i="10"/>
  <c r="AR40" i="10"/>
  <c r="AR74" i="10"/>
  <c r="AR55" i="10"/>
  <c r="AR63" i="10"/>
  <c r="AR70" i="10"/>
  <c r="AR34" i="10"/>
  <c r="AR85" i="10"/>
  <c r="AR20" i="10"/>
  <c r="AR2" i="10"/>
  <c r="AR24" i="10"/>
  <c r="AR49" i="10"/>
  <c r="AR34" i="9"/>
  <c r="AR85" i="9"/>
  <c r="AR63" i="9"/>
  <c r="AR33" i="9"/>
  <c r="AR24" i="9"/>
  <c r="AR80" i="9"/>
  <c r="AR55" i="9"/>
  <c r="AR8" i="9"/>
  <c r="AR20" i="9"/>
  <c r="AR74" i="9"/>
  <c r="AR40" i="9"/>
  <c r="AS81" i="5"/>
  <c r="AS89" i="5"/>
  <c r="AS90" i="5"/>
  <c r="AR49" i="9"/>
  <c r="AS92" i="5"/>
  <c r="AS96" i="5"/>
  <c r="AS86" i="5"/>
  <c r="AS87" i="5"/>
  <c r="AS98" i="5"/>
  <c r="AR37" i="9"/>
  <c r="AS93" i="5"/>
  <c r="AS83" i="5"/>
  <c r="AS97" i="5"/>
  <c r="AS88" i="5"/>
  <c r="AR2" i="9"/>
  <c r="AS94" i="5"/>
  <c r="AS95" i="5"/>
  <c r="AS84" i="5"/>
  <c r="AS99" i="5"/>
  <c r="AS100" i="5"/>
  <c r="AS91" i="5"/>
  <c r="AR70" i="9"/>
  <c r="AS80" i="5"/>
  <c r="AS82" i="5"/>
  <c r="AS85" i="5"/>
  <c r="AQ4" i="11"/>
  <c r="AQ53" i="11"/>
  <c r="AQ13" i="11"/>
  <c r="AQ51" i="11"/>
  <c r="AQ45" i="11"/>
  <c r="AQ71" i="11"/>
  <c r="AQ53" i="10"/>
  <c r="AQ13" i="10"/>
  <c r="AQ51" i="10"/>
  <c r="AQ45" i="10"/>
  <c r="AQ4" i="10"/>
  <c r="AQ71" i="10"/>
  <c r="AQ45" i="9"/>
  <c r="AQ51" i="9"/>
  <c r="AQ13" i="9"/>
  <c r="AQ71" i="9"/>
  <c r="AQ4" i="9"/>
  <c r="AQ53" i="9"/>
  <c r="AR31" i="5"/>
  <c r="AR15" i="5"/>
  <c r="AR38" i="5"/>
  <c r="AR43" i="5"/>
  <c r="AR7" i="5"/>
  <c r="AR11" i="5"/>
  <c r="AR21" i="5"/>
  <c r="AR2" i="5"/>
  <c r="AR28" i="5"/>
  <c r="AR30" i="5"/>
  <c r="AR12" i="5"/>
  <c r="AR22" i="5"/>
  <c r="AR41" i="5"/>
  <c r="AR25" i="5"/>
  <c r="AR27" i="5"/>
  <c r="AR3" i="5"/>
  <c r="AR8" i="5"/>
  <c r="AR32" i="5"/>
  <c r="AR37" i="5"/>
  <c r="AR18" i="5"/>
  <c r="AR39" i="5"/>
  <c r="AR26" i="5"/>
  <c r="AR46" i="5"/>
  <c r="AR10" i="5"/>
  <c r="AR13" i="5"/>
  <c r="AR36" i="5"/>
  <c r="AR16" i="5"/>
  <c r="AR45" i="5"/>
  <c r="AR47" i="5"/>
  <c r="AR5" i="5"/>
  <c r="AR33" i="5"/>
  <c r="AR34" i="5"/>
  <c r="AR19" i="5"/>
  <c r="AR40" i="5"/>
  <c r="AR4" i="5"/>
  <c r="AR29" i="5"/>
  <c r="AR20" i="5"/>
  <c r="AR6" i="5"/>
  <c r="AR9" i="5"/>
  <c r="AR35" i="5"/>
  <c r="AR14" i="5"/>
  <c r="AR17" i="5"/>
  <c r="AR23" i="5"/>
  <c r="AR42" i="5"/>
  <c r="AR44" i="5"/>
  <c r="AR24" i="5"/>
  <c r="AU45" i="11"/>
  <c r="AU4" i="11"/>
  <c r="AU71" i="11"/>
  <c r="AU53" i="11"/>
  <c r="AU13" i="11"/>
  <c r="AU51" i="11"/>
  <c r="AU51" i="10"/>
  <c r="AU45" i="10"/>
  <c r="AU4" i="10"/>
  <c r="AU71" i="10"/>
  <c r="AU53" i="10"/>
  <c r="AU13" i="10"/>
  <c r="AV2" i="5"/>
  <c r="AV28" i="5"/>
  <c r="AV30" i="5"/>
  <c r="AV12" i="5"/>
  <c r="AV22" i="5"/>
  <c r="AV41" i="5"/>
  <c r="AV25" i="5"/>
  <c r="AV27" i="5"/>
  <c r="AU71" i="9"/>
  <c r="AU4" i="9"/>
  <c r="AV3" i="5"/>
  <c r="AV8" i="5"/>
  <c r="AV32" i="5"/>
  <c r="AV37" i="5"/>
  <c r="AV18" i="5"/>
  <c r="AV39" i="5"/>
  <c r="AV10" i="5"/>
  <c r="AV13" i="5"/>
  <c r="AV36" i="5"/>
  <c r="AV16" i="5"/>
  <c r="AV45" i="5"/>
  <c r="AV47" i="5"/>
  <c r="AU53" i="9"/>
  <c r="AV5" i="5"/>
  <c r="AV33" i="5"/>
  <c r="AV34" i="5"/>
  <c r="AV19" i="5"/>
  <c r="AV40" i="5"/>
  <c r="AV4" i="5"/>
  <c r="AV29" i="5"/>
  <c r="AV20" i="5"/>
  <c r="AU45" i="9"/>
  <c r="AV6" i="5"/>
  <c r="AV9" i="5"/>
  <c r="AV35" i="5"/>
  <c r="AV14" i="5"/>
  <c r="AV17" i="5"/>
  <c r="AV23" i="5"/>
  <c r="AV42" i="5"/>
  <c r="AU51" i="9"/>
  <c r="AU13" i="9"/>
  <c r="AV7" i="5"/>
  <c r="AV11" i="5"/>
  <c r="AV21" i="5"/>
  <c r="AV24" i="5"/>
  <c r="AV44" i="5"/>
  <c r="AV15" i="5"/>
  <c r="AV26" i="5"/>
  <c r="AV46" i="5"/>
  <c r="AV43" i="5"/>
  <c r="AV38" i="5"/>
  <c r="AV31" i="5"/>
  <c r="K78" i="11"/>
  <c r="K19" i="11"/>
  <c r="K43" i="11"/>
  <c r="K19" i="10"/>
  <c r="K78" i="10"/>
  <c r="K43" i="10"/>
  <c r="L77" i="9"/>
  <c r="L77" i="11"/>
  <c r="L77" i="10"/>
  <c r="J78" i="11"/>
  <c r="J19" i="11"/>
  <c r="J43" i="11"/>
  <c r="J19" i="10"/>
  <c r="J78" i="10"/>
  <c r="J43" i="10"/>
  <c r="AR81" i="11"/>
  <c r="AR12" i="11"/>
  <c r="AR86" i="11"/>
  <c r="AR9" i="11"/>
  <c r="AR41" i="11"/>
  <c r="AR27" i="11"/>
  <c r="AR62" i="11"/>
  <c r="AR66" i="11"/>
  <c r="AR84" i="11"/>
  <c r="AR3" i="11"/>
  <c r="AR7" i="11"/>
  <c r="AR65" i="11"/>
  <c r="AR75" i="11"/>
  <c r="AR6" i="11"/>
  <c r="AR35" i="11"/>
  <c r="AR38" i="11"/>
  <c r="AR82" i="11"/>
  <c r="AR77" i="11"/>
  <c r="AR82" i="10"/>
  <c r="AR77" i="10"/>
  <c r="AR38" i="10"/>
  <c r="AR86" i="10"/>
  <c r="AR9" i="10"/>
  <c r="AR41" i="10"/>
  <c r="AR27" i="10"/>
  <c r="AR62" i="10"/>
  <c r="AR66" i="10"/>
  <c r="AR84" i="10"/>
  <c r="AR3" i="10"/>
  <c r="AR7" i="10"/>
  <c r="AR65" i="10"/>
  <c r="AR75" i="10"/>
  <c r="AR6" i="10"/>
  <c r="AR35" i="10"/>
  <c r="AR81" i="10"/>
  <c r="AR12" i="10"/>
  <c r="AR84" i="9"/>
  <c r="AR9" i="9"/>
  <c r="AR65" i="9"/>
  <c r="AR86" i="9"/>
  <c r="AR75" i="9"/>
  <c r="AR41" i="9"/>
  <c r="AR82" i="9"/>
  <c r="AR35" i="9"/>
  <c r="AR81" i="9"/>
  <c r="AR62" i="9"/>
  <c r="AR7" i="9"/>
  <c r="AS106" i="5"/>
  <c r="AS119" i="5"/>
  <c r="AR77" i="9"/>
  <c r="AR38" i="9"/>
  <c r="AR6" i="9"/>
  <c r="AS102" i="5"/>
  <c r="AR27" i="9"/>
  <c r="AR3" i="9"/>
  <c r="AS103" i="5"/>
  <c r="AS107" i="5"/>
  <c r="AS122" i="5"/>
  <c r="AS117" i="5"/>
  <c r="AS121" i="5"/>
  <c r="AS108" i="5"/>
  <c r="AS116" i="5"/>
  <c r="AS111" i="5"/>
  <c r="AS113" i="5"/>
  <c r="AS115" i="5"/>
  <c r="AS101" i="5"/>
  <c r="AS118" i="5"/>
  <c r="AS114" i="5"/>
  <c r="AR66" i="9"/>
  <c r="AS109" i="5"/>
  <c r="AS112" i="5"/>
  <c r="AS104" i="5"/>
  <c r="AS120" i="5"/>
  <c r="AS123" i="5"/>
  <c r="AS124" i="5"/>
  <c r="AR12" i="9"/>
  <c r="AS105" i="5"/>
  <c r="AS110" i="5"/>
  <c r="L19" i="11"/>
  <c r="L43" i="11"/>
  <c r="L78" i="11"/>
  <c r="L78" i="10"/>
  <c r="L19" i="10"/>
  <c r="L43" i="10"/>
  <c r="AS11" i="11"/>
  <c r="AS23" i="11"/>
  <c r="AS29" i="11"/>
  <c r="AS67" i="11"/>
  <c r="AS30" i="11"/>
  <c r="AS73" i="11"/>
  <c r="AS59" i="11"/>
  <c r="AS18" i="11"/>
  <c r="AS16" i="11"/>
  <c r="AS22" i="11"/>
  <c r="AS68" i="11"/>
  <c r="AS57" i="11"/>
  <c r="AS28" i="11"/>
  <c r="AS21" i="11"/>
  <c r="AS5" i="11"/>
  <c r="AS25" i="11"/>
  <c r="AS60" i="11"/>
  <c r="AS87" i="11"/>
  <c r="AS46" i="11"/>
  <c r="AS46" i="10"/>
  <c r="AS25" i="10"/>
  <c r="AS60" i="10"/>
  <c r="AS87" i="10"/>
  <c r="AS67" i="10"/>
  <c r="AS30" i="10"/>
  <c r="AS73" i="10"/>
  <c r="AS59" i="10"/>
  <c r="AS18" i="10"/>
  <c r="AS16" i="10"/>
  <c r="AS22" i="10"/>
  <c r="AS68" i="10"/>
  <c r="AS57" i="10"/>
  <c r="AS28" i="10"/>
  <c r="AS21" i="10"/>
  <c r="AS5" i="10"/>
  <c r="AS11" i="10"/>
  <c r="AS23" i="10"/>
  <c r="AS29" i="10"/>
  <c r="AT50" i="5"/>
  <c r="AT74" i="5"/>
  <c r="AT58" i="5"/>
  <c r="AT78" i="5"/>
  <c r="AT73" i="5"/>
  <c r="AS87" i="9"/>
  <c r="AS59" i="9"/>
  <c r="AS28" i="9"/>
  <c r="AS18" i="9"/>
  <c r="AT56" i="5"/>
  <c r="AT77" i="5"/>
  <c r="AT79" i="5"/>
  <c r="AS60" i="9"/>
  <c r="AS73" i="9"/>
  <c r="AS57" i="9"/>
  <c r="AS25" i="9"/>
  <c r="AS16" i="9"/>
  <c r="AT51" i="5"/>
  <c r="AT53" i="5"/>
  <c r="AT59" i="5"/>
  <c r="AT62" i="5"/>
  <c r="AT67" i="5"/>
  <c r="AT70" i="5"/>
  <c r="AT48" i="5"/>
  <c r="AT54" i="5"/>
  <c r="AT68" i="5"/>
  <c r="AT71" i="5"/>
  <c r="AS29" i="9"/>
  <c r="AS68" i="9"/>
  <c r="AS46" i="9"/>
  <c r="AS22" i="9"/>
  <c r="AS11" i="9"/>
  <c r="AS23" i="9"/>
  <c r="AS67" i="9"/>
  <c r="AS30" i="9"/>
  <c r="AS21" i="9"/>
  <c r="AS5" i="9"/>
  <c r="AT63" i="5"/>
  <c r="AT60" i="5"/>
  <c r="AT69" i="5"/>
  <c r="AT76" i="5"/>
  <c r="AT49" i="5"/>
  <c r="AT57" i="5"/>
  <c r="AT64" i="5"/>
  <c r="AT65" i="5"/>
  <c r="AT72" i="5"/>
  <c r="AT75" i="5"/>
  <c r="AT61" i="5"/>
  <c r="AT66" i="5"/>
  <c r="AT52" i="5"/>
  <c r="AT55" i="5"/>
  <c r="AS50" i="11"/>
  <c r="AS31" i="11"/>
  <c r="AS43" i="11"/>
  <c r="AS19" i="11"/>
  <c r="AS10" i="11"/>
  <c r="AS78" i="11"/>
  <c r="AS31" i="10"/>
  <c r="AS43" i="10"/>
  <c r="AS19" i="10"/>
  <c r="AS10" i="10"/>
  <c r="AS78" i="10"/>
  <c r="AS50" i="10"/>
  <c r="AS78" i="9"/>
  <c r="AS50" i="9"/>
  <c r="AS10" i="9"/>
  <c r="AS43" i="9"/>
  <c r="AS31" i="9"/>
  <c r="AT128" i="5"/>
  <c r="AT132" i="5"/>
  <c r="AT130" i="5"/>
  <c r="AT133" i="5"/>
  <c r="AS19" i="9"/>
  <c r="AT129" i="5"/>
  <c r="AT134" i="5"/>
  <c r="AT135" i="5"/>
  <c r="AT131" i="5"/>
  <c r="K13" i="9"/>
  <c r="K13" i="11"/>
  <c r="K13" i="10"/>
  <c r="J77" i="9"/>
  <c r="J77" i="11"/>
  <c r="J77" i="10"/>
  <c r="I77" i="9"/>
  <c r="I77" i="11"/>
  <c r="I77" i="10"/>
  <c r="J21" i="9"/>
  <c r="AR31" i="11"/>
  <c r="AR43" i="11"/>
  <c r="AR19" i="11"/>
  <c r="AR10" i="11"/>
  <c r="AR78" i="11"/>
  <c r="AR50" i="11"/>
  <c r="AR31" i="10"/>
  <c r="AR43" i="10"/>
  <c r="AR19" i="10"/>
  <c r="AR10" i="10"/>
  <c r="AR78" i="10"/>
  <c r="AR50" i="10"/>
  <c r="AR78" i="9"/>
  <c r="AR19" i="9"/>
  <c r="AR50" i="9"/>
  <c r="AR10" i="9"/>
  <c r="AR43" i="9"/>
  <c r="AR31" i="9"/>
  <c r="AS129" i="5"/>
  <c r="AS134" i="5"/>
  <c r="AS128" i="5"/>
  <c r="AS130" i="5"/>
  <c r="AS133" i="5"/>
  <c r="AS131" i="5"/>
  <c r="AS132" i="5"/>
  <c r="AS135" i="5"/>
  <c r="AQ42" i="11"/>
  <c r="AQ47" i="11"/>
  <c r="AQ39" i="11"/>
  <c r="AQ58" i="11"/>
  <c r="AQ44" i="11"/>
  <c r="AQ79" i="11"/>
  <c r="AQ17" i="11"/>
  <c r="AQ48" i="11"/>
  <c r="AQ14" i="11"/>
  <c r="AQ52" i="11"/>
  <c r="AQ64" i="11"/>
  <c r="AQ69" i="11"/>
  <c r="AQ61" i="11"/>
  <c r="AQ56" i="11"/>
  <c r="AQ88" i="11"/>
  <c r="AQ72" i="11"/>
  <c r="AQ83" i="11"/>
  <c r="AQ76" i="11"/>
  <c r="AQ15" i="11"/>
  <c r="AQ26" i="11"/>
  <c r="AQ54" i="11"/>
  <c r="AQ32" i="11"/>
  <c r="AQ36" i="11"/>
  <c r="AQ36" i="10"/>
  <c r="AQ44" i="10"/>
  <c r="AQ79" i="10"/>
  <c r="AQ17" i="10"/>
  <c r="AQ48" i="10"/>
  <c r="AQ14" i="10"/>
  <c r="AQ52" i="10"/>
  <c r="AQ64" i="10"/>
  <c r="AQ69" i="10"/>
  <c r="AQ61" i="10"/>
  <c r="AQ56" i="10"/>
  <c r="AQ88" i="10"/>
  <c r="AQ72" i="10"/>
  <c r="AQ83" i="10"/>
  <c r="AQ76" i="10"/>
  <c r="AQ15" i="10"/>
  <c r="AQ26" i="10"/>
  <c r="AQ54" i="10"/>
  <c r="AQ42" i="10"/>
  <c r="AQ47" i="10"/>
  <c r="AQ39" i="10"/>
  <c r="AQ58" i="10"/>
  <c r="AQ32" i="10"/>
  <c r="AQ88" i="9"/>
  <c r="AQ69" i="9"/>
  <c r="AQ56" i="9"/>
  <c r="AQ47" i="9"/>
  <c r="AQ36" i="9"/>
  <c r="AQ14" i="9"/>
  <c r="AQ83" i="9"/>
  <c r="AQ64" i="9"/>
  <c r="AQ54" i="9"/>
  <c r="AQ44" i="9"/>
  <c r="AQ26" i="9"/>
  <c r="AQ79" i="9"/>
  <c r="AQ61" i="9"/>
  <c r="AQ52" i="9"/>
  <c r="AQ42" i="9"/>
  <c r="AQ17" i="9"/>
  <c r="AQ72" i="9"/>
  <c r="AQ58" i="9"/>
  <c r="AQ48" i="9"/>
  <c r="AQ39" i="9"/>
  <c r="AQ15" i="9"/>
  <c r="AQ76" i="9"/>
  <c r="AQ32" i="9"/>
  <c r="AR136" i="5"/>
  <c r="AR139" i="5"/>
  <c r="AR141" i="5"/>
  <c r="AR144" i="5"/>
  <c r="AR149" i="5"/>
  <c r="AR155" i="5"/>
  <c r="AR138" i="5"/>
  <c r="AR142" i="5"/>
  <c r="AR145" i="5"/>
  <c r="AR147" i="5"/>
  <c r="AR150" i="5"/>
  <c r="AR154" i="5"/>
  <c r="AR143" i="5"/>
  <c r="AR137" i="5"/>
  <c r="AR140" i="5"/>
  <c r="AR153" i="5"/>
  <c r="AR125" i="5"/>
  <c r="AR146" i="5"/>
  <c r="AR148" i="5"/>
  <c r="AR151" i="5"/>
  <c r="AR152" i="5"/>
  <c r="AR127" i="5"/>
  <c r="AR156" i="5"/>
  <c r="AR157" i="5"/>
  <c r="AR126" i="5"/>
  <c r="AQ33" i="11"/>
  <c r="AQ37" i="11"/>
  <c r="AQ40" i="11"/>
  <c r="AQ74" i="11"/>
  <c r="AQ55" i="11"/>
  <c r="AQ63" i="11"/>
  <c r="AQ70" i="11"/>
  <c r="AQ34" i="11"/>
  <c r="AQ85" i="11"/>
  <c r="AQ20" i="11"/>
  <c r="AQ2" i="11"/>
  <c r="AQ24" i="11"/>
  <c r="AQ49" i="11"/>
  <c r="AQ8" i="11"/>
  <c r="AQ80" i="11"/>
  <c r="AQ8" i="10"/>
  <c r="AQ37" i="10"/>
  <c r="AQ40" i="10"/>
  <c r="AQ74" i="10"/>
  <c r="AQ55" i="10"/>
  <c r="AQ63" i="10"/>
  <c r="AQ70" i="10"/>
  <c r="AQ34" i="10"/>
  <c r="AQ85" i="10"/>
  <c r="AQ20" i="10"/>
  <c r="AQ24" i="10"/>
  <c r="AQ49" i="10"/>
  <c r="AQ33" i="10"/>
  <c r="AQ2" i="10"/>
  <c r="AQ80" i="10"/>
  <c r="AQ34" i="9"/>
  <c r="AQ85" i="9"/>
  <c r="AQ63" i="9"/>
  <c r="AQ33" i="9"/>
  <c r="AQ24" i="9"/>
  <c r="AQ80" i="9"/>
  <c r="AQ55" i="9"/>
  <c r="AQ8" i="9"/>
  <c r="AQ20" i="9"/>
  <c r="AQ74" i="9"/>
  <c r="AQ40" i="9"/>
  <c r="AQ49" i="9"/>
  <c r="AQ2" i="9"/>
  <c r="AQ70" i="9"/>
  <c r="AQ37" i="9"/>
  <c r="AR92" i="5"/>
  <c r="AR95" i="5"/>
  <c r="AR88" i="5"/>
  <c r="AR80" i="5"/>
  <c r="AR94" i="5"/>
  <c r="AR82" i="5"/>
  <c r="AR84" i="5"/>
  <c r="AR96" i="5"/>
  <c r="AR99" i="5"/>
  <c r="AR100" i="5"/>
  <c r="AR91" i="5"/>
  <c r="AR86" i="5"/>
  <c r="AR85" i="5"/>
  <c r="AR97" i="5"/>
  <c r="AR87" i="5"/>
  <c r="AR89" i="5"/>
  <c r="AR90" i="5"/>
  <c r="AR93" i="5"/>
  <c r="AR83" i="5"/>
  <c r="AR98" i="5"/>
  <c r="AR81" i="5"/>
  <c r="L68" i="11"/>
  <c r="L21" i="11"/>
  <c r="L30" i="11"/>
  <c r="L67" i="11"/>
  <c r="L59" i="11"/>
  <c r="L28" i="11"/>
  <c r="L68" i="10"/>
  <c r="L21" i="10"/>
  <c r="L28" i="10"/>
  <c r="L30" i="10"/>
  <c r="L67" i="10"/>
  <c r="L59" i="10"/>
  <c r="J13" i="9"/>
  <c r="J13" i="11"/>
  <c r="J13" i="10"/>
  <c r="L13" i="9"/>
  <c r="L13" i="11"/>
  <c r="L13" i="10"/>
  <c r="AT51" i="11"/>
  <c r="AT4" i="11"/>
  <c r="AT71" i="11"/>
  <c r="AT53" i="11"/>
  <c r="AT13" i="11"/>
  <c r="AT45" i="11"/>
  <c r="AT45" i="10"/>
  <c r="AT4" i="10"/>
  <c r="AT71" i="10"/>
  <c r="AT53" i="10"/>
  <c r="AT13" i="10"/>
  <c r="AT51" i="10"/>
  <c r="AT51" i="9"/>
  <c r="AT13" i="9"/>
  <c r="AU5" i="5"/>
  <c r="AU33" i="5"/>
  <c r="AU34" i="5"/>
  <c r="AU19" i="5"/>
  <c r="AU40" i="5"/>
  <c r="AT71" i="9"/>
  <c r="AT4" i="9"/>
  <c r="AU6" i="5"/>
  <c r="AU9" i="5"/>
  <c r="AU35" i="5"/>
  <c r="AU14" i="5"/>
  <c r="AU17" i="5"/>
  <c r="AU23" i="5"/>
  <c r="AU42" i="5"/>
  <c r="AU31" i="5"/>
  <c r="AU15" i="5"/>
  <c r="AU38" i="5"/>
  <c r="AU43" i="5"/>
  <c r="AT53" i="9"/>
  <c r="AU7" i="5"/>
  <c r="AU11" i="5"/>
  <c r="AU21" i="5"/>
  <c r="AU24" i="5"/>
  <c r="AU44" i="5"/>
  <c r="AU2" i="5"/>
  <c r="AU28" i="5"/>
  <c r="AU30" i="5"/>
  <c r="AU12" i="5"/>
  <c r="AU10" i="5"/>
  <c r="AU13" i="5"/>
  <c r="AU36" i="5"/>
  <c r="AU16" i="5"/>
  <c r="AU45" i="5"/>
  <c r="AU47" i="5"/>
  <c r="AU8" i="5"/>
  <c r="AU20" i="5"/>
  <c r="AU3" i="5"/>
  <c r="AU32" i="5"/>
  <c r="AU39" i="5"/>
  <c r="AU41" i="5"/>
  <c r="AU46" i="5"/>
  <c r="AT45" i="9"/>
  <c r="AU27" i="5"/>
  <c r="AU37" i="5"/>
  <c r="AU22" i="5"/>
  <c r="AU4" i="5"/>
  <c r="AU25" i="5"/>
  <c r="AU26" i="5"/>
  <c r="AU29" i="5"/>
  <c r="AU18" i="5"/>
  <c r="AS45" i="11"/>
  <c r="AS4" i="11"/>
  <c r="AS71" i="11"/>
  <c r="AS53" i="11"/>
  <c r="AS13" i="11"/>
  <c r="AS51" i="11"/>
  <c r="AS4" i="10"/>
  <c r="AS71" i="10"/>
  <c r="AS53" i="10"/>
  <c r="AS13" i="10"/>
  <c r="AS51" i="10"/>
  <c r="AS45" i="10"/>
  <c r="AT31" i="5"/>
  <c r="AT15" i="5"/>
  <c r="AT38" i="5"/>
  <c r="AT43" i="5"/>
  <c r="AS51" i="9"/>
  <c r="AS13" i="9"/>
  <c r="AT2" i="5"/>
  <c r="AT28" i="5"/>
  <c r="AT30" i="5"/>
  <c r="AT12" i="5"/>
  <c r="AT22" i="5"/>
  <c r="AT41" i="5"/>
  <c r="AT25" i="5"/>
  <c r="AS71" i="9"/>
  <c r="AS4" i="9"/>
  <c r="AT3" i="5"/>
  <c r="AT8" i="5"/>
  <c r="AT32" i="5"/>
  <c r="AT37" i="5"/>
  <c r="AT18" i="5"/>
  <c r="AT39" i="5"/>
  <c r="AT26" i="5"/>
  <c r="AT46" i="5"/>
  <c r="AT10" i="5"/>
  <c r="AT13" i="5"/>
  <c r="AT36" i="5"/>
  <c r="AT16" i="5"/>
  <c r="AT45" i="5"/>
  <c r="AT47" i="5"/>
  <c r="AS53" i="9"/>
  <c r="AS45" i="9"/>
  <c r="AT4" i="5"/>
  <c r="AT9" i="5"/>
  <c r="AT35" i="5"/>
  <c r="AT17" i="5"/>
  <c r="AT42" i="5"/>
  <c r="AT11" i="5"/>
  <c r="AT21" i="5"/>
  <c r="AT5" i="5"/>
  <c r="AT33" i="5"/>
  <c r="AT19" i="5"/>
  <c r="AT44" i="5"/>
  <c r="AT29" i="5"/>
  <c r="AT20" i="5"/>
  <c r="AT6" i="5"/>
  <c r="AT14" i="5"/>
  <c r="AT23" i="5"/>
  <c r="AT7" i="5"/>
  <c r="AT24" i="5"/>
  <c r="AT34" i="5"/>
  <c r="AT40" i="5"/>
  <c r="AT27" i="5"/>
  <c r="AT78" i="11"/>
  <c r="AT31" i="11"/>
  <c r="AT43" i="11"/>
  <c r="AT19" i="11"/>
  <c r="AT10" i="11"/>
  <c r="AT50" i="11"/>
  <c r="AT50" i="10"/>
  <c r="AT31" i="10"/>
  <c r="AT43" i="10"/>
  <c r="AT19" i="10"/>
  <c r="AT10" i="10"/>
  <c r="AT78" i="10"/>
  <c r="AT50" i="9"/>
  <c r="AT10" i="9"/>
  <c r="AT43" i="9"/>
  <c r="AT31" i="9"/>
  <c r="AT78" i="9"/>
  <c r="AT19" i="9"/>
  <c r="AU131" i="5"/>
  <c r="AU129" i="5"/>
  <c r="AU134" i="5"/>
  <c r="AU135" i="5"/>
  <c r="AU128" i="5"/>
  <c r="AU130" i="5"/>
  <c r="AU133" i="5"/>
  <c r="AU132" i="5"/>
  <c r="J52" i="9"/>
  <c r="J79" i="9"/>
  <c r="J17" i="9"/>
  <c r="L59" i="9"/>
  <c r="L68" i="9"/>
  <c r="L28" i="9"/>
  <c r="L21" i="9"/>
  <c r="L67" i="9"/>
  <c r="L30" i="9"/>
  <c r="L79" i="9"/>
  <c r="L17" i="9"/>
  <c r="L52" i="9"/>
  <c r="K68" i="9"/>
  <c r="K28" i="9"/>
  <c r="K21" i="9"/>
  <c r="K67" i="9"/>
  <c r="K30" i="9"/>
  <c r="K59" i="9"/>
  <c r="K78" i="9"/>
  <c r="K43" i="9"/>
  <c r="K19" i="9"/>
  <c r="K17" i="9"/>
  <c r="K52" i="9"/>
  <c r="K79" i="9"/>
  <c r="J78" i="9"/>
  <c r="J43" i="9"/>
  <c r="J19" i="9"/>
  <c r="L43" i="9"/>
  <c r="L19" i="9"/>
  <c r="L78" i="9"/>
  <c r="I67" i="9"/>
  <c r="I30" i="9"/>
  <c r="I59" i="9"/>
  <c r="I68" i="9"/>
  <c r="I28" i="9"/>
  <c r="I21" i="9"/>
  <c r="I78" i="9"/>
  <c r="I43" i="9"/>
  <c r="I19" i="9"/>
  <c r="I79" i="9"/>
  <c r="I17" i="9"/>
  <c r="I52" i="9"/>
  <c r="M272" i="2" l="1"/>
  <c r="F47" i="5" s="1"/>
  <c r="G47" i="5" s="1"/>
  <c r="M271" i="2"/>
  <c r="M270" i="2"/>
  <c r="M269" i="2"/>
  <c r="M268" i="2"/>
  <c r="M267" i="2"/>
  <c r="M266" i="2"/>
  <c r="M265" i="2"/>
  <c r="M264" i="2"/>
  <c r="F46" i="5" s="1"/>
  <c r="G46" i="5" s="1"/>
  <c r="M263" i="2"/>
  <c r="F42" i="5" s="1"/>
  <c r="G42" i="5" s="1"/>
  <c r="M262" i="2"/>
  <c r="F100" i="5" s="1"/>
  <c r="G100" i="5" s="1"/>
  <c r="M261" i="2"/>
  <c r="M260" i="2"/>
  <c r="M259" i="2"/>
  <c r="M258" i="2"/>
  <c r="F156" i="5" s="1"/>
  <c r="G156" i="5" s="1"/>
  <c r="M257" i="2"/>
  <c r="M256" i="2"/>
  <c r="M255" i="2"/>
  <c r="M254" i="2"/>
  <c r="M253" i="2"/>
  <c r="M252" i="2"/>
  <c r="M251" i="2"/>
  <c r="M250" i="2"/>
  <c r="F72" i="5" s="1"/>
  <c r="G72" i="5" s="1"/>
  <c r="M249" i="2"/>
  <c r="M248" i="2"/>
  <c r="M247" i="2"/>
  <c r="F44" i="5" s="1"/>
  <c r="G44" i="5" s="1"/>
  <c r="M246" i="2"/>
  <c r="F45" i="5" s="1"/>
  <c r="G45" i="5" s="1"/>
  <c r="M245" i="2"/>
  <c r="M244" i="2"/>
  <c r="M243" i="2"/>
  <c r="M242" i="2"/>
  <c r="F71" i="5" s="1"/>
  <c r="G71" i="5" s="1"/>
  <c r="M241" i="2"/>
  <c r="M240" i="2"/>
  <c r="M239" i="2"/>
  <c r="M238" i="2"/>
  <c r="M237" i="2"/>
  <c r="M236" i="2"/>
  <c r="M235" i="2"/>
  <c r="M234" i="2"/>
  <c r="M233" i="2"/>
  <c r="M232" i="2"/>
  <c r="F27" i="5" s="1"/>
  <c r="G27" i="5" s="1"/>
  <c r="M231" i="2"/>
  <c r="M230" i="2"/>
  <c r="M229" i="2"/>
  <c r="F8" i="5" s="1"/>
  <c r="G8" i="5" s="1"/>
  <c r="M228" i="2"/>
  <c r="M227" i="2"/>
  <c r="M226" i="2"/>
  <c r="F25" i="5" s="1"/>
  <c r="G25" i="5" s="1"/>
  <c r="M225" i="2"/>
  <c r="M224" i="2"/>
  <c r="F158" i="5" s="1"/>
  <c r="G158" i="5" s="1"/>
  <c r="M223" i="2"/>
  <c r="M222" i="2"/>
  <c r="M221" i="2"/>
  <c r="F110" i="5" s="1"/>
  <c r="G110" i="5" s="1"/>
  <c r="M220" i="2"/>
  <c r="M219" i="2"/>
  <c r="F23" i="5" s="1"/>
  <c r="G23" i="5" s="1"/>
  <c r="M218" i="2"/>
  <c r="M217" i="2"/>
  <c r="M216" i="2"/>
  <c r="F43" i="5" s="1"/>
  <c r="G43" i="5" s="1"/>
  <c r="M215" i="2"/>
  <c r="M214" i="2"/>
  <c r="M213" i="2"/>
  <c r="F98" i="5" s="1"/>
  <c r="G98" i="5" s="1"/>
  <c r="M212" i="2"/>
  <c r="M211" i="2"/>
  <c r="M210" i="2"/>
  <c r="F26" i="5" s="1"/>
  <c r="G26" i="5" s="1"/>
  <c r="M209" i="2"/>
  <c r="M208" i="2"/>
  <c r="M207" i="2"/>
  <c r="M206" i="2"/>
  <c r="F99" i="5" s="1"/>
  <c r="G99" i="5" s="1"/>
  <c r="M205" i="2"/>
  <c r="M204" i="2"/>
  <c r="M203" i="2"/>
  <c r="F41" i="5" s="1"/>
  <c r="G41" i="5" s="1"/>
  <c r="M202" i="2"/>
  <c r="F123" i="5" s="1"/>
  <c r="G123" i="5" s="1"/>
  <c r="M201" i="2"/>
  <c r="M200" i="2"/>
  <c r="M199" i="2"/>
  <c r="M198" i="2"/>
  <c r="M197" i="2"/>
  <c r="M196" i="2"/>
  <c r="AN195" i="2"/>
  <c r="I47" i="5" s="1"/>
  <c r="AI195" i="2"/>
  <c r="H47" i="5" s="1"/>
  <c r="M195" i="2"/>
  <c r="AN194" i="2"/>
  <c r="I46" i="5" s="1"/>
  <c r="AI194" i="2"/>
  <c r="H46" i="5" s="1"/>
  <c r="M194" i="2"/>
  <c r="AN193" i="2"/>
  <c r="I100" i="5" s="1"/>
  <c r="AI193" i="2"/>
  <c r="H100" i="5" s="1"/>
  <c r="M193" i="2"/>
  <c r="AN192" i="2"/>
  <c r="AI192" i="2"/>
  <c r="M192" i="2"/>
  <c r="AN191" i="2"/>
  <c r="AI191" i="2"/>
  <c r="M191" i="2"/>
  <c r="AN190" i="2"/>
  <c r="I156" i="5" s="1"/>
  <c r="AI190" i="2"/>
  <c r="H156" i="5" s="1"/>
  <c r="M190" i="2"/>
  <c r="AN189" i="2"/>
  <c r="AI189" i="2"/>
  <c r="M189" i="2"/>
  <c r="AN188" i="2"/>
  <c r="I72" i="5" s="1"/>
  <c r="AI188" i="2"/>
  <c r="H72" i="5" s="1"/>
  <c r="M188" i="2"/>
  <c r="AN187" i="2"/>
  <c r="AI187" i="2"/>
  <c r="M187" i="2"/>
  <c r="AN186" i="2"/>
  <c r="I45" i="5" s="1"/>
  <c r="AI186" i="2"/>
  <c r="H45" i="5" s="1"/>
  <c r="M186" i="2"/>
  <c r="AN185" i="2"/>
  <c r="AI185" i="2"/>
  <c r="M185" i="2"/>
  <c r="AN184" i="2"/>
  <c r="AI184" i="2"/>
  <c r="M184" i="2"/>
  <c r="F97" i="5" s="1"/>
  <c r="G97" i="5" s="1"/>
  <c r="AN183" i="2"/>
  <c r="AI183" i="2"/>
  <c r="V183" i="2"/>
  <c r="O47" i="5" s="1"/>
  <c r="M183" i="2"/>
  <c r="AN182" i="2"/>
  <c r="I44" i="5" s="1"/>
  <c r="AI182" i="2"/>
  <c r="H44" i="5" s="1"/>
  <c r="V182" i="2"/>
  <c r="O46" i="5" s="1"/>
  <c r="M182" i="2"/>
  <c r="AN181" i="2"/>
  <c r="AI181" i="2"/>
  <c r="V181" i="2"/>
  <c r="O100" i="5" s="1"/>
  <c r="M181" i="2"/>
  <c r="AN180" i="2"/>
  <c r="AI180" i="2"/>
  <c r="V180" i="2"/>
  <c r="M180" i="2"/>
  <c r="AN179" i="2"/>
  <c r="AI179" i="2"/>
  <c r="V179" i="2"/>
  <c r="M179" i="2"/>
  <c r="AN178" i="2"/>
  <c r="AI178" i="2"/>
  <c r="V178" i="2"/>
  <c r="O156" i="5" s="1"/>
  <c r="M178" i="2"/>
  <c r="F134" i="5" s="1"/>
  <c r="G134" i="5" s="1"/>
  <c r="AN177" i="2"/>
  <c r="I71" i="5" s="1"/>
  <c r="AI177" i="2"/>
  <c r="H71" i="5" s="1"/>
  <c r="V177" i="2"/>
  <c r="M177" i="2"/>
  <c r="AN176" i="2"/>
  <c r="AI176" i="2"/>
  <c r="V176" i="2"/>
  <c r="O72" i="5" s="1"/>
  <c r="M176" i="2"/>
  <c r="AN175" i="2"/>
  <c r="I27" i="5" s="1"/>
  <c r="AI175" i="2"/>
  <c r="H27" i="5" s="1"/>
  <c r="V175" i="2"/>
  <c r="M175" i="2"/>
  <c r="F78" i="5" s="1"/>
  <c r="G78" i="5" s="1"/>
  <c r="AN174" i="2"/>
  <c r="AI174" i="2"/>
  <c r="V174" i="2"/>
  <c r="O45" i="5" s="1"/>
  <c r="M174" i="2"/>
  <c r="AN173" i="2"/>
  <c r="AI173" i="2"/>
  <c r="V173" i="2"/>
  <c r="M173" i="2"/>
  <c r="F21" i="5" s="1"/>
  <c r="G21" i="5" s="1"/>
  <c r="AN172" i="2"/>
  <c r="AI172" i="2"/>
  <c r="V172" i="2"/>
  <c r="M172" i="2"/>
  <c r="AN171" i="2"/>
  <c r="AI171" i="2"/>
  <c r="V171" i="2"/>
  <c r="O44" i="5" s="1"/>
  <c r="Q171" i="2"/>
  <c r="P47" i="5" s="1"/>
  <c r="M171" i="2"/>
  <c r="AN170" i="2"/>
  <c r="AI170" i="2"/>
  <c r="V170" i="2"/>
  <c r="Q170" i="2"/>
  <c r="P46" i="5" s="1"/>
  <c r="M170" i="2"/>
  <c r="AN169" i="2"/>
  <c r="AI169" i="2"/>
  <c r="V169" i="2"/>
  <c r="Q169" i="2"/>
  <c r="P100" i="5" s="1"/>
  <c r="M169" i="2"/>
  <c r="AN168" i="2"/>
  <c r="AI168" i="2"/>
  <c r="V168" i="2"/>
  <c r="Q168" i="2"/>
  <c r="O88" i="11" s="1"/>
  <c r="M168" i="2"/>
  <c r="F38" i="5" s="1"/>
  <c r="G38" i="5" s="1"/>
  <c r="AN167" i="2"/>
  <c r="AI167" i="2"/>
  <c r="V167" i="2"/>
  <c r="Q167" i="2"/>
  <c r="O87" i="11" s="1"/>
  <c r="M167" i="2"/>
  <c r="F20" i="5" s="1"/>
  <c r="G20" i="5" s="1"/>
  <c r="AN166" i="2"/>
  <c r="I99" i="5" s="1"/>
  <c r="AI166" i="2"/>
  <c r="H99" i="5" s="1"/>
  <c r="V166" i="2"/>
  <c r="O71" i="5" s="1"/>
  <c r="Q166" i="2"/>
  <c r="P156" i="5" s="1"/>
  <c r="M166" i="2"/>
  <c r="AN165" i="2"/>
  <c r="I126" i="5" s="1"/>
  <c r="AI165" i="2"/>
  <c r="H126" i="5" s="1"/>
  <c r="V165" i="2"/>
  <c r="Q165" i="2"/>
  <c r="O86" i="11" s="1"/>
  <c r="M165" i="2"/>
  <c r="F39" i="5" s="1"/>
  <c r="G39" i="5" s="1"/>
  <c r="AN164" i="2"/>
  <c r="AI164" i="2"/>
  <c r="V164" i="2"/>
  <c r="O27" i="5" s="1"/>
  <c r="Q164" i="2"/>
  <c r="P72" i="5" s="1"/>
  <c r="M164" i="2"/>
  <c r="AN163" i="2"/>
  <c r="I43" i="5" s="1"/>
  <c r="AI163" i="2"/>
  <c r="H43" i="5" s="1"/>
  <c r="V163" i="2"/>
  <c r="Q163" i="2"/>
  <c r="P45" i="5" s="1"/>
  <c r="M163" i="2"/>
  <c r="AN162" i="2"/>
  <c r="I42" i="5" s="1"/>
  <c r="AI162" i="2"/>
  <c r="H42" i="5" s="1"/>
  <c r="V162" i="2"/>
  <c r="Q162" i="2"/>
  <c r="O85" i="11" s="1"/>
  <c r="M162" i="2"/>
  <c r="AN161" i="2"/>
  <c r="I98" i="5" s="1"/>
  <c r="AI161" i="2"/>
  <c r="H98" i="5" s="1"/>
  <c r="V161" i="2"/>
  <c r="Q161" i="2"/>
  <c r="O84" i="11" s="1"/>
  <c r="M161" i="2"/>
  <c r="AN160" i="2"/>
  <c r="AI160" i="2"/>
  <c r="V160" i="2"/>
  <c r="Q160" i="2"/>
  <c r="P44" i="5" s="1"/>
  <c r="M160" i="2"/>
  <c r="AN159" i="2"/>
  <c r="AI159" i="2"/>
  <c r="V159" i="2"/>
  <c r="Q159" i="2"/>
  <c r="O83" i="11" s="1"/>
  <c r="M159" i="2"/>
  <c r="AN158" i="2"/>
  <c r="I110" i="5" s="1"/>
  <c r="AI158" i="2"/>
  <c r="H110" i="5" s="1"/>
  <c r="V158" i="2"/>
  <c r="Q158" i="2"/>
  <c r="O82" i="11" s="1"/>
  <c r="M158" i="2"/>
  <c r="F18" i="5" s="1"/>
  <c r="G18" i="5" s="1"/>
  <c r="AN157" i="2"/>
  <c r="AI157" i="2"/>
  <c r="V157" i="2"/>
  <c r="O99" i="5" s="1"/>
  <c r="Q157" i="2"/>
  <c r="O81" i="11" s="1"/>
  <c r="M157" i="2"/>
  <c r="AN156" i="2"/>
  <c r="I26" i="5" s="1"/>
  <c r="AI156" i="2"/>
  <c r="H26" i="5" s="1"/>
  <c r="V156" i="2"/>
  <c r="O126" i="5" s="1"/>
  <c r="Q156" i="2"/>
  <c r="O80" i="11" s="1"/>
  <c r="M156" i="2"/>
  <c r="AN155" i="2"/>
  <c r="I25" i="5" s="1"/>
  <c r="AI155" i="2"/>
  <c r="H25" i="5" s="1"/>
  <c r="V155" i="2"/>
  <c r="O43" i="5" s="1"/>
  <c r="Q155" i="2"/>
  <c r="P71" i="5" s="1"/>
  <c r="M155" i="2"/>
  <c r="AN154" i="2"/>
  <c r="AI154" i="2"/>
  <c r="V154" i="2"/>
  <c r="O42" i="5" s="1"/>
  <c r="Q154" i="2"/>
  <c r="O79" i="11" s="1"/>
  <c r="M154" i="2"/>
  <c r="AN153" i="2"/>
  <c r="AI153" i="2"/>
  <c r="V153" i="2"/>
  <c r="O98" i="5" s="1"/>
  <c r="Q153" i="2"/>
  <c r="P27" i="5" s="1"/>
  <c r="M153" i="2"/>
  <c r="AN152" i="2"/>
  <c r="AI152" i="2"/>
  <c r="V152" i="2"/>
  <c r="Q152" i="2"/>
  <c r="O78" i="11" s="1"/>
  <c r="M152" i="2"/>
  <c r="AN151" i="2"/>
  <c r="I23" i="5" s="1"/>
  <c r="AI151" i="2"/>
  <c r="H23" i="5" s="1"/>
  <c r="V151" i="2"/>
  <c r="Q151" i="2"/>
  <c r="O77" i="11" s="1"/>
  <c r="M151" i="2"/>
  <c r="F17" i="5" s="1"/>
  <c r="G17" i="5" s="1"/>
  <c r="AN150" i="2"/>
  <c r="AI150" i="2"/>
  <c r="V150" i="2"/>
  <c r="O110" i="5" s="1"/>
  <c r="Q150" i="2"/>
  <c r="O76" i="11" s="1"/>
  <c r="M150" i="2"/>
  <c r="AN149" i="2"/>
  <c r="AI149" i="2"/>
  <c r="V149" i="2"/>
  <c r="Q149" i="2"/>
  <c r="O75" i="11" s="1"/>
  <c r="M149" i="2"/>
  <c r="AN148" i="2"/>
  <c r="AI148" i="2"/>
  <c r="V148" i="2"/>
  <c r="O26" i="5" s="1"/>
  <c r="Q148" i="2"/>
  <c r="O74" i="11" s="1"/>
  <c r="M148" i="2"/>
  <c r="AN147" i="2"/>
  <c r="I68" i="5" s="1"/>
  <c r="AI147" i="2"/>
  <c r="H68" i="5" s="1"/>
  <c r="V147" i="2"/>
  <c r="O25" i="5" s="1"/>
  <c r="Q147" i="2"/>
  <c r="M147" i="2"/>
  <c r="AN146" i="2"/>
  <c r="AI146" i="2"/>
  <c r="V146" i="2"/>
  <c r="Q146" i="2"/>
  <c r="O73" i="11" s="1"/>
  <c r="M146" i="2"/>
  <c r="AN145" i="2"/>
  <c r="I41" i="5" s="1"/>
  <c r="AI145" i="2"/>
  <c r="H41" i="5" s="1"/>
  <c r="V145" i="2"/>
  <c r="Q145" i="2"/>
  <c r="M145" i="2"/>
  <c r="F120" i="5" s="1"/>
  <c r="G120" i="5" s="1"/>
  <c r="AN144" i="2"/>
  <c r="I123" i="5" s="1"/>
  <c r="AI144" i="2"/>
  <c r="H123" i="5" s="1"/>
  <c r="V144" i="2"/>
  <c r="Q144" i="2"/>
  <c r="P99" i="5" s="1"/>
  <c r="M144" i="2"/>
  <c r="AN143" i="2"/>
  <c r="AI143" i="2"/>
  <c r="V143" i="2"/>
  <c r="O23" i="5" s="1"/>
  <c r="Q143" i="2"/>
  <c r="M143" i="2"/>
  <c r="AN142" i="2"/>
  <c r="AI142" i="2"/>
  <c r="V142" i="2"/>
  <c r="Q142" i="2"/>
  <c r="P126" i="5" s="1"/>
  <c r="M142" i="2"/>
  <c r="AN141" i="2"/>
  <c r="AI141" i="2"/>
  <c r="V141" i="2"/>
  <c r="Q141" i="2"/>
  <c r="P43" i="5" s="1"/>
  <c r="M141" i="2"/>
  <c r="F37" i="5" s="1"/>
  <c r="G37" i="5" s="1"/>
  <c r="AN140" i="2"/>
  <c r="AI140" i="2"/>
  <c r="V140" i="2"/>
  <c r="O68" i="5" s="1"/>
  <c r="Q140" i="2"/>
  <c r="P42" i="5" s="1"/>
  <c r="M140" i="2"/>
  <c r="AN139" i="2"/>
  <c r="AI139" i="2"/>
  <c r="V139" i="2"/>
  <c r="Q139" i="2"/>
  <c r="P98" i="5" s="1"/>
  <c r="M139" i="2"/>
  <c r="AN138" i="2"/>
  <c r="AI138" i="2"/>
  <c r="V138" i="2"/>
  <c r="O41" i="5" s="1"/>
  <c r="Q138" i="2"/>
  <c r="O72" i="11" s="1"/>
  <c r="M138" i="2"/>
  <c r="F126" i="5" s="1"/>
  <c r="G126" i="5" s="1"/>
  <c r="AN137" i="2"/>
  <c r="AI137" i="2"/>
  <c r="V137" i="2"/>
  <c r="O123" i="5" s="1"/>
  <c r="Q137" i="2"/>
  <c r="M137" i="2"/>
  <c r="AN136" i="2"/>
  <c r="AI136" i="2"/>
  <c r="V136" i="2"/>
  <c r="Q136" i="2"/>
  <c r="M136" i="2"/>
  <c r="AN135" i="2"/>
  <c r="AI135" i="2"/>
  <c r="V135" i="2"/>
  <c r="Q135" i="2"/>
  <c r="P26" i="5" s="1"/>
  <c r="M135" i="2"/>
  <c r="AN134" i="2"/>
  <c r="AI134" i="2"/>
  <c r="V134" i="2"/>
  <c r="Q134" i="2"/>
  <c r="M134" i="2"/>
  <c r="AN133" i="2"/>
  <c r="AI133" i="2"/>
  <c r="V133" i="2"/>
  <c r="Q133" i="2"/>
  <c r="O71" i="11" s="1"/>
  <c r="M133" i="2"/>
  <c r="F68" i="5" s="1"/>
  <c r="G68" i="5" s="1"/>
  <c r="AN132" i="2"/>
  <c r="AI132" i="2"/>
  <c r="V132" i="2"/>
  <c r="Q132" i="2"/>
  <c r="O70" i="11" s="1"/>
  <c r="M132" i="2"/>
  <c r="F85" i="5" s="1"/>
  <c r="G85" i="5" s="1"/>
  <c r="AN131" i="2"/>
  <c r="I97" i="5" s="1"/>
  <c r="AI131" i="2"/>
  <c r="H97" i="5" s="1"/>
  <c r="V131" i="2"/>
  <c r="Q131" i="2"/>
  <c r="P23" i="5" s="1"/>
  <c r="M131" i="2"/>
  <c r="F16" i="5" s="1"/>
  <c r="G16" i="5" s="1"/>
  <c r="AN130" i="2"/>
  <c r="AI130" i="2"/>
  <c r="V130" i="2"/>
  <c r="Q130" i="2"/>
  <c r="O69" i="11" s="1"/>
  <c r="M130" i="2"/>
  <c r="AN129" i="2"/>
  <c r="AI129" i="2"/>
  <c r="V129" i="2"/>
  <c r="Q129" i="2"/>
  <c r="P68" i="5" s="1"/>
  <c r="M129" i="2"/>
  <c r="AN128" i="2"/>
  <c r="AI128" i="2"/>
  <c r="V128" i="2"/>
  <c r="Q128" i="2"/>
  <c r="P41" i="5" s="1"/>
  <c r="M128" i="2"/>
  <c r="AN127" i="2"/>
  <c r="AI127" i="2"/>
  <c r="V127" i="2"/>
  <c r="Q127" i="2"/>
  <c r="P123" i="5" s="1"/>
  <c r="M127" i="2"/>
  <c r="AN126" i="2"/>
  <c r="I21" i="5" s="1"/>
  <c r="AI126" i="2"/>
  <c r="H21" i="5" s="1"/>
  <c r="V126" i="2"/>
  <c r="Q126" i="2"/>
  <c r="O66" i="11" s="1"/>
  <c r="M126" i="2"/>
  <c r="AN125" i="2"/>
  <c r="I78" i="5" s="1"/>
  <c r="AI125" i="2"/>
  <c r="H78" i="5" s="1"/>
  <c r="V125" i="2"/>
  <c r="Q125" i="2"/>
  <c r="O65" i="11" s="1"/>
  <c r="M125" i="2"/>
  <c r="AN124" i="2"/>
  <c r="AI124" i="2"/>
  <c r="V124" i="2"/>
  <c r="O97" i="5" s="1"/>
  <c r="Q124" i="2"/>
  <c r="O64" i="11" s="1"/>
  <c r="M124" i="2"/>
  <c r="AN123" i="2"/>
  <c r="AI123" i="2"/>
  <c r="V123" i="2"/>
  <c r="Q123" i="2"/>
  <c r="O63" i="11" s="1"/>
  <c r="M123" i="2"/>
  <c r="AN122" i="2"/>
  <c r="I134" i="5" s="1"/>
  <c r="AI122" i="2"/>
  <c r="H134" i="5" s="1"/>
  <c r="V122" i="2"/>
  <c r="Q122" i="2"/>
  <c r="M122" i="2"/>
  <c r="AN121" i="2"/>
  <c r="AI121" i="2"/>
  <c r="V121" i="2"/>
  <c r="Q121" i="2"/>
  <c r="O62" i="11" s="1"/>
  <c r="M121" i="2"/>
  <c r="F36" i="5" s="1"/>
  <c r="G36" i="5" s="1"/>
  <c r="AN120" i="2"/>
  <c r="AI120" i="2"/>
  <c r="V120" i="2"/>
  <c r="Q120" i="2"/>
  <c r="O61" i="11" s="1"/>
  <c r="M120" i="2"/>
  <c r="AN119" i="2"/>
  <c r="AI119" i="2"/>
  <c r="V119" i="2"/>
  <c r="O21" i="5" s="1"/>
  <c r="Q119" i="2"/>
  <c r="O60" i="11" s="1"/>
  <c r="M119" i="2"/>
  <c r="AN118" i="2"/>
  <c r="I39" i="5" s="1"/>
  <c r="AI118" i="2"/>
  <c r="H39" i="5" s="1"/>
  <c r="V118" i="2"/>
  <c r="O78" i="5" s="1"/>
  <c r="Q118" i="2"/>
  <c r="O59" i="11" s="1"/>
  <c r="M118" i="2"/>
  <c r="F82" i="5" s="1"/>
  <c r="G82" i="5" s="1"/>
  <c r="AN117" i="2"/>
  <c r="AI117" i="2"/>
  <c r="V117" i="2"/>
  <c r="Q117" i="2"/>
  <c r="O58" i="11" s="1"/>
  <c r="M117" i="2"/>
  <c r="F63" i="5" s="1"/>
  <c r="G63" i="5" s="1"/>
  <c r="AN116" i="2"/>
  <c r="AI116" i="2"/>
  <c r="V116" i="2"/>
  <c r="O134" i="5" s="1"/>
  <c r="Q116" i="2"/>
  <c r="O57" i="11" s="1"/>
  <c r="M116" i="2"/>
  <c r="AN115" i="2"/>
  <c r="AI115" i="2"/>
  <c r="V115" i="2"/>
  <c r="Q115" i="2"/>
  <c r="O56" i="11" s="1"/>
  <c r="M115" i="2"/>
  <c r="AN114" i="2"/>
  <c r="AI114" i="2"/>
  <c r="V114" i="2"/>
  <c r="Q114" i="2"/>
  <c r="P97" i="5" s="1"/>
  <c r="M114" i="2"/>
  <c r="AN113" i="2"/>
  <c r="AI113" i="2"/>
  <c r="V113" i="2"/>
  <c r="Q113" i="2"/>
  <c r="O55" i="11" s="1"/>
  <c r="M113" i="2"/>
  <c r="AN112" i="2"/>
  <c r="AI112" i="2"/>
  <c r="V112" i="2"/>
  <c r="O39" i="5" s="1"/>
  <c r="Q112" i="2"/>
  <c r="M112" i="2"/>
  <c r="AN111" i="2"/>
  <c r="I20" i="5" s="1"/>
  <c r="AI111" i="2"/>
  <c r="H20" i="5" s="1"/>
  <c r="V111" i="2"/>
  <c r="Q111" i="2"/>
  <c r="O53" i="11" s="1"/>
  <c r="M111" i="2"/>
  <c r="AN110" i="2"/>
  <c r="AI110" i="2"/>
  <c r="V110" i="2"/>
  <c r="Q110" i="2"/>
  <c r="P21" i="5" s="1"/>
  <c r="M110" i="2"/>
  <c r="AN109" i="2"/>
  <c r="AI109" i="2"/>
  <c r="V109" i="2"/>
  <c r="Q109" i="2"/>
  <c r="P78" i="5" s="1"/>
  <c r="M109" i="2"/>
  <c r="AN108" i="2"/>
  <c r="AI108" i="2"/>
  <c r="V108" i="2"/>
  <c r="Q108" i="2"/>
  <c r="M108" i="2"/>
  <c r="AN107" i="2"/>
  <c r="I18" i="5" s="1"/>
  <c r="AI107" i="2"/>
  <c r="H18" i="5" s="1"/>
  <c r="V107" i="2"/>
  <c r="Q107" i="2"/>
  <c r="P134" i="5" s="1"/>
  <c r="M107" i="2"/>
  <c r="AN106" i="2"/>
  <c r="AI106" i="2"/>
  <c r="V106" i="2"/>
  <c r="O20" i="5" s="1"/>
  <c r="Q106" i="2"/>
  <c r="O52" i="11" s="1"/>
  <c r="M106" i="2"/>
  <c r="AN105" i="2"/>
  <c r="AI105" i="2"/>
  <c r="V105" i="2"/>
  <c r="Q105" i="2"/>
  <c r="O51" i="11" s="1"/>
  <c r="M105" i="2"/>
  <c r="AN104" i="2"/>
  <c r="I38" i="5" s="1"/>
  <c r="AI104" i="2"/>
  <c r="H38" i="5" s="1"/>
  <c r="V104" i="2"/>
  <c r="Q104" i="2"/>
  <c r="O50" i="11" s="1"/>
  <c r="M104" i="2"/>
  <c r="AN103" i="2"/>
  <c r="I17" i="5" s="1"/>
  <c r="AI103" i="2"/>
  <c r="H17" i="5" s="1"/>
  <c r="V103" i="2"/>
  <c r="Q103" i="2"/>
  <c r="P39" i="5" s="1"/>
  <c r="M103" i="2"/>
  <c r="AN102" i="2"/>
  <c r="AI102" i="2"/>
  <c r="V102" i="2"/>
  <c r="O18" i="5" s="1"/>
  <c r="Q102" i="2"/>
  <c r="O49" i="11" s="1"/>
  <c r="M102" i="2"/>
  <c r="AN101" i="2"/>
  <c r="AI101" i="2"/>
  <c r="V101" i="2"/>
  <c r="Q101" i="2"/>
  <c r="M101" i="2"/>
  <c r="F118" i="5" s="1"/>
  <c r="G118" i="5" s="1"/>
  <c r="AN100" i="2"/>
  <c r="I85" i="5" s="1"/>
  <c r="AI100" i="2"/>
  <c r="H85" i="5" s="1"/>
  <c r="V100" i="2"/>
  <c r="Q100" i="2"/>
  <c r="O48" i="11" s="1"/>
  <c r="M100" i="2"/>
  <c r="F77" i="5" s="1"/>
  <c r="G77" i="5" s="1"/>
  <c r="AN99" i="2"/>
  <c r="I16" i="5" s="1"/>
  <c r="AI99" i="2"/>
  <c r="H16" i="5" s="1"/>
  <c r="V99" i="2"/>
  <c r="O38" i="5" s="1"/>
  <c r="Q99" i="2"/>
  <c r="O47" i="11" s="1"/>
  <c r="M99" i="2"/>
  <c r="AN98" i="2"/>
  <c r="I37" i="5" s="1"/>
  <c r="AI98" i="2"/>
  <c r="H37" i="5" s="1"/>
  <c r="V98" i="2"/>
  <c r="O17" i="5" s="1"/>
  <c r="Q98" i="2"/>
  <c r="O46" i="11" s="1"/>
  <c r="M98" i="2"/>
  <c r="AN97" i="2"/>
  <c r="AI97" i="2"/>
  <c r="V97" i="2"/>
  <c r="Q97" i="2"/>
  <c r="P20" i="5" s="1"/>
  <c r="M97" i="2"/>
  <c r="AN96" i="2"/>
  <c r="I120" i="5" s="1"/>
  <c r="AI96" i="2"/>
  <c r="H120" i="5" s="1"/>
  <c r="V96" i="2"/>
  <c r="Q96" i="2"/>
  <c r="O45" i="11" s="1"/>
  <c r="M96" i="2"/>
  <c r="AN95" i="2"/>
  <c r="AI95" i="2"/>
  <c r="V95" i="2"/>
  <c r="O85" i="5" s="1"/>
  <c r="Q95" i="2"/>
  <c r="O44" i="11" s="1"/>
  <c r="M95" i="2"/>
  <c r="AN94" i="2"/>
  <c r="AI94" i="2"/>
  <c r="V94" i="2"/>
  <c r="O16" i="5" s="1"/>
  <c r="Q94" i="2"/>
  <c r="M94" i="2"/>
  <c r="F61" i="5" s="1"/>
  <c r="G61" i="5" s="1"/>
  <c r="AN93" i="2"/>
  <c r="AI93" i="2"/>
  <c r="V93" i="2"/>
  <c r="O37" i="5" s="1"/>
  <c r="Q93" i="2"/>
  <c r="P18" i="5" s="1"/>
  <c r="M93" i="2"/>
  <c r="AN92" i="2"/>
  <c r="AI92" i="2"/>
  <c r="V92" i="2"/>
  <c r="O120" i="5" s="1"/>
  <c r="Q92" i="2"/>
  <c r="O43" i="11" s="1"/>
  <c r="M92" i="2"/>
  <c r="AN91" i="2"/>
  <c r="I36" i="5" s="1"/>
  <c r="AI91" i="2"/>
  <c r="H36" i="5" s="1"/>
  <c r="V91" i="2"/>
  <c r="Q91" i="2"/>
  <c r="O42" i="11" s="1"/>
  <c r="M91" i="2"/>
  <c r="AN90" i="2"/>
  <c r="AI90" i="2"/>
  <c r="V90" i="2"/>
  <c r="Q90" i="2"/>
  <c r="P38" i="5" s="1"/>
  <c r="M90" i="2"/>
  <c r="AN89" i="2"/>
  <c r="I82" i="5" s="1"/>
  <c r="AI89" i="2"/>
  <c r="H82" i="5" s="1"/>
  <c r="V89" i="2"/>
  <c r="Q89" i="2"/>
  <c r="P17" i="5" s="1"/>
  <c r="M89" i="2"/>
  <c r="AN88" i="2"/>
  <c r="AI88" i="2"/>
  <c r="V88" i="2"/>
  <c r="Q88" i="2"/>
  <c r="M88" i="2"/>
  <c r="F10" i="5" s="1"/>
  <c r="G10" i="5" s="1"/>
  <c r="AN87" i="2"/>
  <c r="I63" i="5" s="1"/>
  <c r="AI87" i="2"/>
  <c r="H63" i="5" s="1"/>
  <c r="V87" i="2"/>
  <c r="O36" i="5" s="1"/>
  <c r="Q87" i="2"/>
  <c r="P85" i="5" s="1"/>
  <c r="M87" i="2"/>
  <c r="F15" i="5" s="1"/>
  <c r="G15" i="5" s="1"/>
  <c r="AN86" i="2"/>
  <c r="AI86" i="2"/>
  <c r="V86" i="2"/>
  <c r="Q86" i="2"/>
  <c r="P16" i="5" s="1"/>
  <c r="M86" i="2"/>
  <c r="F12" i="5" s="1"/>
  <c r="G12" i="5" s="1"/>
  <c r="AN85" i="2"/>
  <c r="AI85" i="2"/>
  <c r="V85" i="2"/>
  <c r="O82" i="5" s="1"/>
  <c r="Q85" i="2"/>
  <c r="P37" i="5" s="1"/>
  <c r="M85" i="2"/>
  <c r="F14" i="5" s="1"/>
  <c r="G14" i="5" s="1"/>
  <c r="AN84" i="2"/>
  <c r="AI84" i="2"/>
  <c r="V84" i="2"/>
  <c r="Q84" i="2"/>
  <c r="O40" i="11" s="1"/>
  <c r="M84" i="2"/>
  <c r="AN83" i="2"/>
  <c r="AI83" i="2"/>
  <c r="V83" i="2"/>
  <c r="O63" i="5" s="1"/>
  <c r="Q83" i="2"/>
  <c r="P120" i="5" s="1"/>
  <c r="M83" i="2"/>
  <c r="F13" i="5" s="1"/>
  <c r="G13" i="5" s="1"/>
  <c r="AN82" i="2"/>
  <c r="AI82" i="2"/>
  <c r="V82" i="2"/>
  <c r="Q82" i="2"/>
  <c r="O39" i="11" s="1"/>
  <c r="M82" i="2"/>
  <c r="AN81" i="2"/>
  <c r="AI81" i="2"/>
  <c r="V81" i="2"/>
  <c r="Q81" i="2"/>
  <c r="O38" i="11" s="1"/>
  <c r="M81" i="2"/>
  <c r="AN80" i="2"/>
  <c r="AI80" i="2"/>
  <c r="V80" i="2"/>
  <c r="Q80" i="2"/>
  <c r="O37" i="11" s="1"/>
  <c r="M80" i="2"/>
  <c r="F11" i="5" s="1"/>
  <c r="G11" i="5" s="1"/>
  <c r="AN79" i="2"/>
  <c r="AI79" i="2"/>
  <c r="V79" i="2"/>
  <c r="Q79" i="2"/>
  <c r="O36" i="11" s="1"/>
  <c r="M79" i="2"/>
  <c r="AN78" i="2"/>
  <c r="I118" i="5" s="1"/>
  <c r="AI78" i="2"/>
  <c r="H118" i="5" s="1"/>
  <c r="V78" i="2"/>
  <c r="Q78" i="2"/>
  <c r="P36" i="5" s="1"/>
  <c r="M78" i="2"/>
  <c r="AN77" i="2"/>
  <c r="AI77" i="2"/>
  <c r="V77" i="2"/>
  <c r="Q77" i="2"/>
  <c r="M77" i="2"/>
  <c r="AN76" i="2"/>
  <c r="I77" i="5" s="1"/>
  <c r="AI76" i="2"/>
  <c r="H77" i="5" s="1"/>
  <c r="V76" i="2"/>
  <c r="Q76" i="2"/>
  <c r="P82" i="5" s="1"/>
  <c r="M76" i="2"/>
  <c r="AN75" i="2"/>
  <c r="I61" i="5" s="1"/>
  <c r="AI75" i="2"/>
  <c r="H61" i="5" s="1"/>
  <c r="V75" i="2"/>
  <c r="O118" i="5" s="1"/>
  <c r="Q75" i="2"/>
  <c r="M75" i="2"/>
  <c r="AN74" i="2"/>
  <c r="I15" i="5" s="1"/>
  <c r="AI74" i="2"/>
  <c r="H15" i="5" s="1"/>
  <c r="V74" i="2"/>
  <c r="Q74" i="2"/>
  <c r="P63" i="5" s="1"/>
  <c r="M74" i="2"/>
  <c r="AN73" i="2"/>
  <c r="I14" i="5" s="1"/>
  <c r="AI73" i="2"/>
  <c r="H14" i="5" s="1"/>
  <c r="V73" i="2"/>
  <c r="O77" i="5" s="1"/>
  <c r="Q73" i="2"/>
  <c r="M73" i="2"/>
  <c r="AN72" i="2"/>
  <c r="AI72" i="2"/>
  <c r="V72" i="2"/>
  <c r="O61" i="5" s="1"/>
  <c r="Q72" i="2"/>
  <c r="M72" i="2"/>
  <c r="F35" i="5" s="1"/>
  <c r="G35" i="5" s="1"/>
  <c r="AN71" i="2"/>
  <c r="AI71" i="2"/>
  <c r="V71" i="2"/>
  <c r="O15" i="5" s="1"/>
  <c r="Q71" i="2"/>
  <c r="O34" i="11" s="1"/>
  <c r="M71" i="2"/>
  <c r="F117" i="5" s="1"/>
  <c r="G117" i="5" s="1"/>
  <c r="AN70" i="2"/>
  <c r="AI70" i="2"/>
  <c r="V70" i="2"/>
  <c r="O14" i="5" s="1"/>
  <c r="Q70" i="2"/>
  <c r="O33" i="11" s="1"/>
  <c r="M70" i="2"/>
  <c r="AN69" i="2"/>
  <c r="I13" i="5" s="1"/>
  <c r="AI69" i="2"/>
  <c r="H13" i="5" s="1"/>
  <c r="V69" i="2"/>
  <c r="Q69" i="2"/>
  <c r="O32" i="11" s="1"/>
  <c r="M69" i="2"/>
  <c r="F34" i="5" s="1"/>
  <c r="G34" i="5" s="1"/>
  <c r="AN68" i="2"/>
  <c r="AI68" i="2"/>
  <c r="V68" i="2"/>
  <c r="Q68" i="2"/>
  <c r="O31" i="11" s="1"/>
  <c r="M68" i="2"/>
  <c r="AN67" i="2"/>
  <c r="AI67" i="2"/>
  <c r="V67" i="2"/>
  <c r="O13" i="5" s="1"/>
  <c r="Q67" i="2"/>
  <c r="O30" i="11" s="1"/>
  <c r="M67" i="2"/>
  <c r="AN66" i="2"/>
  <c r="I12" i="5" s="1"/>
  <c r="AI66" i="2"/>
  <c r="H12" i="5" s="1"/>
  <c r="V66" i="2"/>
  <c r="Q66" i="2"/>
  <c r="P77" i="5" s="1"/>
  <c r="M66" i="2"/>
  <c r="AN65" i="2"/>
  <c r="I11" i="5" s="1"/>
  <c r="AI65" i="2"/>
  <c r="H11" i="5" s="1"/>
  <c r="V65" i="2"/>
  <c r="Q65" i="2"/>
  <c r="P61" i="5" s="1"/>
  <c r="M65" i="2"/>
  <c r="AN64" i="2"/>
  <c r="AI64" i="2"/>
  <c r="V64" i="2"/>
  <c r="O12" i="5" s="1"/>
  <c r="Q64" i="2"/>
  <c r="P15" i="5" s="1"/>
  <c r="M64" i="2"/>
  <c r="AN63" i="2"/>
  <c r="AI63" i="2"/>
  <c r="V63" i="2"/>
  <c r="O11" i="5" s="1"/>
  <c r="Q63" i="2"/>
  <c r="P14" i="5" s="1"/>
  <c r="M63" i="2"/>
  <c r="AN62" i="2"/>
  <c r="AI62" i="2"/>
  <c r="V62" i="2"/>
  <c r="Q62" i="2"/>
  <c r="O29" i="11" s="1"/>
  <c r="M62" i="2"/>
  <c r="AN61" i="2"/>
  <c r="I35" i="5" s="1"/>
  <c r="AI61" i="2"/>
  <c r="H35" i="5" s="1"/>
  <c r="V61" i="2"/>
  <c r="Q61" i="2"/>
  <c r="P13" i="5" s="1"/>
  <c r="M61" i="2"/>
  <c r="AN60" i="2"/>
  <c r="I158" i="5" s="1"/>
  <c r="AI60" i="2"/>
  <c r="H158" i="5" s="1"/>
  <c r="V60" i="2"/>
  <c r="Q60" i="2"/>
  <c r="M60" i="2"/>
  <c r="AN59" i="2"/>
  <c r="I117" i="5" s="1"/>
  <c r="AI59" i="2"/>
  <c r="H117" i="5" s="1"/>
  <c r="V59" i="2"/>
  <c r="O35" i="5" s="1"/>
  <c r="Q59" i="2"/>
  <c r="O27" i="11" s="1"/>
  <c r="M59" i="2"/>
  <c r="AN58" i="2"/>
  <c r="I34" i="5" s="1"/>
  <c r="AI58" i="2"/>
  <c r="H34" i="5" s="1"/>
  <c r="V58" i="2"/>
  <c r="O158" i="5" s="1"/>
  <c r="Q58" i="2"/>
  <c r="P12" i="5" s="1"/>
  <c r="M58" i="2"/>
  <c r="AN57" i="2"/>
  <c r="I10" i="5" s="1"/>
  <c r="AI57" i="2"/>
  <c r="H10" i="5" s="1"/>
  <c r="V57" i="2"/>
  <c r="O117" i="5" s="1"/>
  <c r="Q57" i="2"/>
  <c r="P11" i="5" s="1"/>
  <c r="M57" i="2"/>
  <c r="AN56" i="2"/>
  <c r="AI56" i="2"/>
  <c r="V56" i="2"/>
  <c r="O34" i="5" s="1"/>
  <c r="Q56" i="2"/>
  <c r="M56" i="2"/>
  <c r="AN55" i="2"/>
  <c r="AI55" i="2"/>
  <c r="V55" i="2"/>
  <c r="O10" i="5" s="1"/>
  <c r="Q55" i="2"/>
  <c r="M55" i="2"/>
  <c r="AN54" i="2"/>
  <c r="AI54" i="2"/>
  <c r="V54" i="2"/>
  <c r="Q54" i="2"/>
  <c r="O26" i="11" s="1"/>
  <c r="M54" i="2"/>
  <c r="AN53" i="2"/>
  <c r="AI53" i="2"/>
  <c r="V53" i="2"/>
  <c r="Q53" i="2"/>
  <c r="P35" i="5" s="1"/>
  <c r="M53" i="2"/>
  <c r="AN52" i="2"/>
  <c r="AI52" i="2"/>
  <c r="V52" i="2"/>
  <c r="Q52" i="2"/>
  <c r="P117" i="5" s="1"/>
  <c r="M52" i="2"/>
  <c r="AN51" i="2"/>
  <c r="AI51" i="2"/>
  <c r="V51" i="2"/>
  <c r="Q51" i="2"/>
  <c r="P34" i="5" s="1"/>
  <c r="M51" i="2"/>
  <c r="AN50" i="2"/>
  <c r="AI50" i="2"/>
  <c r="V50" i="2"/>
  <c r="Q50" i="2"/>
  <c r="P10" i="5" s="1"/>
  <c r="M50" i="2"/>
  <c r="AN49" i="2"/>
  <c r="I33" i="5" s="1"/>
  <c r="AI49" i="2"/>
  <c r="H33" i="5" s="1"/>
  <c r="V49" i="2"/>
  <c r="Q49" i="2"/>
  <c r="O25" i="11" s="1"/>
  <c r="M49" i="2"/>
  <c r="AN48" i="2"/>
  <c r="AI48" i="2"/>
  <c r="V48" i="2"/>
  <c r="Q48" i="2"/>
  <c r="O24" i="11" s="1"/>
  <c r="M48" i="2"/>
  <c r="AN47" i="2"/>
  <c r="AI47" i="2"/>
  <c r="V47" i="2"/>
  <c r="O33" i="5" s="1"/>
  <c r="Q47" i="2"/>
  <c r="O23" i="11" s="1"/>
  <c r="M47" i="2"/>
  <c r="AN46" i="2"/>
  <c r="AI46" i="2"/>
  <c r="V46" i="2"/>
  <c r="Q46" i="2"/>
  <c r="O22" i="11" s="1"/>
  <c r="M46" i="2"/>
  <c r="F9" i="5" s="1"/>
  <c r="G9" i="5" s="1"/>
  <c r="AN45" i="2"/>
  <c r="AI45" i="2"/>
  <c r="V45" i="2"/>
  <c r="Q45" i="2"/>
  <c r="O20" i="11" s="1"/>
  <c r="M45" i="2"/>
  <c r="AN44" i="2"/>
  <c r="AI44" i="2"/>
  <c r="V44" i="2"/>
  <c r="Q44" i="2"/>
  <c r="P33" i="5" s="1"/>
  <c r="M44" i="2"/>
  <c r="F31" i="5" s="1"/>
  <c r="G31" i="5" s="1"/>
  <c r="AN43" i="2"/>
  <c r="I32" i="5" s="1"/>
  <c r="AI43" i="2"/>
  <c r="H32" i="5" s="1"/>
  <c r="V43" i="2"/>
  <c r="Q43" i="2"/>
  <c r="O19" i="11" s="1"/>
  <c r="M43" i="2"/>
  <c r="F33" i="5" s="1"/>
  <c r="G33" i="5" s="1"/>
  <c r="AN42" i="2"/>
  <c r="AI42" i="2"/>
  <c r="V42" i="2"/>
  <c r="Q42" i="2"/>
  <c r="M42" i="2"/>
  <c r="F7" i="5" s="1"/>
  <c r="G7" i="5" s="1"/>
  <c r="AN41" i="2"/>
  <c r="AI41" i="2"/>
  <c r="V41" i="2"/>
  <c r="O32" i="5" s="1"/>
  <c r="Q41" i="2"/>
  <c r="M41" i="2"/>
  <c r="F32" i="5" s="1"/>
  <c r="G32" i="5" s="1"/>
  <c r="AN40" i="2"/>
  <c r="I31" i="5" s="1"/>
  <c r="AI40" i="2"/>
  <c r="H31" i="5" s="1"/>
  <c r="V40" i="2"/>
  <c r="Q40" i="2"/>
  <c r="M40" i="2"/>
  <c r="AN39" i="2"/>
  <c r="I9" i="5" s="1"/>
  <c r="AI39" i="2"/>
  <c r="H9" i="5" s="1"/>
  <c r="V39" i="2"/>
  <c r="Q39" i="2"/>
  <c r="P32" i="5" s="1"/>
  <c r="M39" i="2"/>
  <c r="F54" i="5" s="1"/>
  <c r="G54" i="5" s="1"/>
  <c r="AN38" i="2"/>
  <c r="AI38" i="2"/>
  <c r="V38" i="2"/>
  <c r="O31" i="5" s="1"/>
  <c r="Q38" i="2"/>
  <c r="O18" i="11" s="1"/>
  <c r="M38" i="2"/>
  <c r="AN37" i="2"/>
  <c r="AI37" i="2"/>
  <c r="V37" i="2"/>
  <c r="O9" i="5" s="1"/>
  <c r="Q37" i="2"/>
  <c r="O17" i="11" s="1"/>
  <c r="M37" i="2"/>
  <c r="AN36" i="2"/>
  <c r="I54" i="5" s="1"/>
  <c r="AI36" i="2"/>
  <c r="H54" i="5" s="1"/>
  <c r="V36" i="2"/>
  <c r="Q36" i="2"/>
  <c r="P31" i="5" s="1"/>
  <c r="M36" i="2"/>
  <c r="AN35" i="2"/>
  <c r="I8" i="5" s="1"/>
  <c r="AI35" i="2"/>
  <c r="H8" i="5" s="1"/>
  <c r="V35" i="2"/>
  <c r="Q35" i="2"/>
  <c r="P9" i="5" s="1"/>
  <c r="M35" i="2"/>
  <c r="AN34" i="2"/>
  <c r="I30" i="5" s="1"/>
  <c r="AI34" i="2"/>
  <c r="H30" i="5" s="1"/>
  <c r="V34" i="2"/>
  <c r="O54" i="5" s="1"/>
  <c r="Q34" i="2"/>
  <c r="O16" i="11" s="1"/>
  <c r="M34" i="2"/>
  <c r="F30" i="5" s="1"/>
  <c r="G30" i="5" s="1"/>
  <c r="AN33" i="2"/>
  <c r="AI33" i="2"/>
  <c r="V33" i="2"/>
  <c r="O8" i="5" s="1"/>
  <c r="Q33" i="2"/>
  <c r="O15" i="11" s="1"/>
  <c r="M33" i="2"/>
  <c r="F28" i="5" s="1"/>
  <c r="G28" i="5" s="1"/>
  <c r="AN32" i="2"/>
  <c r="I7" i="5" s="1"/>
  <c r="AI32" i="2"/>
  <c r="H7" i="5" s="1"/>
  <c r="V32" i="2"/>
  <c r="O30" i="5" s="1"/>
  <c r="Q32" i="2"/>
  <c r="P54" i="5" s="1"/>
  <c r="M32" i="2"/>
  <c r="AN31" i="2"/>
  <c r="AI31" i="2"/>
  <c r="V31" i="2"/>
  <c r="Q31" i="2"/>
  <c r="P8" i="5" s="1"/>
  <c r="M31" i="2"/>
  <c r="AN30" i="2"/>
  <c r="AI30" i="2"/>
  <c r="V30" i="2"/>
  <c r="O7" i="5" s="1"/>
  <c r="Q30" i="2"/>
  <c r="P30" i="5" s="1"/>
  <c r="M30" i="2"/>
  <c r="F51" i="5" s="1"/>
  <c r="G51" i="5" s="1"/>
  <c r="AN29" i="2"/>
  <c r="I29" i="5" s="1"/>
  <c r="AI29" i="2"/>
  <c r="H29" i="5" s="1"/>
  <c r="V29" i="2"/>
  <c r="Q29" i="2"/>
  <c r="M29" i="2"/>
  <c r="AN28" i="2"/>
  <c r="I5" i="5" s="1"/>
  <c r="AI28" i="2"/>
  <c r="H5" i="5" s="1"/>
  <c r="V28" i="2"/>
  <c r="Q28" i="2"/>
  <c r="M28" i="2"/>
  <c r="F74" i="5" s="1"/>
  <c r="G74" i="5" s="1"/>
  <c r="AN27" i="2"/>
  <c r="AI27" i="2"/>
  <c r="V27" i="2"/>
  <c r="O29" i="5" s="1"/>
  <c r="Q27" i="2"/>
  <c r="P7" i="5" s="1"/>
  <c r="M27" i="2"/>
  <c r="AN26" i="2"/>
  <c r="AI26" i="2"/>
  <c r="V26" i="2"/>
  <c r="O5" i="5" s="1"/>
  <c r="Q26" i="2"/>
  <c r="O14" i="11" s="1"/>
  <c r="M26" i="2"/>
  <c r="F52" i="5" s="1"/>
  <c r="G52" i="5" s="1"/>
  <c r="AN25" i="2"/>
  <c r="AI25" i="2"/>
  <c r="V25" i="2"/>
  <c r="Q25" i="2"/>
  <c r="P29" i="5" s="1"/>
  <c r="M25" i="2"/>
  <c r="AN24" i="2"/>
  <c r="I28" i="5" s="1"/>
  <c r="AI24" i="2"/>
  <c r="H28" i="5" s="1"/>
  <c r="V24" i="2"/>
  <c r="Q24" i="2"/>
  <c r="P5" i="5" s="1"/>
  <c r="M24" i="2"/>
  <c r="F104" i="5" s="1"/>
  <c r="G104" i="5" s="1"/>
  <c r="AN23" i="2"/>
  <c r="I104" i="5" s="1"/>
  <c r="AI23" i="2"/>
  <c r="H104" i="5" s="1"/>
  <c r="V23" i="2"/>
  <c r="Q23" i="2"/>
  <c r="O12" i="11" s="1"/>
  <c r="M23" i="2"/>
  <c r="F50" i="5" s="1"/>
  <c r="G50" i="5" s="1"/>
  <c r="AN22" i="2"/>
  <c r="I74" i="5" s="1"/>
  <c r="AI22" i="2"/>
  <c r="H74" i="5" s="1"/>
  <c r="V22" i="2"/>
  <c r="O28" i="5" s="1"/>
  <c r="Q22" i="2"/>
  <c r="M22" i="2"/>
  <c r="AN21" i="2"/>
  <c r="AI21" i="2"/>
  <c r="V21" i="2"/>
  <c r="O104" i="5" s="1"/>
  <c r="Q21" i="2"/>
  <c r="O11" i="11" s="1"/>
  <c r="M21" i="2"/>
  <c r="AN20" i="2"/>
  <c r="I4" i="5" s="1"/>
  <c r="AI20" i="2"/>
  <c r="H4" i="5" s="1"/>
  <c r="V20" i="2"/>
  <c r="O74" i="5" s="1"/>
  <c r="Q20" i="2"/>
  <c r="P28" i="5" s="1"/>
  <c r="M20" i="2"/>
  <c r="F128" i="5" s="1"/>
  <c r="G128" i="5" s="1"/>
  <c r="AN19" i="2"/>
  <c r="I52" i="5" s="1"/>
  <c r="AI19" i="2"/>
  <c r="H52" i="5" s="1"/>
  <c r="V19" i="2"/>
  <c r="Q19" i="2"/>
  <c r="P104" i="5" s="1"/>
  <c r="M19" i="2"/>
  <c r="F5" i="5" s="1"/>
  <c r="G5" i="5" s="1"/>
  <c r="AN18" i="2"/>
  <c r="AI18" i="2"/>
  <c r="V18" i="2"/>
  <c r="O4" i="5" s="1"/>
  <c r="Q18" i="2"/>
  <c r="P74" i="5" s="1"/>
  <c r="M18" i="2"/>
  <c r="F4" i="5" s="1"/>
  <c r="G4" i="5" s="1"/>
  <c r="AN17" i="2"/>
  <c r="AI17" i="2"/>
  <c r="V17" i="2"/>
  <c r="O52" i="5" s="1"/>
  <c r="Q17" i="2"/>
  <c r="O10" i="11" s="1"/>
  <c r="M17" i="2"/>
  <c r="AN16" i="2"/>
  <c r="I51" i="5" s="1"/>
  <c r="AI16" i="2"/>
  <c r="H51" i="5" s="1"/>
  <c r="V16" i="2"/>
  <c r="Q16" i="2"/>
  <c r="P4" i="5" s="1"/>
  <c r="M16" i="2"/>
  <c r="F29" i="5" s="1"/>
  <c r="G29" i="5" s="1"/>
  <c r="AN15" i="2"/>
  <c r="I128" i="5" s="1"/>
  <c r="AI15" i="2"/>
  <c r="H128" i="5" s="1"/>
  <c r="V15" i="2"/>
  <c r="O51" i="5" s="1"/>
  <c r="Q15" i="2"/>
  <c r="P52" i="5" s="1"/>
  <c r="M15" i="2"/>
  <c r="AN14" i="2"/>
  <c r="AI14" i="2"/>
  <c r="V14" i="2"/>
  <c r="O128" i="5" s="1"/>
  <c r="Q14" i="2"/>
  <c r="O9" i="11" s="1"/>
  <c r="M14" i="2"/>
  <c r="AN13" i="2"/>
  <c r="I50" i="5" s="1"/>
  <c r="AI13" i="2"/>
  <c r="H50" i="5" s="1"/>
  <c r="V13" i="2"/>
  <c r="Q13" i="2"/>
  <c r="P51" i="5" s="1"/>
  <c r="M13" i="2"/>
  <c r="AN12" i="2"/>
  <c r="AI12" i="2"/>
  <c r="V12" i="2"/>
  <c r="O50" i="5" s="1"/>
  <c r="Q12" i="2"/>
  <c r="P128" i="5" s="1"/>
  <c r="M12" i="2"/>
  <c r="F48" i="5" s="1"/>
  <c r="G48" i="5" s="1"/>
  <c r="AN11" i="2"/>
  <c r="AI11" i="2"/>
  <c r="V11" i="2"/>
  <c r="Q11" i="2"/>
  <c r="O8" i="11" s="1"/>
  <c r="M11" i="2"/>
  <c r="AN10" i="2"/>
  <c r="AI10" i="2"/>
  <c r="V10" i="2"/>
  <c r="Q10" i="2"/>
  <c r="O7" i="11" s="1"/>
  <c r="M10" i="2"/>
  <c r="AN9" i="2"/>
  <c r="AI9" i="2"/>
  <c r="V9" i="2"/>
  <c r="Q9" i="2"/>
  <c r="M9" i="2"/>
  <c r="AN8" i="2"/>
  <c r="AI8" i="2"/>
  <c r="V8" i="2"/>
  <c r="Q8" i="2"/>
  <c r="M8" i="2"/>
  <c r="AN7" i="2"/>
  <c r="I48" i="5" s="1"/>
  <c r="AI7" i="2"/>
  <c r="H48" i="5" s="1"/>
  <c r="V7" i="2"/>
  <c r="Q7" i="2"/>
  <c r="O6" i="11" s="1"/>
  <c r="M7" i="2"/>
  <c r="AN6" i="2"/>
  <c r="I3" i="5" s="1"/>
  <c r="AI6" i="2"/>
  <c r="H3" i="5" s="1"/>
  <c r="V6" i="2"/>
  <c r="O48" i="5" s="1"/>
  <c r="Q6" i="2"/>
  <c r="O5" i="11" s="1"/>
  <c r="M6" i="2"/>
  <c r="AN5" i="2"/>
  <c r="AI5" i="2"/>
  <c r="V5" i="2"/>
  <c r="O3" i="5" s="1"/>
  <c r="Q5" i="2"/>
  <c r="P3" i="5" s="1"/>
  <c r="M5" i="2"/>
  <c r="AN4" i="2"/>
  <c r="AI4" i="2"/>
  <c r="V4" i="2"/>
  <c r="Q4" i="2"/>
  <c r="O4" i="11" s="1"/>
  <c r="M4" i="2"/>
  <c r="F3" i="5" s="1"/>
  <c r="G3" i="5" s="1"/>
  <c r="AN3" i="2"/>
  <c r="AI3" i="2"/>
  <c r="V3" i="2"/>
  <c r="Q3" i="2"/>
  <c r="O3" i="11" s="1"/>
  <c r="M3" i="2"/>
  <c r="AN2" i="2"/>
  <c r="AI2" i="2"/>
  <c r="V2" i="2"/>
  <c r="Q2" i="2"/>
  <c r="O2" i="11" s="1"/>
  <c r="M2" i="2"/>
  <c r="O35" i="10" l="1"/>
  <c r="O35" i="11"/>
  <c r="O3" i="9"/>
  <c r="O3" i="10"/>
  <c r="O45" i="9"/>
  <c r="O45" i="10"/>
  <c r="O6" i="9"/>
  <c r="O6" i="10"/>
  <c r="O23" i="9"/>
  <c r="O23" i="10"/>
  <c r="O34" i="9"/>
  <c r="O34" i="10"/>
  <c r="O36" i="9"/>
  <c r="O36" i="10"/>
  <c r="O44" i="9"/>
  <c r="O44" i="10"/>
  <c r="O53" i="9"/>
  <c r="O53" i="10"/>
  <c r="O60" i="9"/>
  <c r="O60" i="10"/>
  <c r="O77" i="9"/>
  <c r="O77" i="10"/>
  <c r="O83" i="9"/>
  <c r="O83" i="10"/>
  <c r="O87" i="9"/>
  <c r="O87" i="10"/>
  <c r="O37" i="9"/>
  <c r="O37" i="10"/>
  <c r="O17" i="9"/>
  <c r="O17" i="10"/>
  <c r="O2" i="9"/>
  <c r="O2" i="10"/>
  <c r="O7" i="9"/>
  <c r="O7" i="10"/>
  <c r="O12" i="9"/>
  <c r="O12" i="10"/>
  <c r="O4" i="9"/>
  <c r="O4" i="10"/>
  <c r="O31" i="9"/>
  <c r="O31" i="10"/>
  <c r="O40" i="9"/>
  <c r="O40" i="10"/>
  <c r="O43" i="9"/>
  <c r="O43" i="10"/>
  <c r="O48" i="9"/>
  <c r="O48" i="10"/>
  <c r="O57" i="9"/>
  <c r="O57" i="10"/>
  <c r="O64" i="9"/>
  <c r="O64" i="10"/>
  <c r="O70" i="9"/>
  <c r="O70" i="10"/>
  <c r="O74" i="9"/>
  <c r="O74" i="10"/>
  <c r="O80" i="9"/>
  <c r="O80" i="10"/>
  <c r="O10" i="9"/>
  <c r="O10" i="10"/>
  <c r="O15" i="9"/>
  <c r="O15" i="10"/>
  <c r="O55" i="9"/>
  <c r="O55" i="10"/>
  <c r="O62" i="9"/>
  <c r="O62" i="10"/>
  <c r="O84" i="9"/>
  <c r="O84" i="10"/>
  <c r="O25" i="9"/>
  <c r="O25" i="10"/>
  <c r="O38" i="9"/>
  <c r="O38" i="10"/>
  <c r="O51" i="9"/>
  <c r="O51" i="10"/>
  <c r="O5" i="9"/>
  <c r="O5" i="10"/>
  <c r="O9" i="9"/>
  <c r="O9" i="10"/>
  <c r="O18" i="9"/>
  <c r="O18" i="10"/>
  <c r="O22" i="9"/>
  <c r="O22" i="10"/>
  <c r="O26" i="9"/>
  <c r="O26" i="10"/>
  <c r="O29" i="9"/>
  <c r="O29" i="10"/>
  <c r="O33" i="9"/>
  <c r="O33" i="10"/>
  <c r="O49" i="9"/>
  <c r="O49" i="10"/>
  <c r="O59" i="9"/>
  <c r="O59" i="10"/>
  <c r="O66" i="9"/>
  <c r="O66" i="10"/>
  <c r="O76" i="9"/>
  <c r="O76" i="10"/>
  <c r="O82" i="9"/>
  <c r="O82" i="10"/>
  <c r="O19" i="9"/>
  <c r="O19" i="10"/>
  <c r="O27" i="9"/>
  <c r="O27" i="10"/>
  <c r="O30" i="9"/>
  <c r="O30" i="10"/>
  <c r="O42" i="9"/>
  <c r="O42" i="10"/>
  <c r="O47" i="9"/>
  <c r="O47" i="10"/>
  <c r="O56" i="9"/>
  <c r="O56" i="10"/>
  <c r="O63" i="9"/>
  <c r="O63" i="10"/>
  <c r="O61" i="9"/>
  <c r="O61" i="10"/>
  <c r="O78" i="9"/>
  <c r="O78" i="10"/>
  <c r="O88" i="9"/>
  <c r="O88" i="10"/>
  <c r="O24" i="9"/>
  <c r="O24" i="10"/>
  <c r="O50" i="9"/>
  <c r="O50" i="10"/>
  <c r="O20" i="9"/>
  <c r="O20" i="10"/>
  <c r="O32" i="9"/>
  <c r="O32" i="10"/>
  <c r="O58" i="9"/>
  <c r="O58" i="10"/>
  <c r="O65" i="9"/>
  <c r="O65" i="10"/>
  <c r="O71" i="9"/>
  <c r="O71" i="10"/>
  <c r="O75" i="9"/>
  <c r="O75" i="10"/>
  <c r="O81" i="9"/>
  <c r="O81" i="10"/>
  <c r="O86" i="9"/>
  <c r="O86" i="10"/>
  <c r="O8" i="9"/>
  <c r="O8" i="10"/>
  <c r="O11" i="9"/>
  <c r="O11" i="10"/>
  <c r="O14" i="9"/>
  <c r="O14" i="10"/>
  <c r="O16" i="9"/>
  <c r="O16" i="10"/>
  <c r="O39" i="9"/>
  <c r="O39" i="10"/>
  <c r="O46" i="9"/>
  <c r="O46" i="10"/>
  <c r="O52" i="9"/>
  <c r="O52" i="10"/>
  <c r="O69" i="9"/>
  <c r="O69" i="10"/>
  <c r="O72" i="9"/>
  <c r="O72" i="10"/>
  <c r="O73" i="9"/>
  <c r="O73" i="10"/>
  <c r="O79" i="9"/>
  <c r="O79" i="10"/>
  <c r="O85" i="9"/>
  <c r="O85" i="10"/>
  <c r="O35" i="9"/>
  <c r="P2" i="5"/>
  <c r="N5" i="11"/>
  <c r="N5" i="10"/>
  <c r="N5" i="9"/>
  <c r="O49" i="5"/>
  <c r="E5" i="11"/>
  <c r="F5" i="11" s="1"/>
  <c r="E5" i="10"/>
  <c r="F5" i="10" s="1"/>
  <c r="E5" i="9"/>
  <c r="F5" i="9" s="1"/>
  <c r="F49" i="5"/>
  <c r="G49" i="5" s="1"/>
  <c r="H22" i="11"/>
  <c r="H22" i="10"/>
  <c r="H22" i="9"/>
  <c r="I58" i="5"/>
  <c r="E21" i="11"/>
  <c r="F21" i="11" s="1"/>
  <c r="E21" i="10"/>
  <c r="F21" i="10" s="1"/>
  <c r="E21" i="9"/>
  <c r="F21" i="9" s="1"/>
  <c r="F57" i="5"/>
  <c r="G57" i="5" s="1"/>
  <c r="H37" i="11"/>
  <c r="H37" i="10"/>
  <c r="H37" i="9"/>
  <c r="I83" i="5"/>
  <c r="P151" i="5"/>
  <c r="N58" i="11"/>
  <c r="N58" i="10"/>
  <c r="N58" i="9"/>
  <c r="O149" i="5"/>
  <c r="E39" i="11"/>
  <c r="F39" i="11" s="1"/>
  <c r="E39" i="10"/>
  <c r="F39" i="10" s="1"/>
  <c r="E39" i="9"/>
  <c r="F39" i="9" s="1"/>
  <c r="F141" i="5"/>
  <c r="G141" i="5" s="1"/>
  <c r="P88" i="5"/>
  <c r="H57" i="11"/>
  <c r="H57" i="10"/>
  <c r="H57" i="9"/>
  <c r="I65" i="5"/>
  <c r="N65" i="11"/>
  <c r="N65" i="10"/>
  <c r="N65" i="9"/>
  <c r="O122" i="5"/>
  <c r="G62" i="11"/>
  <c r="G62" i="10"/>
  <c r="G62" i="9"/>
  <c r="H108" i="5"/>
  <c r="H64" i="11"/>
  <c r="H64" i="10"/>
  <c r="H64" i="9"/>
  <c r="I151" i="5"/>
  <c r="G67" i="11"/>
  <c r="G67" i="10"/>
  <c r="G67" i="9"/>
  <c r="H67" i="5"/>
  <c r="N80" i="11"/>
  <c r="N80" i="10"/>
  <c r="N80" i="9"/>
  <c r="O90" i="5"/>
  <c r="E42" i="11"/>
  <c r="F42" i="11" s="1"/>
  <c r="E42" i="10"/>
  <c r="F42" i="10" s="1"/>
  <c r="E42" i="9"/>
  <c r="F42" i="9" s="1"/>
  <c r="F142" i="5"/>
  <c r="G142" i="5" s="1"/>
  <c r="G74" i="11"/>
  <c r="G74" i="10"/>
  <c r="G74" i="9"/>
  <c r="H89" i="5"/>
  <c r="N84" i="11"/>
  <c r="N84" i="10"/>
  <c r="N84" i="9"/>
  <c r="O124" i="5"/>
  <c r="G88" i="11"/>
  <c r="G88" i="10"/>
  <c r="G88" i="9"/>
  <c r="H157" i="5"/>
  <c r="P101" i="5"/>
  <c r="E85" i="11"/>
  <c r="F85" i="11" s="1"/>
  <c r="E85" i="10"/>
  <c r="F85" i="10" s="1"/>
  <c r="E85" i="9"/>
  <c r="F85" i="9" s="1"/>
  <c r="F91" i="5"/>
  <c r="G91" i="5" s="1"/>
  <c r="H7" i="11"/>
  <c r="H7" i="10"/>
  <c r="H7" i="9"/>
  <c r="I103" i="5"/>
  <c r="G11" i="11"/>
  <c r="G11" i="10"/>
  <c r="G11" i="9"/>
  <c r="H53" i="5"/>
  <c r="E10" i="11"/>
  <c r="F10" i="11" s="1"/>
  <c r="E10" i="10"/>
  <c r="F10" i="10" s="1"/>
  <c r="E10" i="9"/>
  <c r="F10" i="9" s="1"/>
  <c r="F129" i="5"/>
  <c r="G129" i="5" s="1"/>
  <c r="E15" i="11"/>
  <c r="F15" i="11" s="1"/>
  <c r="E15" i="10"/>
  <c r="F15" i="10" s="1"/>
  <c r="E15" i="9"/>
  <c r="F15" i="9" s="1"/>
  <c r="F137" i="5"/>
  <c r="G137" i="5" s="1"/>
  <c r="E33" i="11"/>
  <c r="F33" i="11" s="1"/>
  <c r="E33" i="10"/>
  <c r="F33" i="10" s="1"/>
  <c r="E33" i="9"/>
  <c r="F33" i="9" s="1"/>
  <c r="F81" i="5"/>
  <c r="G81" i="5" s="1"/>
  <c r="P148" i="5"/>
  <c r="P87" i="5"/>
  <c r="E3" i="11"/>
  <c r="F3" i="11" s="1"/>
  <c r="E3" i="10"/>
  <c r="F3" i="10" s="1"/>
  <c r="E3" i="9"/>
  <c r="F3" i="9" s="1"/>
  <c r="F101" i="5"/>
  <c r="G101" i="5" s="1"/>
  <c r="G8" i="11"/>
  <c r="G8" i="10"/>
  <c r="G8" i="9"/>
  <c r="H80" i="5"/>
  <c r="H11" i="11"/>
  <c r="H11" i="10"/>
  <c r="H11" i="9"/>
  <c r="I53" i="5"/>
  <c r="E11" i="11"/>
  <c r="F11" i="11" s="1"/>
  <c r="E11" i="10"/>
  <c r="F11" i="10" s="1"/>
  <c r="E11" i="9"/>
  <c r="F11" i="9" s="1"/>
  <c r="F53" i="5"/>
  <c r="G53" i="5" s="1"/>
  <c r="N9" i="11"/>
  <c r="N9" i="10"/>
  <c r="N9" i="9"/>
  <c r="O116" i="5"/>
  <c r="G12" i="11"/>
  <c r="G12" i="10"/>
  <c r="G12" i="9"/>
  <c r="H105" i="5"/>
  <c r="P138" i="5"/>
  <c r="H16" i="11"/>
  <c r="H16" i="10"/>
  <c r="H16" i="9"/>
  <c r="I55" i="5"/>
  <c r="N18" i="11"/>
  <c r="N18" i="10"/>
  <c r="N18" i="9"/>
  <c r="O56" i="5"/>
  <c r="P93" i="5"/>
  <c r="P103" i="5"/>
  <c r="N8" i="11"/>
  <c r="N8" i="10"/>
  <c r="N8" i="9"/>
  <c r="O80" i="5"/>
  <c r="E7" i="11"/>
  <c r="F7" i="11" s="1"/>
  <c r="E7" i="10"/>
  <c r="F7" i="10" s="1"/>
  <c r="E7" i="9"/>
  <c r="F7" i="9" s="1"/>
  <c r="F103" i="5"/>
  <c r="G103" i="5" s="1"/>
  <c r="P136" i="5"/>
  <c r="N14" i="11"/>
  <c r="N14" i="10"/>
  <c r="N14" i="9"/>
  <c r="O136" i="5"/>
  <c r="H20" i="11"/>
  <c r="H20" i="10"/>
  <c r="H20" i="9"/>
  <c r="I93" i="5"/>
  <c r="N24" i="11"/>
  <c r="N24" i="10"/>
  <c r="N24" i="9"/>
  <c r="O94" i="5"/>
  <c r="G25" i="11"/>
  <c r="G25" i="10"/>
  <c r="G25" i="9"/>
  <c r="H59" i="5"/>
  <c r="N29" i="11"/>
  <c r="N29" i="10"/>
  <c r="N29" i="9"/>
  <c r="O76" i="5"/>
  <c r="N2" i="11"/>
  <c r="N2" i="10"/>
  <c r="N2" i="9"/>
  <c r="O92" i="5"/>
  <c r="P102" i="5"/>
  <c r="H5" i="11"/>
  <c r="H5" i="10"/>
  <c r="H5" i="9"/>
  <c r="I49" i="5"/>
  <c r="G10" i="11"/>
  <c r="G10" i="10"/>
  <c r="G10" i="9"/>
  <c r="H129" i="5"/>
  <c r="P105" i="5"/>
  <c r="G15" i="11"/>
  <c r="G15" i="10"/>
  <c r="G15" i="9"/>
  <c r="H137" i="5"/>
  <c r="P75" i="5"/>
  <c r="H19" i="11"/>
  <c r="H19" i="10"/>
  <c r="H19" i="9"/>
  <c r="I130" i="5"/>
  <c r="N21" i="11"/>
  <c r="N21" i="10"/>
  <c r="N21" i="9"/>
  <c r="O57" i="5"/>
  <c r="G22" i="11"/>
  <c r="G22" i="10"/>
  <c r="G22" i="9"/>
  <c r="H58" i="5"/>
  <c r="H25" i="11"/>
  <c r="H25" i="10"/>
  <c r="H25" i="9"/>
  <c r="I59" i="5"/>
  <c r="E4" i="11"/>
  <c r="F4" i="11" s="1"/>
  <c r="E4" i="10"/>
  <c r="F4" i="10" s="1"/>
  <c r="E4" i="9"/>
  <c r="F4" i="9" s="1"/>
  <c r="F2" i="5"/>
  <c r="G2" i="5" s="1"/>
  <c r="P95" i="5"/>
  <c r="H29" i="11"/>
  <c r="H29" i="10"/>
  <c r="H29" i="9"/>
  <c r="I76" i="5"/>
  <c r="N30" i="11"/>
  <c r="N30" i="10"/>
  <c r="N30" i="9"/>
  <c r="O62" i="5"/>
  <c r="E26" i="11"/>
  <c r="F26" i="11" s="1"/>
  <c r="E26" i="10"/>
  <c r="F26" i="10" s="1"/>
  <c r="E26" i="9"/>
  <c r="F26" i="9" s="1"/>
  <c r="F139" i="5"/>
  <c r="G139" i="5" s="1"/>
  <c r="G30" i="11"/>
  <c r="G30" i="10"/>
  <c r="G30" i="9"/>
  <c r="H62" i="5"/>
  <c r="P140" i="5"/>
  <c r="H31" i="11"/>
  <c r="H31" i="10"/>
  <c r="H31" i="9"/>
  <c r="I131" i="5"/>
  <c r="N38" i="11"/>
  <c r="N38" i="10"/>
  <c r="N38" i="9"/>
  <c r="O107" i="5"/>
  <c r="E29" i="11"/>
  <c r="F29" i="11" s="1"/>
  <c r="E29" i="10"/>
  <c r="F29" i="10" s="1"/>
  <c r="E29" i="9"/>
  <c r="F29" i="9" s="1"/>
  <c r="F76" i="5"/>
  <c r="G76" i="5" s="1"/>
  <c r="G37" i="11"/>
  <c r="G37" i="10"/>
  <c r="G37" i="9"/>
  <c r="H83" i="5"/>
  <c r="P143" i="5"/>
  <c r="G41" i="11"/>
  <c r="G41" i="10"/>
  <c r="G41" i="9"/>
  <c r="H121" i="5"/>
  <c r="G44" i="11"/>
  <c r="G44" i="10"/>
  <c r="G44" i="9"/>
  <c r="H143" i="5"/>
  <c r="P22" i="5"/>
  <c r="H46" i="11"/>
  <c r="H46" i="10"/>
  <c r="H46" i="9"/>
  <c r="I64" i="5"/>
  <c r="N51" i="11"/>
  <c r="N51" i="10"/>
  <c r="N51" i="9"/>
  <c r="O40" i="5"/>
  <c r="G49" i="11"/>
  <c r="G49" i="10"/>
  <c r="G49" i="9"/>
  <c r="H96" i="5"/>
  <c r="P79" i="5"/>
  <c r="H51" i="11"/>
  <c r="H51" i="10"/>
  <c r="H51" i="9"/>
  <c r="I40" i="5"/>
  <c r="E36" i="11"/>
  <c r="F36" i="11" s="1"/>
  <c r="E36" i="10"/>
  <c r="F36" i="10" s="1"/>
  <c r="E36" i="9"/>
  <c r="F36" i="9" s="1"/>
  <c r="F140" i="5"/>
  <c r="G140" i="5" s="1"/>
  <c r="H54" i="11"/>
  <c r="H54" i="10"/>
  <c r="H54" i="9"/>
  <c r="I147" i="5"/>
  <c r="N61" i="11"/>
  <c r="N61" i="10"/>
  <c r="N61" i="9"/>
  <c r="O150" i="5"/>
  <c r="G57" i="11"/>
  <c r="G57" i="10"/>
  <c r="G57" i="9"/>
  <c r="H65" i="5"/>
  <c r="H60" i="11"/>
  <c r="H60" i="10"/>
  <c r="H60" i="9"/>
  <c r="I79" i="5"/>
  <c r="G64" i="11"/>
  <c r="G64" i="10"/>
  <c r="G64" i="9"/>
  <c r="H151" i="5"/>
  <c r="E49" i="11"/>
  <c r="F49" i="11" s="1"/>
  <c r="E49" i="10"/>
  <c r="F49" i="10" s="1"/>
  <c r="E49" i="9"/>
  <c r="F49" i="9" s="1"/>
  <c r="F96" i="5"/>
  <c r="G96" i="5" s="1"/>
  <c r="G69" i="11"/>
  <c r="G69" i="10"/>
  <c r="G69" i="9"/>
  <c r="H152" i="5"/>
  <c r="P112" i="5"/>
  <c r="H70" i="11"/>
  <c r="H70" i="10"/>
  <c r="H70" i="9"/>
  <c r="I88" i="5"/>
  <c r="P155" i="5"/>
  <c r="H72" i="11"/>
  <c r="H72" i="10"/>
  <c r="H72" i="9"/>
  <c r="I153" i="5"/>
  <c r="N77" i="11"/>
  <c r="N77" i="10"/>
  <c r="N77" i="9"/>
  <c r="O112" i="5"/>
  <c r="P73" i="5"/>
  <c r="N83" i="11"/>
  <c r="N83" i="10"/>
  <c r="N83" i="9"/>
  <c r="O155" i="5"/>
  <c r="E53" i="11"/>
  <c r="F53" i="11" s="1"/>
  <c r="E53" i="10"/>
  <c r="F53" i="10" s="1"/>
  <c r="E53" i="9"/>
  <c r="F53" i="9" s="1"/>
  <c r="F22" i="5"/>
  <c r="G22" i="5" s="1"/>
  <c r="E55" i="11"/>
  <c r="F55" i="11" s="1"/>
  <c r="E55" i="10"/>
  <c r="F55" i="10" s="1"/>
  <c r="E55" i="9"/>
  <c r="F55" i="9" s="1"/>
  <c r="F86" i="5"/>
  <c r="G86" i="5" s="1"/>
  <c r="G86" i="11"/>
  <c r="G86" i="10"/>
  <c r="G86" i="9"/>
  <c r="H115" i="5"/>
  <c r="E63" i="11"/>
  <c r="F63" i="11" s="1"/>
  <c r="E63" i="10"/>
  <c r="F63" i="10" s="1"/>
  <c r="E63" i="9"/>
  <c r="F63" i="9" s="1"/>
  <c r="F87" i="5"/>
  <c r="G87" i="5" s="1"/>
  <c r="E84" i="11"/>
  <c r="F84" i="11" s="1"/>
  <c r="E84" i="10"/>
  <c r="F84" i="10" s="1"/>
  <c r="E84" i="9"/>
  <c r="F84" i="9" s="1"/>
  <c r="F124" i="5"/>
  <c r="G124" i="5" s="1"/>
  <c r="G2" i="11"/>
  <c r="G2" i="10"/>
  <c r="G2" i="9"/>
  <c r="H92" i="5"/>
  <c r="E9" i="11"/>
  <c r="F9" i="11" s="1"/>
  <c r="E9" i="10"/>
  <c r="F9" i="10" s="1"/>
  <c r="E9" i="9"/>
  <c r="F9" i="9" s="1"/>
  <c r="F116" i="5"/>
  <c r="G116" i="5" s="1"/>
  <c r="N17" i="11"/>
  <c r="N17" i="10"/>
  <c r="N17" i="9"/>
  <c r="O138" i="5"/>
  <c r="P131" i="5"/>
  <c r="H44" i="11"/>
  <c r="H44" i="10"/>
  <c r="H44" i="9"/>
  <c r="I143" i="5"/>
  <c r="N49" i="11"/>
  <c r="N49" i="10"/>
  <c r="N49" i="9"/>
  <c r="O96" i="5"/>
  <c r="P65" i="5"/>
  <c r="H2" i="11"/>
  <c r="H2" i="10"/>
  <c r="H2" i="9"/>
  <c r="I92" i="5"/>
  <c r="N4" i="11"/>
  <c r="N4" i="10"/>
  <c r="N4" i="9"/>
  <c r="O2" i="5"/>
  <c r="G14" i="11"/>
  <c r="G14" i="10"/>
  <c r="G14" i="9"/>
  <c r="H136" i="5"/>
  <c r="P137" i="5"/>
  <c r="N16" i="11"/>
  <c r="N16" i="10"/>
  <c r="N16" i="9"/>
  <c r="O55" i="5"/>
  <c r="H18" i="11"/>
  <c r="H18" i="10"/>
  <c r="H18" i="9"/>
  <c r="I56" i="5"/>
  <c r="P59" i="5"/>
  <c r="N23" i="11"/>
  <c r="N23" i="10"/>
  <c r="N23" i="9"/>
  <c r="O75" i="5"/>
  <c r="N26" i="11"/>
  <c r="N26" i="10"/>
  <c r="N26" i="9"/>
  <c r="O139" i="5"/>
  <c r="G28" i="11"/>
  <c r="G28" i="10"/>
  <c r="G28" i="9"/>
  <c r="H60" i="5"/>
  <c r="G39" i="11"/>
  <c r="G39" i="10"/>
  <c r="G39" i="9"/>
  <c r="H141" i="5"/>
  <c r="N42" i="11"/>
  <c r="N42" i="10"/>
  <c r="N42" i="9"/>
  <c r="O142" i="5"/>
  <c r="P86" i="5"/>
  <c r="G50" i="11"/>
  <c r="G50" i="10"/>
  <c r="G50" i="9"/>
  <c r="H133" i="5"/>
  <c r="P108" i="5"/>
  <c r="E64" i="11"/>
  <c r="F64" i="11" s="1"/>
  <c r="E64" i="10"/>
  <c r="F64" i="10" s="1"/>
  <c r="E64" i="9"/>
  <c r="F64" i="9" s="1"/>
  <c r="F151" i="5"/>
  <c r="G151" i="5" s="1"/>
  <c r="G53" i="11"/>
  <c r="G53" i="10"/>
  <c r="G53" i="9"/>
  <c r="H22" i="5"/>
  <c r="H55" i="11"/>
  <c r="H55" i="10"/>
  <c r="H55" i="9"/>
  <c r="I86" i="5"/>
  <c r="G59" i="11"/>
  <c r="G59" i="10"/>
  <c r="G59" i="9"/>
  <c r="H66" i="5"/>
  <c r="H62" i="11"/>
  <c r="H62" i="10"/>
  <c r="H62" i="9"/>
  <c r="I108" i="5"/>
  <c r="G66" i="11"/>
  <c r="G66" i="10"/>
  <c r="G66" i="9"/>
  <c r="H109" i="5"/>
  <c r="H67" i="11"/>
  <c r="H67" i="10"/>
  <c r="H67" i="9"/>
  <c r="I67" i="5"/>
  <c r="E65" i="11"/>
  <c r="F65" i="11" s="1"/>
  <c r="E65" i="10"/>
  <c r="F65" i="10" s="1"/>
  <c r="E65" i="9"/>
  <c r="F65" i="9" s="1"/>
  <c r="F122" i="5"/>
  <c r="G122" i="5" s="1"/>
  <c r="P124" i="5"/>
  <c r="E45" i="11"/>
  <c r="F45" i="11" s="1"/>
  <c r="E45" i="10"/>
  <c r="F45" i="10" s="1"/>
  <c r="E45" i="9"/>
  <c r="F45" i="9" s="1"/>
  <c r="F19" i="5"/>
  <c r="G19" i="5" s="1"/>
  <c r="G73" i="11"/>
  <c r="G73" i="10"/>
  <c r="G73" i="9"/>
  <c r="H70" i="5"/>
  <c r="H74" i="11"/>
  <c r="H74" i="10"/>
  <c r="H74" i="9"/>
  <c r="I89" i="5"/>
  <c r="G76" i="11"/>
  <c r="G76" i="10"/>
  <c r="G76" i="9"/>
  <c r="H127" i="5"/>
  <c r="G78" i="11"/>
  <c r="G78" i="10"/>
  <c r="G78" i="9"/>
  <c r="H135" i="5"/>
  <c r="G79" i="11"/>
  <c r="G79" i="10"/>
  <c r="G79" i="9"/>
  <c r="H154" i="5"/>
  <c r="G80" i="11"/>
  <c r="G80" i="10"/>
  <c r="G80" i="9"/>
  <c r="H90" i="5"/>
  <c r="G82" i="11"/>
  <c r="G82" i="10"/>
  <c r="G82" i="9"/>
  <c r="H114" i="5"/>
  <c r="H85" i="11"/>
  <c r="H85" i="10"/>
  <c r="H85" i="9"/>
  <c r="I91" i="5"/>
  <c r="E62" i="11"/>
  <c r="F62" i="11" s="1"/>
  <c r="E62" i="10"/>
  <c r="F62" i="10" s="1"/>
  <c r="E62" i="9"/>
  <c r="F62" i="9" s="1"/>
  <c r="F108" i="5"/>
  <c r="G108" i="5" s="1"/>
  <c r="H88" i="11"/>
  <c r="H88" i="10"/>
  <c r="H88" i="9"/>
  <c r="I157" i="5"/>
  <c r="E75" i="11"/>
  <c r="F75" i="11" s="1"/>
  <c r="E75" i="10"/>
  <c r="F75" i="10" s="1"/>
  <c r="E75" i="9"/>
  <c r="F75" i="9" s="1"/>
  <c r="F111" i="5"/>
  <c r="G111" i="5" s="1"/>
  <c r="G43" i="11"/>
  <c r="G43" i="10"/>
  <c r="G43" i="9"/>
  <c r="H132" i="5"/>
  <c r="P89" i="5"/>
  <c r="P90" i="5"/>
  <c r="N74" i="11"/>
  <c r="N74" i="10"/>
  <c r="N74" i="9"/>
  <c r="O89" i="5"/>
  <c r="E59" i="11"/>
  <c r="F59" i="11" s="1"/>
  <c r="E59" i="10"/>
  <c r="F59" i="10" s="1"/>
  <c r="E59" i="9"/>
  <c r="F59" i="9" s="1"/>
  <c r="F66" i="5"/>
  <c r="G66" i="5" s="1"/>
  <c r="P129" i="5"/>
  <c r="E8" i="11"/>
  <c r="F8" i="11" s="1"/>
  <c r="E8" i="10"/>
  <c r="F8" i="10" s="1"/>
  <c r="E8" i="9"/>
  <c r="F8" i="9" s="1"/>
  <c r="F80" i="5"/>
  <c r="G80" i="5" s="1"/>
  <c r="N13" i="11"/>
  <c r="N13" i="10"/>
  <c r="N13" i="9"/>
  <c r="O6" i="5"/>
  <c r="G24" i="11"/>
  <c r="G24" i="10"/>
  <c r="G24" i="9"/>
  <c r="H94" i="5"/>
  <c r="N28" i="11"/>
  <c r="N28" i="10"/>
  <c r="N28" i="9"/>
  <c r="O60" i="5"/>
  <c r="P107" i="5"/>
  <c r="H33" i="11"/>
  <c r="H33" i="10"/>
  <c r="H33" i="9"/>
  <c r="I81" i="5"/>
  <c r="H35" i="11"/>
  <c r="H35" i="10"/>
  <c r="H35" i="9"/>
  <c r="I119" i="5"/>
  <c r="P40" i="5"/>
  <c r="H43" i="11"/>
  <c r="H43" i="10"/>
  <c r="H43" i="9"/>
  <c r="I132" i="5"/>
  <c r="N47" i="11"/>
  <c r="N47" i="10"/>
  <c r="N47" i="9"/>
  <c r="O144" i="5"/>
  <c r="E2" i="11"/>
  <c r="F2" i="11" s="1"/>
  <c r="E2" i="10"/>
  <c r="F2" i="10" s="1"/>
  <c r="E2" i="9"/>
  <c r="F2" i="9" s="1"/>
  <c r="F92" i="5"/>
  <c r="G92" i="5" s="1"/>
  <c r="G4" i="11"/>
  <c r="G4" i="10"/>
  <c r="G4" i="9"/>
  <c r="H2" i="5"/>
  <c r="P49" i="5"/>
  <c r="G7" i="11"/>
  <c r="G7" i="10"/>
  <c r="G7" i="9"/>
  <c r="H103" i="5"/>
  <c r="P116" i="5"/>
  <c r="N12" i="11"/>
  <c r="N12" i="10"/>
  <c r="N12" i="9"/>
  <c r="O105" i="5"/>
  <c r="H14" i="11"/>
  <c r="H14" i="10"/>
  <c r="H14" i="9"/>
  <c r="I136" i="5"/>
  <c r="P56" i="5"/>
  <c r="P58" i="5"/>
  <c r="N20" i="11"/>
  <c r="N20" i="10"/>
  <c r="N20" i="9"/>
  <c r="O93" i="5"/>
  <c r="G21" i="11"/>
  <c r="G21" i="10"/>
  <c r="G21" i="9"/>
  <c r="H57" i="5"/>
  <c r="P139" i="5"/>
  <c r="H24" i="11"/>
  <c r="H24" i="10"/>
  <c r="H24" i="9"/>
  <c r="I94" i="5"/>
  <c r="E22" i="11"/>
  <c r="F22" i="11" s="1"/>
  <c r="E22" i="10"/>
  <c r="F22" i="10" s="1"/>
  <c r="E22" i="9"/>
  <c r="F22" i="9" s="1"/>
  <c r="F58" i="5"/>
  <c r="G58" i="5" s="1"/>
  <c r="P76" i="5"/>
  <c r="N27" i="11"/>
  <c r="N27" i="10"/>
  <c r="N27" i="9"/>
  <c r="O106" i="5"/>
  <c r="E24" i="11"/>
  <c r="F24" i="11" s="1"/>
  <c r="E24" i="10"/>
  <c r="F24" i="10" s="1"/>
  <c r="E24" i="9"/>
  <c r="F24" i="9" s="1"/>
  <c r="F94" i="5"/>
  <c r="G94" i="5" s="1"/>
  <c r="P81" i="5"/>
  <c r="H28" i="11"/>
  <c r="H28" i="10"/>
  <c r="H28" i="9"/>
  <c r="I60" i="5"/>
  <c r="N37" i="11"/>
  <c r="N37" i="10"/>
  <c r="N37" i="9"/>
  <c r="O83" i="5"/>
  <c r="G36" i="11"/>
  <c r="G36" i="10"/>
  <c r="G36" i="9"/>
  <c r="H140" i="5"/>
  <c r="H39" i="11"/>
  <c r="H39" i="10"/>
  <c r="H39" i="9"/>
  <c r="I141" i="5"/>
  <c r="P96" i="5"/>
  <c r="N45" i="11"/>
  <c r="N45" i="10"/>
  <c r="N45" i="9"/>
  <c r="O19" i="5"/>
  <c r="N50" i="11"/>
  <c r="N50" i="10"/>
  <c r="N50" i="9"/>
  <c r="O133" i="5"/>
  <c r="P66" i="5"/>
  <c r="H50" i="11"/>
  <c r="H50" i="10"/>
  <c r="H50" i="9"/>
  <c r="I133" i="5"/>
  <c r="N54" i="11"/>
  <c r="N54" i="10"/>
  <c r="N54" i="9"/>
  <c r="O147" i="5"/>
  <c r="E14" i="11"/>
  <c r="F14" i="11" s="1"/>
  <c r="E14" i="10"/>
  <c r="F14" i="10" s="1"/>
  <c r="E14" i="9"/>
  <c r="F14" i="9" s="1"/>
  <c r="F136" i="5"/>
  <c r="G136" i="5" s="1"/>
  <c r="P109" i="5"/>
  <c r="H53" i="11"/>
  <c r="H53" i="10"/>
  <c r="H53" i="9"/>
  <c r="I22" i="5"/>
  <c r="N60" i="11"/>
  <c r="N60" i="10"/>
  <c r="N60" i="9"/>
  <c r="O79" i="5"/>
  <c r="G56" i="11"/>
  <c r="G56" i="10"/>
  <c r="G56" i="9"/>
  <c r="H148" i="5"/>
  <c r="H59" i="11"/>
  <c r="H59" i="10"/>
  <c r="H59" i="9"/>
  <c r="I66" i="5"/>
  <c r="G63" i="11"/>
  <c r="G63" i="10"/>
  <c r="G63" i="9"/>
  <c r="H87" i="5"/>
  <c r="H66" i="11"/>
  <c r="H66" i="10"/>
  <c r="H66" i="9"/>
  <c r="I109" i="5"/>
  <c r="N71" i="11"/>
  <c r="N71" i="10"/>
  <c r="N71" i="9"/>
  <c r="O24" i="5"/>
  <c r="G68" i="11"/>
  <c r="G68" i="10"/>
  <c r="G68" i="9"/>
  <c r="H69" i="5"/>
  <c r="P127" i="5"/>
  <c r="E44" i="11"/>
  <c r="F44" i="11" s="1"/>
  <c r="E44" i="10"/>
  <c r="F44" i="10" s="1"/>
  <c r="E44" i="9"/>
  <c r="F44" i="9" s="1"/>
  <c r="F143" i="5"/>
  <c r="G143" i="5" s="1"/>
  <c r="P114" i="5"/>
  <c r="N76" i="11"/>
  <c r="N76" i="10"/>
  <c r="N76" i="9"/>
  <c r="O127" i="5"/>
  <c r="E48" i="11"/>
  <c r="F48" i="11" s="1"/>
  <c r="E48" i="10"/>
  <c r="F48" i="10" s="1"/>
  <c r="E48" i="9"/>
  <c r="F48" i="9" s="1"/>
  <c r="F145" i="5"/>
  <c r="G145" i="5" s="1"/>
  <c r="H73" i="11"/>
  <c r="H73" i="10"/>
  <c r="H73" i="9"/>
  <c r="I70" i="5"/>
  <c r="N82" i="11"/>
  <c r="N82" i="10"/>
  <c r="N82" i="9"/>
  <c r="O114" i="5"/>
  <c r="E51" i="11"/>
  <c r="F51" i="11" s="1"/>
  <c r="E51" i="10"/>
  <c r="F51" i="10" s="1"/>
  <c r="E51" i="9"/>
  <c r="F51" i="9" s="1"/>
  <c r="F40" i="5"/>
  <c r="G40" i="5" s="1"/>
  <c r="H76" i="11"/>
  <c r="H76" i="10"/>
  <c r="H76" i="9"/>
  <c r="I127" i="5"/>
  <c r="H78" i="11"/>
  <c r="H78" i="10"/>
  <c r="H78" i="9"/>
  <c r="I135" i="5"/>
  <c r="H79" i="11"/>
  <c r="H79" i="10"/>
  <c r="H79" i="9"/>
  <c r="I154" i="5"/>
  <c r="H80" i="11"/>
  <c r="H80" i="10"/>
  <c r="H80" i="9"/>
  <c r="I90" i="5"/>
  <c r="H82" i="11"/>
  <c r="H82" i="10"/>
  <c r="H82" i="9"/>
  <c r="I114" i="5"/>
  <c r="E57" i="11"/>
  <c r="F57" i="11" s="1"/>
  <c r="E57" i="10"/>
  <c r="F57" i="10" s="1"/>
  <c r="E57" i="9"/>
  <c r="F57" i="9" s="1"/>
  <c r="F65" i="5"/>
  <c r="G65" i="5" s="1"/>
  <c r="E19" i="11"/>
  <c r="F19" i="11" s="1"/>
  <c r="E19" i="10"/>
  <c r="F19" i="10" s="1"/>
  <c r="E19" i="9"/>
  <c r="F19" i="9" s="1"/>
  <c r="F130" i="5"/>
  <c r="G130" i="5" s="1"/>
  <c r="E25" i="11"/>
  <c r="F25" i="11" s="1"/>
  <c r="E25" i="10"/>
  <c r="F25" i="10" s="1"/>
  <c r="E25" i="9"/>
  <c r="F25" i="9" s="1"/>
  <c r="F59" i="5"/>
  <c r="G59" i="5" s="1"/>
  <c r="E74" i="11"/>
  <c r="F74" i="11" s="1"/>
  <c r="E74" i="10"/>
  <c r="F74" i="10" s="1"/>
  <c r="E74" i="9"/>
  <c r="F74" i="9" s="1"/>
  <c r="F89" i="5"/>
  <c r="G89" i="5" s="1"/>
  <c r="E82" i="11"/>
  <c r="F82" i="11" s="1"/>
  <c r="E82" i="10"/>
  <c r="F82" i="10" s="1"/>
  <c r="E82" i="9"/>
  <c r="F82" i="9" s="1"/>
  <c r="F114" i="5"/>
  <c r="G114" i="5" s="1"/>
  <c r="E80" i="11"/>
  <c r="F80" i="11" s="1"/>
  <c r="E80" i="10"/>
  <c r="F80" i="10" s="1"/>
  <c r="E80" i="9"/>
  <c r="F80" i="9" s="1"/>
  <c r="F90" i="5"/>
  <c r="G90" i="5" s="1"/>
  <c r="E67" i="11"/>
  <c r="F67" i="11" s="1"/>
  <c r="E67" i="10"/>
  <c r="F67" i="10" s="1"/>
  <c r="E67" i="9"/>
  <c r="F67" i="9" s="1"/>
  <c r="F67" i="5"/>
  <c r="G67" i="5" s="1"/>
  <c r="G18" i="11"/>
  <c r="G18" i="10"/>
  <c r="G18" i="9"/>
  <c r="H56" i="5"/>
  <c r="H30" i="11"/>
  <c r="H30" i="10"/>
  <c r="H30" i="9"/>
  <c r="I62" i="5"/>
  <c r="P84" i="5"/>
  <c r="P145" i="5"/>
  <c r="G55" i="11"/>
  <c r="G55" i="10"/>
  <c r="G55" i="9"/>
  <c r="H86" i="5"/>
  <c r="H4" i="11"/>
  <c r="H4" i="10"/>
  <c r="H4" i="9"/>
  <c r="I2" i="5"/>
  <c r="G6" i="11"/>
  <c r="G6" i="10"/>
  <c r="G6" i="9"/>
  <c r="H102" i="5"/>
  <c r="E20" i="11"/>
  <c r="F20" i="11" s="1"/>
  <c r="E20" i="10"/>
  <c r="F20" i="10" s="1"/>
  <c r="E20" i="9"/>
  <c r="F20" i="9" s="1"/>
  <c r="F93" i="5"/>
  <c r="G93" i="5" s="1"/>
  <c r="P142" i="5"/>
  <c r="H36" i="11"/>
  <c r="H36" i="10"/>
  <c r="H36" i="9"/>
  <c r="I140" i="5"/>
  <c r="G40" i="11"/>
  <c r="G40" i="10"/>
  <c r="G40" i="9"/>
  <c r="H84" i="5"/>
  <c r="P144" i="5"/>
  <c r="N64" i="11"/>
  <c r="N64" i="10"/>
  <c r="N64" i="9"/>
  <c r="O151" i="5"/>
  <c r="E43" i="11"/>
  <c r="F43" i="11" s="1"/>
  <c r="E43" i="10"/>
  <c r="F43" i="10" s="1"/>
  <c r="E43" i="9"/>
  <c r="F43" i="9" s="1"/>
  <c r="F132" i="5"/>
  <c r="G132" i="5" s="1"/>
  <c r="E73" i="11"/>
  <c r="F73" i="11" s="1"/>
  <c r="E73" i="10"/>
  <c r="F73" i="10" s="1"/>
  <c r="E73" i="9"/>
  <c r="F73" i="9" s="1"/>
  <c r="F70" i="5"/>
  <c r="G70" i="5" s="1"/>
  <c r="H10" i="11"/>
  <c r="H10" i="10"/>
  <c r="H10" i="9"/>
  <c r="I129" i="5"/>
  <c r="N11" i="11"/>
  <c r="N11" i="10"/>
  <c r="N11" i="9"/>
  <c r="O53" i="5"/>
  <c r="N88" i="11"/>
  <c r="N88" i="10"/>
  <c r="N88" i="9"/>
  <c r="O157" i="5"/>
  <c r="G85" i="11"/>
  <c r="G85" i="10"/>
  <c r="G85" i="9"/>
  <c r="H91" i="5"/>
  <c r="E61" i="11"/>
  <c r="F61" i="11" s="1"/>
  <c r="E61" i="10"/>
  <c r="F61" i="10" s="1"/>
  <c r="E61" i="9"/>
  <c r="F61" i="9" s="1"/>
  <c r="F150" i="5"/>
  <c r="G150" i="5" s="1"/>
  <c r="E66" i="11"/>
  <c r="F66" i="11" s="1"/>
  <c r="E66" i="10"/>
  <c r="F66" i="10" s="1"/>
  <c r="E66" i="9"/>
  <c r="F66" i="9" s="1"/>
  <c r="F109" i="5"/>
  <c r="G109" i="5" s="1"/>
  <c r="E76" i="11"/>
  <c r="F76" i="11" s="1"/>
  <c r="E76" i="10"/>
  <c r="F76" i="10" s="1"/>
  <c r="E76" i="9"/>
  <c r="F76" i="9" s="1"/>
  <c r="F127" i="5"/>
  <c r="G127" i="5" s="1"/>
  <c r="E88" i="11"/>
  <c r="F88" i="11" s="1"/>
  <c r="E88" i="10"/>
  <c r="F88" i="10" s="1"/>
  <c r="E88" i="9"/>
  <c r="F88" i="9" s="1"/>
  <c r="F157" i="5"/>
  <c r="G157" i="5" s="1"/>
  <c r="N25" i="11"/>
  <c r="N25" i="10"/>
  <c r="N25" i="9"/>
  <c r="O59" i="5"/>
  <c r="E35" i="11"/>
  <c r="F35" i="11" s="1"/>
  <c r="E35" i="10"/>
  <c r="F35" i="10" s="1"/>
  <c r="E35" i="9"/>
  <c r="F35" i="9" s="1"/>
  <c r="F119" i="5"/>
  <c r="G119" i="5" s="1"/>
  <c r="N57" i="11"/>
  <c r="N57" i="10"/>
  <c r="N57" i="9"/>
  <c r="O65" i="5"/>
  <c r="H56" i="11"/>
  <c r="H56" i="10"/>
  <c r="H56" i="9"/>
  <c r="I148" i="5"/>
  <c r="G61" i="11"/>
  <c r="G61" i="10"/>
  <c r="G61" i="9"/>
  <c r="H150" i="5"/>
  <c r="H63" i="11"/>
  <c r="H63" i="10"/>
  <c r="H63" i="9"/>
  <c r="I87" i="5"/>
  <c r="H6" i="11"/>
  <c r="H6" i="10"/>
  <c r="H6" i="9"/>
  <c r="I102" i="5"/>
  <c r="N7" i="11"/>
  <c r="N7" i="10"/>
  <c r="N7" i="9"/>
  <c r="O103" i="5"/>
  <c r="H9" i="11"/>
  <c r="H9" i="10"/>
  <c r="H9" i="9"/>
  <c r="I116" i="5"/>
  <c r="N15" i="11"/>
  <c r="N15" i="10"/>
  <c r="N15" i="9"/>
  <c r="O137" i="5"/>
  <c r="E16" i="11"/>
  <c r="F16" i="11" s="1"/>
  <c r="E16" i="10"/>
  <c r="F16" i="10" s="1"/>
  <c r="E16" i="9"/>
  <c r="F16" i="9" s="1"/>
  <c r="F55" i="5"/>
  <c r="G55" i="5" s="1"/>
  <c r="P94" i="5"/>
  <c r="N22" i="11"/>
  <c r="N22" i="10"/>
  <c r="N22" i="9"/>
  <c r="O58" i="5"/>
  <c r="G23" i="11"/>
  <c r="G23" i="10"/>
  <c r="G23" i="9"/>
  <c r="H75" i="5"/>
  <c r="P83" i="5"/>
  <c r="H32" i="11"/>
  <c r="H32" i="10"/>
  <c r="H32" i="9"/>
  <c r="I125" i="5"/>
  <c r="N39" i="11"/>
  <c r="N39" i="10"/>
  <c r="N39" i="9"/>
  <c r="O141" i="5"/>
  <c r="G38" i="11"/>
  <c r="G38" i="10"/>
  <c r="G38" i="9"/>
  <c r="H107" i="5"/>
  <c r="P19" i="5"/>
  <c r="H40" i="11"/>
  <c r="H40" i="10"/>
  <c r="H40" i="9"/>
  <c r="I84" i="5"/>
  <c r="P133" i="5"/>
  <c r="H42" i="11"/>
  <c r="H42" i="10"/>
  <c r="H42" i="9"/>
  <c r="I142" i="5"/>
  <c r="N46" i="11"/>
  <c r="N46" i="10"/>
  <c r="N46" i="9"/>
  <c r="O64" i="5"/>
  <c r="E31" i="11"/>
  <c r="F31" i="11" s="1"/>
  <c r="E31" i="10"/>
  <c r="F31" i="10" s="1"/>
  <c r="E31" i="9"/>
  <c r="F31" i="9" s="1"/>
  <c r="F131" i="5"/>
  <c r="G131" i="5" s="1"/>
  <c r="G45" i="11"/>
  <c r="G45" i="10"/>
  <c r="G45" i="9"/>
  <c r="H19" i="5"/>
  <c r="H47" i="11"/>
  <c r="H47" i="10"/>
  <c r="H47" i="9"/>
  <c r="I144" i="5"/>
  <c r="N52" i="11"/>
  <c r="N52" i="10"/>
  <c r="N52" i="9"/>
  <c r="O146" i="5"/>
  <c r="P150" i="5"/>
  <c r="H52" i="11"/>
  <c r="H52" i="10"/>
  <c r="H52" i="9"/>
  <c r="I146" i="5"/>
  <c r="N55" i="11"/>
  <c r="N55" i="10"/>
  <c r="N55" i="9"/>
  <c r="O86" i="5"/>
  <c r="N62" i="11"/>
  <c r="N62" i="10"/>
  <c r="N62" i="9"/>
  <c r="O108" i="5"/>
  <c r="G58" i="11"/>
  <c r="G58" i="10"/>
  <c r="G58" i="9"/>
  <c r="H149" i="5"/>
  <c r="H61" i="11"/>
  <c r="H61" i="10"/>
  <c r="H61" i="9"/>
  <c r="I150" i="5"/>
  <c r="N67" i="11"/>
  <c r="N67" i="10"/>
  <c r="N67" i="9"/>
  <c r="O67" i="5"/>
  <c r="G65" i="11"/>
  <c r="G65" i="10"/>
  <c r="G65" i="9"/>
  <c r="H122" i="5"/>
  <c r="P135" i="5"/>
  <c r="H71" i="11"/>
  <c r="H71" i="10"/>
  <c r="H71" i="9"/>
  <c r="I24" i="5"/>
  <c r="E77" i="11"/>
  <c r="F77" i="11" s="1"/>
  <c r="E77" i="10"/>
  <c r="F77" i="10" s="1"/>
  <c r="E77" i="9"/>
  <c r="F77" i="9" s="1"/>
  <c r="F112" i="5"/>
  <c r="G112" i="5" s="1"/>
  <c r="N78" i="11"/>
  <c r="N78" i="10"/>
  <c r="N78" i="9"/>
  <c r="O135" i="5"/>
  <c r="P157" i="5"/>
  <c r="N85" i="11"/>
  <c r="N85" i="10"/>
  <c r="N85" i="9"/>
  <c r="O91" i="5"/>
  <c r="N86" i="11"/>
  <c r="N86" i="10"/>
  <c r="N86" i="9"/>
  <c r="O115" i="5"/>
  <c r="N87" i="11"/>
  <c r="N87" i="10"/>
  <c r="N87" i="9"/>
  <c r="O73" i="5"/>
  <c r="E70" i="11"/>
  <c r="F70" i="11" s="1"/>
  <c r="E70" i="10"/>
  <c r="F70" i="10" s="1"/>
  <c r="E70" i="9"/>
  <c r="F70" i="9" s="1"/>
  <c r="F88" i="5"/>
  <c r="G88" i="5" s="1"/>
  <c r="E78" i="11"/>
  <c r="F78" i="11" s="1"/>
  <c r="E78" i="10"/>
  <c r="F78" i="10" s="1"/>
  <c r="E78" i="9"/>
  <c r="F78" i="9" s="1"/>
  <c r="F135" i="5"/>
  <c r="G135" i="5" s="1"/>
  <c r="E83" i="11"/>
  <c r="F83" i="11" s="1"/>
  <c r="E83" i="10"/>
  <c r="F83" i="10" s="1"/>
  <c r="E83" i="9"/>
  <c r="F83" i="9" s="1"/>
  <c r="F155" i="5"/>
  <c r="G155" i="5" s="1"/>
  <c r="E68" i="11"/>
  <c r="F68" i="11" s="1"/>
  <c r="E68" i="10"/>
  <c r="F68" i="10" s="1"/>
  <c r="E68" i="9"/>
  <c r="F68" i="9" s="1"/>
  <c r="F69" i="5"/>
  <c r="G69" i="5" s="1"/>
  <c r="N33" i="11"/>
  <c r="N33" i="10"/>
  <c r="N33" i="9"/>
  <c r="O81" i="5"/>
  <c r="H69" i="11"/>
  <c r="H69" i="10"/>
  <c r="H69" i="9"/>
  <c r="I152" i="5"/>
  <c r="H86" i="11"/>
  <c r="H86" i="10"/>
  <c r="H86" i="9"/>
  <c r="I115" i="5"/>
  <c r="E72" i="11"/>
  <c r="F72" i="11" s="1"/>
  <c r="E72" i="10"/>
  <c r="F72" i="10" s="1"/>
  <c r="E72" i="9"/>
  <c r="F72" i="9" s="1"/>
  <c r="F153" i="5"/>
  <c r="G153" i="5" s="1"/>
  <c r="P62" i="5"/>
  <c r="N32" i="11"/>
  <c r="N32" i="10"/>
  <c r="N32" i="9"/>
  <c r="O125" i="5"/>
  <c r="G32" i="11"/>
  <c r="G32" i="10"/>
  <c r="G32" i="9"/>
  <c r="H125" i="5"/>
  <c r="N69" i="11"/>
  <c r="N69" i="10"/>
  <c r="N69" i="9"/>
  <c r="O152" i="5"/>
  <c r="N73" i="11"/>
  <c r="N73" i="10"/>
  <c r="N73" i="9"/>
  <c r="O70" i="5"/>
  <c r="E50" i="11"/>
  <c r="F50" i="11" s="1"/>
  <c r="E50" i="10"/>
  <c r="F50" i="10" s="1"/>
  <c r="E50" i="9"/>
  <c r="F50" i="9" s="1"/>
  <c r="F133" i="5"/>
  <c r="G133" i="5" s="1"/>
  <c r="E81" i="11"/>
  <c r="F81" i="11" s="1"/>
  <c r="E81" i="10"/>
  <c r="F81" i="10" s="1"/>
  <c r="E81" i="9"/>
  <c r="F81" i="9" s="1"/>
  <c r="F113" i="5"/>
  <c r="G113" i="5" s="1"/>
  <c r="E86" i="11"/>
  <c r="F86" i="11" s="1"/>
  <c r="E86" i="10"/>
  <c r="F86" i="10" s="1"/>
  <c r="E86" i="9"/>
  <c r="F86" i="9" s="1"/>
  <c r="F115" i="5"/>
  <c r="G115" i="5" s="1"/>
  <c r="E69" i="11"/>
  <c r="F69" i="11" s="1"/>
  <c r="E69" i="10"/>
  <c r="F69" i="10" s="1"/>
  <c r="E69" i="9"/>
  <c r="F69" i="9" s="1"/>
  <c r="F152" i="5"/>
  <c r="G152" i="5" s="1"/>
  <c r="E54" i="11"/>
  <c r="F54" i="11" s="1"/>
  <c r="E54" i="10"/>
  <c r="F54" i="10" s="1"/>
  <c r="E54" i="9"/>
  <c r="F54" i="9" s="1"/>
  <c r="F147" i="5"/>
  <c r="G147" i="5" s="1"/>
  <c r="G20" i="11"/>
  <c r="G20" i="10"/>
  <c r="G20" i="9"/>
  <c r="H93" i="5"/>
  <c r="H23" i="11"/>
  <c r="H23" i="10"/>
  <c r="H23" i="9"/>
  <c r="I75" i="5"/>
  <c r="H26" i="11"/>
  <c r="H26" i="10"/>
  <c r="H26" i="9"/>
  <c r="I139" i="5"/>
  <c r="E23" i="11"/>
  <c r="F23" i="11" s="1"/>
  <c r="E23" i="10"/>
  <c r="F23" i="10" s="1"/>
  <c r="E23" i="9"/>
  <c r="F23" i="9" s="1"/>
  <c r="F75" i="5"/>
  <c r="G75" i="5" s="1"/>
  <c r="G27" i="11"/>
  <c r="G27" i="10"/>
  <c r="G27" i="9"/>
  <c r="H106" i="5"/>
  <c r="P125" i="5"/>
  <c r="P119" i="5"/>
  <c r="N34" i="11"/>
  <c r="N34" i="10"/>
  <c r="N34" i="9"/>
  <c r="O95" i="5"/>
  <c r="E27" i="11"/>
  <c r="F27" i="11" s="1"/>
  <c r="E27" i="10"/>
  <c r="F27" i="10" s="1"/>
  <c r="E27" i="9"/>
  <c r="F27" i="9" s="1"/>
  <c r="F106" i="5"/>
  <c r="G106" i="5" s="1"/>
  <c r="G34" i="11"/>
  <c r="G34" i="10"/>
  <c r="G34" i="9"/>
  <c r="H95" i="5"/>
  <c r="N36" i="11"/>
  <c r="N36" i="10"/>
  <c r="N36" i="9"/>
  <c r="O140" i="5"/>
  <c r="E28" i="11"/>
  <c r="F28" i="11" s="1"/>
  <c r="E28" i="10"/>
  <c r="F28" i="10" s="1"/>
  <c r="E28" i="9"/>
  <c r="F28" i="9" s="1"/>
  <c r="F60" i="5"/>
  <c r="G60" i="5" s="1"/>
  <c r="H38" i="11"/>
  <c r="H38" i="10"/>
  <c r="H38" i="9"/>
  <c r="I107" i="5"/>
  <c r="N41" i="11"/>
  <c r="N41" i="10"/>
  <c r="N41" i="9"/>
  <c r="O121" i="5"/>
  <c r="N44" i="11"/>
  <c r="N44" i="10"/>
  <c r="N44" i="9"/>
  <c r="O143" i="5"/>
  <c r="E32" i="11"/>
  <c r="F32" i="11" s="1"/>
  <c r="E32" i="10"/>
  <c r="F32" i="10" s="1"/>
  <c r="E32" i="9"/>
  <c r="F32" i="9" s="1"/>
  <c r="F125" i="5"/>
  <c r="G125" i="5" s="1"/>
  <c r="H45" i="11"/>
  <c r="H45" i="10"/>
  <c r="H45" i="9"/>
  <c r="I19" i="5"/>
  <c r="G48" i="11"/>
  <c r="G48" i="10"/>
  <c r="G48" i="9"/>
  <c r="H145" i="5"/>
  <c r="P149" i="5"/>
  <c r="N53" i="11"/>
  <c r="N53" i="10"/>
  <c r="N53" i="9"/>
  <c r="O22" i="5"/>
  <c r="E38" i="11"/>
  <c r="F38" i="11" s="1"/>
  <c r="E38" i="10"/>
  <c r="F38" i="10" s="1"/>
  <c r="E38" i="9"/>
  <c r="F38" i="9" s="1"/>
  <c r="F107" i="5"/>
  <c r="G107" i="5" s="1"/>
  <c r="P122" i="5"/>
  <c r="N59" i="11"/>
  <c r="N59" i="10"/>
  <c r="N59" i="9"/>
  <c r="O66" i="5"/>
  <c r="E40" i="11"/>
  <c r="F40" i="11" s="1"/>
  <c r="E40" i="10"/>
  <c r="F40" i="10" s="1"/>
  <c r="E40" i="9"/>
  <c r="F40" i="9" s="1"/>
  <c r="F84" i="5"/>
  <c r="G84" i="5" s="1"/>
  <c r="P24" i="5"/>
  <c r="H58" i="11"/>
  <c r="H58" i="10"/>
  <c r="H58" i="9"/>
  <c r="I149" i="5"/>
  <c r="N66" i="11"/>
  <c r="N66" i="10"/>
  <c r="N66" i="9"/>
  <c r="O109" i="5"/>
  <c r="H65" i="11"/>
  <c r="H65" i="10"/>
  <c r="H65" i="9"/>
  <c r="I122" i="5"/>
  <c r="N70" i="11"/>
  <c r="N70" i="10"/>
  <c r="N70" i="9"/>
  <c r="O88" i="5"/>
  <c r="P111" i="5"/>
  <c r="N72" i="11"/>
  <c r="N72" i="10"/>
  <c r="N72" i="9"/>
  <c r="O153" i="5"/>
  <c r="E46" i="11"/>
  <c r="F46" i="11" s="1"/>
  <c r="E46" i="10"/>
  <c r="F46" i="10" s="1"/>
  <c r="E46" i="9"/>
  <c r="F46" i="9" s="1"/>
  <c r="F64" i="5"/>
  <c r="G64" i="5" s="1"/>
  <c r="P113" i="5"/>
  <c r="N75" i="11"/>
  <c r="N75" i="10"/>
  <c r="N75" i="9"/>
  <c r="O111" i="5"/>
  <c r="P115" i="5"/>
  <c r="N81" i="11"/>
  <c r="N81" i="10"/>
  <c r="N81" i="9"/>
  <c r="O113" i="5"/>
  <c r="G75" i="11"/>
  <c r="G75" i="10"/>
  <c r="G75" i="9"/>
  <c r="H111" i="5"/>
  <c r="G77" i="11"/>
  <c r="G77" i="10"/>
  <c r="G77" i="9"/>
  <c r="H112" i="5"/>
  <c r="G81" i="11"/>
  <c r="G81" i="10"/>
  <c r="G81" i="9"/>
  <c r="H113" i="5"/>
  <c r="G83" i="11"/>
  <c r="G83" i="10"/>
  <c r="G83" i="9"/>
  <c r="H155" i="5"/>
  <c r="G84" i="11"/>
  <c r="G84" i="10"/>
  <c r="G84" i="9"/>
  <c r="H124" i="5"/>
  <c r="E60" i="11"/>
  <c r="F60" i="11" s="1"/>
  <c r="E60" i="10"/>
  <c r="F60" i="10" s="1"/>
  <c r="E60" i="9"/>
  <c r="F60" i="9" s="1"/>
  <c r="F79" i="5"/>
  <c r="G79" i="5" s="1"/>
  <c r="G87" i="11"/>
  <c r="G87" i="10"/>
  <c r="G87" i="9"/>
  <c r="H73" i="5"/>
  <c r="E87" i="11"/>
  <c r="F87" i="11" s="1"/>
  <c r="E87" i="10"/>
  <c r="F87" i="10" s="1"/>
  <c r="E87" i="9"/>
  <c r="F87" i="9" s="1"/>
  <c r="F73" i="5"/>
  <c r="G73" i="5" s="1"/>
  <c r="E17" i="11"/>
  <c r="F17" i="11" s="1"/>
  <c r="E17" i="10"/>
  <c r="F17" i="10" s="1"/>
  <c r="E17" i="9"/>
  <c r="F17" i="9" s="1"/>
  <c r="F138" i="5"/>
  <c r="G138" i="5" s="1"/>
  <c r="H15" i="11"/>
  <c r="H15" i="10"/>
  <c r="H15" i="9"/>
  <c r="I137" i="5"/>
  <c r="G33" i="11"/>
  <c r="G33" i="10"/>
  <c r="G33" i="9"/>
  <c r="H81" i="5"/>
  <c r="G35" i="11"/>
  <c r="G35" i="10"/>
  <c r="G35" i="9"/>
  <c r="H119" i="5"/>
  <c r="P132" i="5"/>
  <c r="E30" i="11"/>
  <c r="F30" i="11" s="1"/>
  <c r="E30" i="10"/>
  <c r="F30" i="10" s="1"/>
  <c r="E30" i="9"/>
  <c r="F30" i="9" s="1"/>
  <c r="F62" i="5"/>
  <c r="G62" i="5" s="1"/>
  <c r="H41" i="11"/>
  <c r="H41" i="10"/>
  <c r="H41" i="9"/>
  <c r="I121" i="5"/>
  <c r="E34" i="11"/>
  <c r="F34" i="11" s="1"/>
  <c r="E34" i="10"/>
  <c r="F34" i="10" s="1"/>
  <c r="E34" i="9"/>
  <c r="F34" i="9" s="1"/>
  <c r="F95" i="5"/>
  <c r="G95" i="5" s="1"/>
  <c r="H49" i="11"/>
  <c r="H49" i="10"/>
  <c r="H49" i="9"/>
  <c r="I96" i="5"/>
  <c r="P80" i="5"/>
  <c r="G9" i="11"/>
  <c r="G9" i="10"/>
  <c r="G9" i="9"/>
  <c r="H116" i="5"/>
  <c r="G17" i="11"/>
  <c r="G17" i="10"/>
  <c r="G17" i="9"/>
  <c r="H138" i="5"/>
  <c r="P130" i="5"/>
  <c r="N19" i="11"/>
  <c r="N19" i="10"/>
  <c r="N19" i="9"/>
  <c r="O130" i="5"/>
  <c r="E18" i="11"/>
  <c r="F18" i="11" s="1"/>
  <c r="E18" i="10"/>
  <c r="F18" i="10" s="1"/>
  <c r="E18" i="9"/>
  <c r="F18" i="9" s="1"/>
  <c r="F56" i="5"/>
  <c r="G56" i="5" s="1"/>
  <c r="H21" i="11"/>
  <c r="H21" i="10"/>
  <c r="H21" i="9"/>
  <c r="I57" i="5"/>
  <c r="P106" i="5"/>
  <c r="N35" i="11"/>
  <c r="N35" i="10"/>
  <c r="N35" i="9"/>
  <c r="O119" i="5"/>
  <c r="G42" i="11"/>
  <c r="G42" i="10"/>
  <c r="G42" i="9"/>
  <c r="H142" i="5"/>
  <c r="G47" i="11"/>
  <c r="G47" i="10"/>
  <c r="G47" i="9"/>
  <c r="H144" i="5"/>
  <c r="G52" i="11"/>
  <c r="G52" i="10"/>
  <c r="G52" i="9"/>
  <c r="H146" i="5"/>
  <c r="H68" i="11"/>
  <c r="H68" i="10"/>
  <c r="H68" i="9"/>
  <c r="I69" i="5"/>
  <c r="G71" i="11"/>
  <c r="G71" i="10"/>
  <c r="G71" i="9"/>
  <c r="H24" i="5"/>
  <c r="E52" i="11"/>
  <c r="F52" i="11" s="1"/>
  <c r="E52" i="10"/>
  <c r="F52" i="10" s="1"/>
  <c r="E52" i="9"/>
  <c r="F52" i="9" s="1"/>
  <c r="F146" i="5"/>
  <c r="G146" i="5" s="1"/>
  <c r="E56" i="11"/>
  <c r="F56" i="11" s="1"/>
  <c r="E56" i="10"/>
  <c r="F56" i="10" s="1"/>
  <c r="E56" i="9"/>
  <c r="F56" i="9" s="1"/>
  <c r="F148" i="5"/>
  <c r="G148" i="5" s="1"/>
  <c r="N3" i="11"/>
  <c r="N3" i="10"/>
  <c r="N3" i="9"/>
  <c r="O101" i="5"/>
  <c r="N10" i="11"/>
  <c r="N10" i="10"/>
  <c r="N10" i="9"/>
  <c r="O129" i="5"/>
  <c r="E12" i="11"/>
  <c r="F12" i="11" s="1"/>
  <c r="E12" i="10"/>
  <c r="F12" i="10" s="1"/>
  <c r="E12" i="9"/>
  <c r="F12" i="9" s="1"/>
  <c r="F105" i="5"/>
  <c r="G105" i="5" s="1"/>
  <c r="G13" i="11"/>
  <c r="G13" i="10"/>
  <c r="G13" i="9"/>
  <c r="H6" i="5"/>
  <c r="G16" i="11"/>
  <c r="G16" i="10"/>
  <c r="G16" i="9"/>
  <c r="H55" i="5"/>
  <c r="H17" i="11"/>
  <c r="H17" i="10"/>
  <c r="H17" i="9"/>
  <c r="I138" i="5"/>
  <c r="G26" i="11"/>
  <c r="G26" i="10"/>
  <c r="G26" i="9"/>
  <c r="H139" i="5"/>
  <c r="G3" i="11"/>
  <c r="G3" i="10"/>
  <c r="G3" i="9"/>
  <c r="H101" i="5"/>
  <c r="N6" i="11"/>
  <c r="N6" i="10"/>
  <c r="N6" i="9"/>
  <c r="O102" i="5"/>
  <c r="E6" i="11"/>
  <c r="F6" i="11" s="1"/>
  <c r="E6" i="10"/>
  <c r="F6" i="10" s="1"/>
  <c r="E6" i="9"/>
  <c r="F6" i="9" s="1"/>
  <c r="F102" i="5"/>
  <c r="G102" i="5" s="1"/>
  <c r="H8" i="11"/>
  <c r="H8" i="10"/>
  <c r="H8" i="9"/>
  <c r="I80" i="5"/>
  <c r="P53" i="5"/>
  <c r="H13" i="11"/>
  <c r="H13" i="10"/>
  <c r="H13" i="9"/>
  <c r="I6" i="5"/>
  <c r="P92" i="5"/>
  <c r="H3" i="11"/>
  <c r="H3" i="10"/>
  <c r="H3" i="9"/>
  <c r="I101" i="5"/>
  <c r="G5" i="11"/>
  <c r="G5" i="10"/>
  <c r="G5" i="9"/>
  <c r="H49" i="5"/>
  <c r="H12" i="11"/>
  <c r="H12" i="10"/>
  <c r="H12" i="9"/>
  <c r="I105" i="5"/>
  <c r="P55" i="5"/>
  <c r="E13" i="11"/>
  <c r="F13" i="11" s="1"/>
  <c r="E13" i="10"/>
  <c r="F13" i="10" s="1"/>
  <c r="E13" i="9"/>
  <c r="F13" i="9" s="1"/>
  <c r="F6" i="5"/>
  <c r="G6" i="5" s="1"/>
  <c r="G19" i="11"/>
  <c r="G19" i="10"/>
  <c r="G19" i="9"/>
  <c r="H130" i="5"/>
  <c r="H27" i="11"/>
  <c r="H27" i="10"/>
  <c r="H27" i="9"/>
  <c r="I106" i="5"/>
  <c r="G29" i="11"/>
  <c r="G29" i="10"/>
  <c r="G29" i="9"/>
  <c r="H76" i="5"/>
  <c r="N31" i="11"/>
  <c r="N31" i="10"/>
  <c r="N31" i="9"/>
  <c r="O131" i="5"/>
  <c r="E47" i="11"/>
  <c r="F47" i="11" s="1"/>
  <c r="E47" i="10"/>
  <c r="F47" i="10" s="1"/>
  <c r="E47" i="9"/>
  <c r="F47" i="9" s="1"/>
  <c r="F144" i="5"/>
  <c r="G144" i="5" s="1"/>
  <c r="G31" i="11"/>
  <c r="G31" i="10"/>
  <c r="G31" i="9"/>
  <c r="H131" i="5"/>
  <c r="P141" i="5"/>
  <c r="H34" i="11"/>
  <c r="H34" i="10"/>
  <c r="H34" i="9"/>
  <c r="I95" i="5"/>
  <c r="P64" i="5"/>
  <c r="N43" i="11"/>
  <c r="N43" i="10"/>
  <c r="N43" i="9"/>
  <c r="O132" i="5"/>
  <c r="P146" i="5"/>
  <c r="N48" i="11"/>
  <c r="N48" i="10"/>
  <c r="N48" i="9"/>
  <c r="O145" i="5"/>
  <c r="G46" i="11"/>
  <c r="G46" i="10"/>
  <c r="G46" i="9"/>
  <c r="H64" i="5"/>
  <c r="H48" i="11"/>
  <c r="H48" i="10"/>
  <c r="H48" i="9"/>
  <c r="I145" i="5"/>
  <c r="G51" i="11"/>
  <c r="G51" i="10"/>
  <c r="G51" i="9"/>
  <c r="H40" i="5"/>
  <c r="N56" i="11"/>
  <c r="N56" i="10"/>
  <c r="N56" i="9"/>
  <c r="O148" i="5"/>
  <c r="E37" i="11"/>
  <c r="F37" i="11" s="1"/>
  <c r="E37" i="10"/>
  <c r="F37" i="10" s="1"/>
  <c r="E37" i="9"/>
  <c r="F37" i="9" s="1"/>
  <c r="F83" i="5"/>
  <c r="G83" i="5" s="1"/>
  <c r="G54" i="11"/>
  <c r="G54" i="10"/>
  <c r="G54" i="9"/>
  <c r="H147" i="5"/>
  <c r="P152" i="5"/>
  <c r="N63" i="11"/>
  <c r="N63" i="10"/>
  <c r="N63" i="9"/>
  <c r="O87" i="5"/>
  <c r="G60" i="11"/>
  <c r="G60" i="10"/>
  <c r="G60" i="9"/>
  <c r="H79" i="5"/>
  <c r="P153" i="5"/>
  <c r="N68" i="11"/>
  <c r="N68" i="10"/>
  <c r="N68" i="9"/>
  <c r="O69" i="5"/>
  <c r="E41" i="11"/>
  <c r="F41" i="11" s="1"/>
  <c r="E41" i="10"/>
  <c r="F41" i="10" s="1"/>
  <c r="E41" i="9"/>
  <c r="F41" i="9" s="1"/>
  <c r="F121" i="5"/>
  <c r="G121" i="5" s="1"/>
  <c r="P70" i="5"/>
  <c r="G70" i="11"/>
  <c r="G70" i="10"/>
  <c r="G70" i="9"/>
  <c r="H88" i="5"/>
  <c r="P154" i="5"/>
  <c r="G72" i="11"/>
  <c r="G72" i="10"/>
  <c r="G72" i="9"/>
  <c r="H153" i="5"/>
  <c r="P91" i="5"/>
  <c r="N79" i="11"/>
  <c r="N79" i="10"/>
  <c r="N79" i="9"/>
  <c r="O154" i="5"/>
  <c r="H75" i="11"/>
  <c r="H75" i="10"/>
  <c r="H75" i="9"/>
  <c r="I111" i="5"/>
  <c r="H77" i="11"/>
  <c r="H77" i="10"/>
  <c r="H77" i="9"/>
  <c r="I112" i="5"/>
  <c r="H81" i="11"/>
  <c r="H81" i="10"/>
  <c r="H81" i="9"/>
  <c r="I113" i="5"/>
  <c r="H83" i="11"/>
  <c r="H83" i="10"/>
  <c r="H83" i="9"/>
  <c r="I155" i="5"/>
  <c r="H84" i="11"/>
  <c r="H84" i="10"/>
  <c r="H84" i="9"/>
  <c r="I124" i="5"/>
  <c r="E58" i="11"/>
  <c r="F58" i="11" s="1"/>
  <c r="E58" i="10"/>
  <c r="F58" i="10" s="1"/>
  <c r="E58" i="9"/>
  <c r="F58" i="9" s="1"/>
  <c r="F149" i="5"/>
  <c r="G149" i="5" s="1"/>
  <c r="H87" i="11"/>
  <c r="H87" i="10"/>
  <c r="H87" i="9"/>
  <c r="I73" i="5"/>
  <c r="E71" i="11"/>
  <c r="F71" i="11" s="1"/>
  <c r="E71" i="10"/>
  <c r="F71" i="10" s="1"/>
  <c r="E71" i="9"/>
  <c r="F71" i="9" s="1"/>
  <c r="F24" i="5"/>
  <c r="G24" i="5" s="1"/>
  <c r="E79" i="11"/>
  <c r="F79" i="11" s="1"/>
  <c r="E79" i="10"/>
  <c r="F79" i="10" s="1"/>
  <c r="E79" i="9"/>
  <c r="F79" i="9" s="1"/>
  <c r="F154" i="5"/>
  <c r="G154" i="5" s="1"/>
  <c r="AV3" i="15" l="1"/>
  <c r="AV7" i="15"/>
  <c r="AV6" i="15"/>
  <c r="AV5" i="15"/>
  <c r="AV4" i="15"/>
  <c r="AV2" i="15"/>
  <c r="AV8" i="15"/>
  <c r="AU3" i="15"/>
  <c r="AU4" i="15"/>
  <c r="AU5" i="15"/>
  <c r="AU6" i="15"/>
  <c r="AU7" i="15"/>
  <c r="AT3" i="15"/>
  <c r="AT4" i="15"/>
  <c r="AT5" i="15"/>
  <c r="AT6" i="15"/>
  <c r="AT7" i="15"/>
  <c r="AS3" i="15"/>
  <c r="AS4" i="15"/>
  <c r="AS5" i="15"/>
  <c r="AS6" i="15"/>
  <c r="AS7" i="15"/>
  <c r="AR3" i="15"/>
  <c r="AR4" i="15"/>
  <c r="AR5" i="15"/>
  <c r="AR6" i="15"/>
  <c r="AR7" i="15"/>
  <c r="AQ3" i="15"/>
  <c r="AQ4" i="15"/>
  <c r="AQ5" i="15"/>
  <c r="AQ6" i="15"/>
  <c r="AQ7" i="15"/>
  <c r="AP7" i="15"/>
  <c r="AP3" i="15"/>
  <c r="AP4" i="15"/>
  <c r="AP5" i="15"/>
  <c r="AP6" i="15"/>
  <c r="AO3" i="15"/>
  <c r="AO4" i="15"/>
  <c r="AO5" i="15"/>
  <c r="AO6" i="15"/>
  <c r="AO7" i="15"/>
  <c r="AN3" i="15"/>
  <c r="AN4" i="15"/>
  <c r="AN5" i="15"/>
  <c r="AN6" i="15"/>
  <c r="AN7" i="15"/>
  <c r="AM3" i="15"/>
  <c r="AM4" i="15"/>
  <c r="AM5" i="15"/>
  <c r="AM6" i="15"/>
  <c r="AM7" i="15"/>
  <c r="AL3" i="15"/>
  <c r="AL4" i="15"/>
  <c r="AL5" i="15"/>
  <c r="AL6" i="15"/>
  <c r="AL7" i="15"/>
  <c r="AK3" i="15"/>
  <c r="AK4" i="15"/>
  <c r="AK5" i="15"/>
  <c r="AK6" i="15"/>
  <c r="AK7" i="15"/>
  <c r="AJ3" i="15"/>
  <c r="AJ4" i="15"/>
  <c r="AJ5" i="15"/>
  <c r="AJ6" i="15"/>
  <c r="AJ7" i="15"/>
  <c r="AI3" i="15"/>
  <c r="AI4" i="15"/>
  <c r="AI5" i="15"/>
  <c r="AI6" i="15"/>
  <c r="AI7" i="15"/>
  <c r="AH3" i="15"/>
  <c r="AH4" i="15"/>
  <c r="AH5" i="15"/>
  <c r="AH6" i="15"/>
  <c r="AH7" i="15"/>
  <c r="AG3" i="15"/>
  <c r="AG4" i="15"/>
  <c r="AG5" i="15"/>
  <c r="AG6" i="15"/>
  <c r="AG7" i="15"/>
  <c r="AF3" i="15"/>
  <c r="AF4" i="15"/>
  <c r="AF5" i="15"/>
  <c r="AF6" i="15"/>
  <c r="AF7" i="15"/>
  <c r="AE3" i="15"/>
  <c r="AE4" i="15"/>
  <c r="AE5" i="15"/>
  <c r="AE6" i="15"/>
  <c r="AE7" i="15"/>
  <c r="AD3" i="15"/>
  <c r="AD4" i="15"/>
  <c r="AD5" i="15"/>
  <c r="AD6" i="15"/>
  <c r="AD7" i="15"/>
  <c r="AC3" i="15"/>
  <c r="AC4" i="15"/>
  <c r="AC5" i="15"/>
  <c r="AC6" i="15"/>
  <c r="AC7" i="15"/>
  <c r="AB3" i="15"/>
  <c r="AB4" i="15"/>
  <c r="AB5" i="15"/>
  <c r="AB6" i="15"/>
  <c r="AB7" i="15"/>
  <c r="AA3" i="15"/>
  <c r="AA4" i="15"/>
  <c r="AA5" i="15"/>
  <c r="AA6" i="15"/>
  <c r="AA7" i="15"/>
  <c r="Z3" i="15"/>
  <c r="Z4" i="15"/>
  <c r="Z5" i="15"/>
  <c r="Z6" i="15"/>
  <c r="Z7" i="15"/>
  <c r="Y3" i="15"/>
  <c r="Y4" i="15"/>
  <c r="Y5" i="15"/>
  <c r="Y6" i="15"/>
  <c r="Y7" i="15"/>
  <c r="X3" i="15"/>
  <c r="X4" i="15"/>
  <c r="X5" i="15"/>
  <c r="X6" i="15"/>
  <c r="X7" i="15"/>
  <c r="W3" i="15"/>
  <c r="W4" i="15"/>
  <c r="W5" i="15"/>
  <c r="W6" i="15"/>
  <c r="W7" i="15"/>
  <c r="V3" i="15"/>
  <c r="V4" i="15"/>
  <c r="V5" i="15"/>
  <c r="V6" i="15"/>
  <c r="V7" i="15"/>
  <c r="U3" i="15"/>
  <c r="U4" i="15"/>
  <c r="U5" i="15"/>
  <c r="U6" i="15"/>
  <c r="U7" i="15"/>
  <c r="T3" i="15"/>
  <c r="T4" i="15"/>
  <c r="T5" i="15"/>
  <c r="T6" i="15"/>
  <c r="T7" i="15"/>
  <c r="S3" i="15"/>
  <c r="S4" i="15"/>
  <c r="S5" i="15"/>
  <c r="S6" i="15"/>
  <c r="S7" i="15"/>
  <c r="R3" i="15"/>
  <c r="R4" i="15"/>
  <c r="R5" i="15"/>
  <c r="R6" i="15"/>
  <c r="R7" i="15"/>
  <c r="Q3" i="15"/>
  <c r="Q4" i="15"/>
  <c r="Q5" i="15"/>
  <c r="Q6" i="15"/>
  <c r="Q7" i="15"/>
  <c r="AF2" i="15"/>
  <c r="X2" i="15"/>
  <c r="Z2" i="15"/>
  <c r="AN2" i="15"/>
  <c r="AG2" i="15"/>
  <c r="AJ2" i="15"/>
  <c r="AA2" i="15"/>
  <c r="Q2" i="15"/>
  <c r="Y2" i="15"/>
  <c r="AE2" i="15"/>
  <c r="T2" i="15"/>
  <c r="AO2" i="15"/>
  <c r="V2" i="15"/>
  <c r="AK2" i="15"/>
  <c r="AB2" i="15"/>
  <c r="AP2" i="15"/>
  <c r="U2" i="15"/>
  <c r="AD2" i="15"/>
  <c r="AM2" i="15"/>
  <c r="AI2" i="15"/>
  <c r="AH2" i="15"/>
  <c r="AL2" i="15"/>
  <c r="S2" i="15"/>
  <c r="AC2" i="15"/>
  <c r="R2" i="15"/>
  <c r="W2" i="15"/>
  <c r="AS2" i="15"/>
  <c r="AU2" i="15"/>
  <c r="AR2" i="15"/>
  <c r="AT2" i="15"/>
  <c r="AQ2" i="15"/>
  <c r="P3" i="15"/>
  <c r="P4" i="15"/>
  <c r="P5" i="15"/>
  <c r="P6" i="15"/>
  <c r="P7" i="15"/>
  <c r="P2" i="15"/>
  <c r="W8" i="15"/>
  <c r="AE8" i="15"/>
  <c r="AM8" i="15"/>
  <c r="Z8" i="15"/>
  <c r="AN8" i="15"/>
  <c r="Q8" i="15"/>
  <c r="AJ8" i="15"/>
  <c r="AA8" i="15"/>
  <c r="AF8" i="15"/>
  <c r="Y8" i="15"/>
  <c r="V8" i="15"/>
  <c r="T8" i="15"/>
  <c r="AO8" i="15"/>
  <c r="AP8" i="15"/>
  <c r="AK8" i="15"/>
  <c r="AB8" i="15"/>
  <c r="AL8" i="15"/>
  <c r="U8" i="15"/>
  <c r="AD8" i="15"/>
  <c r="R8" i="15"/>
  <c r="AI8" i="15"/>
  <c r="AH8" i="15"/>
  <c r="X8" i="15"/>
  <c r="S8" i="15"/>
  <c r="AC8" i="15"/>
  <c r="AG8" i="15"/>
  <c r="AQ8" i="15"/>
  <c r="AS8" i="15"/>
  <c r="AU8" i="15"/>
  <c r="AR8" i="15"/>
  <c r="AT8" i="15"/>
  <c r="P8" i="15"/>
  <c r="O8" i="15"/>
  <c r="O3" i="15"/>
  <c r="O4" i="15"/>
  <c r="O5" i="15"/>
  <c r="O6" i="15"/>
  <c r="O7" i="15"/>
  <c r="O2" i="15"/>
  <c r="N8" i="15"/>
  <c r="N3" i="15"/>
  <c r="N4" i="15"/>
  <c r="N5" i="15"/>
  <c r="N6" i="15"/>
  <c r="N7" i="15"/>
  <c r="N2" i="15"/>
  <c r="H8" i="15"/>
  <c r="H3" i="15"/>
  <c r="H4" i="15"/>
  <c r="H5" i="15"/>
  <c r="H6" i="15"/>
  <c r="H7" i="15"/>
  <c r="H2" i="15"/>
  <c r="G8" i="15"/>
  <c r="G3" i="15"/>
  <c r="G4" i="15"/>
  <c r="G5" i="15"/>
  <c r="G6" i="15"/>
  <c r="G7" i="15"/>
  <c r="G2" i="15"/>
  <c r="F6" i="15"/>
  <c r="F2" i="15"/>
  <c r="F7" i="15"/>
  <c r="F3" i="15"/>
  <c r="F4" i="15"/>
  <c r="F5" i="15"/>
  <c r="AV3" i="14"/>
  <c r="AV7" i="14"/>
  <c r="AV6" i="14"/>
  <c r="AV5" i="14"/>
  <c r="AV4" i="14"/>
  <c r="AV2" i="14"/>
  <c r="AV8" i="14"/>
  <c r="AK8" i="14"/>
  <c r="AM8" i="14"/>
  <c r="AO8" i="14"/>
  <c r="AN8" i="14"/>
  <c r="AP8" i="14"/>
  <c r="AL8" i="14"/>
  <c r="AT8" i="14"/>
  <c r="AQ8" i="14"/>
  <c r="AS8" i="14"/>
  <c r="AU8" i="14"/>
  <c r="AR8" i="14"/>
  <c r="AU3" i="14"/>
  <c r="AU4" i="14"/>
  <c r="AU5" i="14"/>
  <c r="AU6" i="14"/>
  <c r="AU7" i="14"/>
  <c r="AT3" i="14"/>
  <c r="AT4" i="14"/>
  <c r="AT5" i="14"/>
  <c r="AT6" i="14"/>
  <c r="AT7" i="14"/>
  <c r="AS3" i="14"/>
  <c r="AS4" i="14"/>
  <c r="AS5" i="14"/>
  <c r="AS6" i="14"/>
  <c r="AS7" i="14"/>
  <c r="AR3" i="14"/>
  <c r="AR4" i="14"/>
  <c r="AR5" i="14"/>
  <c r="AR6" i="14"/>
  <c r="AR7" i="14"/>
  <c r="AQ3" i="14"/>
  <c r="AQ4" i="14"/>
  <c r="AQ5" i="14"/>
  <c r="AQ6" i="14"/>
  <c r="AQ7" i="14"/>
  <c r="AP3" i="14"/>
  <c r="AP4" i="14"/>
  <c r="AP5" i="14"/>
  <c r="AP6" i="14"/>
  <c r="AP7" i="14"/>
  <c r="AO3" i="14"/>
  <c r="AO4" i="14"/>
  <c r="AO5" i="14"/>
  <c r="AO6" i="14"/>
  <c r="AO7" i="14"/>
  <c r="AN7" i="14"/>
  <c r="AN3" i="14"/>
  <c r="AN4" i="14"/>
  <c r="AN5" i="14"/>
  <c r="AN6" i="14"/>
  <c r="AM3" i="14"/>
  <c r="AM4" i="14"/>
  <c r="AM5" i="14"/>
  <c r="AM6" i="14"/>
  <c r="AM7" i="14"/>
  <c r="AL3" i="14"/>
  <c r="AL4" i="14"/>
  <c r="AL5" i="14"/>
  <c r="AL6" i="14"/>
  <c r="AL7" i="14"/>
  <c r="AM2" i="14"/>
  <c r="AO2" i="14"/>
  <c r="AN2" i="14"/>
  <c r="AP2" i="14"/>
  <c r="AL2" i="14"/>
  <c r="AU2" i="14"/>
  <c r="AR2" i="14"/>
  <c r="AT2" i="14"/>
  <c r="AQ2" i="14"/>
  <c r="AS2" i="14"/>
  <c r="AK3" i="14"/>
  <c r="AK4" i="14"/>
  <c r="AK5" i="14"/>
  <c r="AK6" i="14"/>
  <c r="AK7" i="14"/>
  <c r="AJ3" i="14"/>
  <c r="AJ4" i="14"/>
  <c r="AJ5" i="14"/>
  <c r="AJ6" i="14"/>
  <c r="AJ7" i="14"/>
  <c r="AI3" i="14"/>
  <c r="AI4" i="14"/>
  <c r="AI5" i="14"/>
  <c r="AI6" i="14"/>
  <c r="AI7" i="14"/>
  <c r="AH3" i="14"/>
  <c r="AH4" i="14"/>
  <c r="AH5" i="14"/>
  <c r="AH6" i="14"/>
  <c r="AH7" i="14"/>
  <c r="AG3" i="14"/>
  <c r="AG4" i="14"/>
  <c r="AG5" i="14"/>
  <c r="AG6" i="14"/>
  <c r="AG7" i="14"/>
  <c r="AF3" i="14"/>
  <c r="AF4" i="14"/>
  <c r="AF5" i="14"/>
  <c r="AF6" i="14"/>
  <c r="AF7" i="14"/>
  <c r="AE3" i="14"/>
  <c r="AE4" i="14"/>
  <c r="AE5" i="14"/>
  <c r="AE6" i="14"/>
  <c r="AE7" i="14"/>
  <c r="AD3" i="14"/>
  <c r="AD4" i="14"/>
  <c r="AD5" i="14"/>
  <c r="AD6" i="14"/>
  <c r="AD7" i="14"/>
  <c r="AC3" i="14"/>
  <c r="AC4" i="14"/>
  <c r="AC5" i="14"/>
  <c r="AC6" i="14"/>
  <c r="AC7" i="14"/>
  <c r="AB3" i="14"/>
  <c r="AB4" i="14"/>
  <c r="AB5" i="14"/>
  <c r="AB6" i="14"/>
  <c r="AB7" i="14"/>
  <c r="AA3" i="14"/>
  <c r="AA4" i="14"/>
  <c r="AA5" i="14"/>
  <c r="AA6" i="14"/>
  <c r="AA7" i="14"/>
  <c r="Z3" i="14"/>
  <c r="Z4" i="14"/>
  <c r="Z5" i="14"/>
  <c r="Z6" i="14"/>
  <c r="Z7" i="14"/>
  <c r="Y3" i="14"/>
  <c r="Y4" i="14"/>
  <c r="Y5" i="14"/>
  <c r="Y6" i="14"/>
  <c r="Y7" i="14"/>
  <c r="X3" i="14"/>
  <c r="X4" i="14"/>
  <c r="X5" i="14"/>
  <c r="X6" i="14"/>
  <c r="X7" i="14"/>
  <c r="W3" i="14"/>
  <c r="W4" i="14"/>
  <c r="W5" i="14"/>
  <c r="W6" i="14"/>
  <c r="W7" i="14"/>
  <c r="V3" i="14"/>
  <c r="V4" i="14"/>
  <c r="V5" i="14"/>
  <c r="V6" i="14"/>
  <c r="V7" i="14"/>
  <c r="U3" i="14"/>
  <c r="U4" i="14"/>
  <c r="U5" i="14"/>
  <c r="U6" i="14"/>
  <c r="U7" i="14"/>
  <c r="T3" i="14"/>
  <c r="T4" i="14"/>
  <c r="T5" i="14"/>
  <c r="T6" i="14"/>
  <c r="T7" i="14"/>
  <c r="S3" i="14"/>
  <c r="S4" i="14"/>
  <c r="S5" i="14"/>
  <c r="S6" i="14"/>
  <c r="S7" i="14"/>
  <c r="R3" i="14"/>
  <c r="R4" i="14"/>
  <c r="R5" i="14"/>
  <c r="R6" i="14"/>
  <c r="R7" i="14"/>
  <c r="AF2" i="14"/>
  <c r="X2" i="14"/>
  <c r="T2" i="14"/>
  <c r="Y2" i="14"/>
  <c r="R2" i="14"/>
  <c r="AK2" i="14"/>
  <c r="AB2" i="14"/>
  <c r="AG2" i="14"/>
  <c r="U2" i="14"/>
  <c r="AD2" i="14"/>
  <c r="AI2" i="14"/>
  <c r="AH2" i="14"/>
  <c r="S2" i="14"/>
  <c r="AC2" i="14"/>
  <c r="W2" i="14"/>
  <c r="AA2" i="14"/>
  <c r="Z2" i="14"/>
  <c r="AE2" i="14"/>
  <c r="AJ2" i="14"/>
  <c r="V2" i="14"/>
  <c r="AG8" i="14"/>
  <c r="Y8" i="14"/>
  <c r="T8" i="14"/>
  <c r="AB8" i="14"/>
  <c r="X8" i="14"/>
  <c r="AD8" i="14"/>
  <c r="AF8" i="14"/>
  <c r="U8" i="14"/>
  <c r="AH8" i="14"/>
  <c r="AI8" i="14"/>
  <c r="AC8" i="14"/>
  <c r="S8" i="14"/>
  <c r="AA8" i="14"/>
  <c r="W8" i="14"/>
  <c r="AE8" i="14"/>
  <c r="Z8" i="14"/>
  <c r="V8" i="14"/>
  <c r="AJ8" i="14"/>
  <c r="R8" i="14"/>
  <c r="Q8" i="14"/>
  <c r="Q3" i="14"/>
  <c r="Q4" i="14"/>
  <c r="Q5" i="14"/>
  <c r="Q6" i="14"/>
  <c r="Q7" i="14"/>
  <c r="Q2" i="14"/>
  <c r="P8" i="14"/>
  <c r="P3" i="14"/>
  <c r="P4" i="14"/>
  <c r="P5" i="14"/>
  <c r="P6" i="14"/>
  <c r="P7" i="14"/>
  <c r="P2" i="14"/>
  <c r="O8" i="14"/>
  <c r="O3" i="14"/>
  <c r="O4" i="14"/>
  <c r="O5" i="14"/>
  <c r="O6" i="14"/>
  <c r="O7" i="14"/>
  <c r="O2" i="14"/>
  <c r="N8" i="14"/>
  <c r="N3" i="14"/>
  <c r="N4" i="14"/>
  <c r="N5" i="14"/>
  <c r="N6" i="14"/>
  <c r="N7" i="14"/>
  <c r="N2" i="14"/>
  <c r="H8" i="14"/>
  <c r="H3" i="14"/>
  <c r="H4" i="14"/>
  <c r="H5" i="14"/>
  <c r="H6" i="14"/>
  <c r="H7" i="14"/>
  <c r="H2" i="14"/>
  <c r="G8" i="14"/>
  <c r="G3" i="14"/>
  <c r="G4" i="14"/>
  <c r="G5" i="14"/>
  <c r="G6" i="14"/>
  <c r="G7" i="14"/>
  <c r="G2" i="14"/>
  <c r="F6" i="14"/>
  <c r="F2" i="14"/>
  <c r="F7" i="14"/>
  <c r="F3" i="14"/>
  <c r="F5" i="14"/>
  <c r="F4" i="14"/>
  <c r="AL8" i="13"/>
  <c r="U8" i="13"/>
  <c r="Y8" i="13"/>
  <c r="AE8" i="13"/>
  <c r="R8" i="13"/>
  <c r="AI8" i="13"/>
  <c r="AO8" i="13"/>
  <c r="V8" i="13"/>
  <c r="X8" i="13"/>
  <c r="S8" i="13"/>
  <c r="AB8" i="13"/>
  <c r="AP8" i="13"/>
  <c r="AG8" i="13"/>
  <c r="W8" i="13"/>
  <c r="AD8" i="13"/>
  <c r="Q8" i="13"/>
  <c r="Z8" i="13"/>
  <c r="AH8" i="13"/>
  <c r="AF8" i="13"/>
  <c r="AJ8" i="13"/>
  <c r="AC8" i="13"/>
  <c r="T8" i="13"/>
  <c r="AM8" i="13"/>
  <c r="AN8" i="13"/>
  <c r="AK8" i="13"/>
  <c r="P8" i="13"/>
  <c r="AA8" i="13"/>
  <c r="AS8" i="13"/>
  <c r="AU8" i="13"/>
  <c r="AR8" i="13"/>
  <c r="AT8" i="13"/>
  <c r="AQ8" i="13"/>
  <c r="O8" i="13"/>
  <c r="N8" i="13"/>
  <c r="AV8" i="13"/>
  <c r="AV7" i="13"/>
  <c r="AU3" i="13"/>
  <c r="AU4" i="13"/>
  <c r="AU5" i="13"/>
  <c r="AU6" i="13"/>
  <c r="AU7" i="13"/>
  <c r="AT3" i="13"/>
  <c r="AT4" i="13"/>
  <c r="AT5" i="13"/>
  <c r="AT6" i="13"/>
  <c r="AT7" i="13"/>
  <c r="AS3" i="13"/>
  <c r="AS4" i="13"/>
  <c r="AS5" i="13"/>
  <c r="AS6" i="13"/>
  <c r="AS7" i="13"/>
  <c r="AR3" i="13"/>
  <c r="AR4" i="13"/>
  <c r="AR5" i="13"/>
  <c r="AR6" i="13"/>
  <c r="AR7" i="13"/>
  <c r="AQ3" i="13"/>
  <c r="AQ4" i="13"/>
  <c r="AQ5" i="13"/>
  <c r="AQ6" i="13"/>
  <c r="AQ7" i="13"/>
  <c r="AP3" i="13"/>
  <c r="AP4" i="13"/>
  <c r="AP5" i="13"/>
  <c r="AP6" i="13"/>
  <c r="AP7" i="13"/>
  <c r="AO3" i="13"/>
  <c r="AO4" i="13"/>
  <c r="AO5" i="13"/>
  <c r="AO6" i="13"/>
  <c r="AO7" i="13"/>
  <c r="AN3" i="13"/>
  <c r="AN4" i="13"/>
  <c r="AN5" i="13"/>
  <c r="AN6" i="13"/>
  <c r="AN7" i="13"/>
  <c r="AM3" i="13"/>
  <c r="AM4" i="13"/>
  <c r="AM5" i="13"/>
  <c r="AM6" i="13"/>
  <c r="AM7" i="13"/>
  <c r="AL3" i="13"/>
  <c r="AL4" i="13"/>
  <c r="AL5" i="13"/>
  <c r="AL6" i="13"/>
  <c r="AL7" i="13"/>
  <c r="AK3" i="13"/>
  <c r="AK4" i="13"/>
  <c r="AK5" i="13"/>
  <c r="AK6" i="13"/>
  <c r="AK7" i="13"/>
  <c r="AJ3" i="13"/>
  <c r="AJ4" i="13"/>
  <c r="AJ5" i="13"/>
  <c r="AJ6" i="13"/>
  <c r="AJ7" i="13"/>
  <c r="AI3" i="13"/>
  <c r="AI4" i="13"/>
  <c r="AI5" i="13"/>
  <c r="AI6" i="13"/>
  <c r="AI7" i="13"/>
  <c r="AH3" i="13"/>
  <c r="AH4" i="13"/>
  <c r="AH5" i="13"/>
  <c r="AH6" i="13"/>
  <c r="AH7" i="13"/>
  <c r="AG3" i="13"/>
  <c r="AG4" i="13"/>
  <c r="AG5" i="13"/>
  <c r="AG6" i="13"/>
  <c r="AG7" i="13"/>
  <c r="AV3" i="13"/>
  <c r="AV6" i="13"/>
  <c r="AV5" i="13"/>
  <c r="AV4" i="13"/>
  <c r="AV2" i="13"/>
  <c r="AF3" i="13"/>
  <c r="AF4" i="13"/>
  <c r="AF5" i="13"/>
  <c r="AF6" i="13"/>
  <c r="AF7" i="13"/>
  <c r="AE3" i="13"/>
  <c r="AE4" i="13"/>
  <c r="AE5" i="13"/>
  <c r="AE6" i="13"/>
  <c r="AE7" i="13"/>
  <c r="AD3" i="13"/>
  <c r="AD4" i="13"/>
  <c r="AD5" i="13"/>
  <c r="AD6" i="13"/>
  <c r="AD7" i="13"/>
  <c r="AC3" i="13"/>
  <c r="AC4" i="13"/>
  <c r="AC5" i="13"/>
  <c r="AC6" i="13"/>
  <c r="AC7" i="13"/>
  <c r="AB3" i="13"/>
  <c r="AB4" i="13"/>
  <c r="AB5" i="13"/>
  <c r="AB6" i="13"/>
  <c r="AB7" i="13"/>
  <c r="AA3" i="13"/>
  <c r="AA4" i="13"/>
  <c r="AA5" i="13"/>
  <c r="AA6" i="13"/>
  <c r="AA7" i="13"/>
  <c r="Z3" i="13"/>
  <c r="Z4" i="13"/>
  <c r="Z5" i="13"/>
  <c r="Z6" i="13"/>
  <c r="Z7" i="13"/>
  <c r="Y3" i="13"/>
  <c r="Y4" i="13"/>
  <c r="Y5" i="13"/>
  <c r="Y6" i="13"/>
  <c r="Y7" i="13"/>
  <c r="X7" i="13"/>
  <c r="X3" i="13"/>
  <c r="X4" i="13"/>
  <c r="X5" i="13"/>
  <c r="X6" i="13"/>
  <c r="W3" i="13"/>
  <c r="W4" i="13"/>
  <c r="W5" i="13"/>
  <c r="W6" i="13"/>
  <c r="W7" i="13"/>
  <c r="V3" i="13"/>
  <c r="V4" i="13"/>
  <c r="V5" i="13"/>
  <c r="V6" i="13"/>
  <c r="V7" i="13"/>
  <c r="U3" i="13"/>
  <c r="U4" i="13"/>
  <c r="U5" i="13"/>
  <c r="U6" i="13"/>
  <c r="U7" i="13"/>
  <c r="T3" i="13"/>
  <c r="T4" i="13"/>
  <c r="T5" i="13"/>
  <c r="T6" i="13"/>
  <c r="T7" i="13"/>
  <c r="S3" i="13"/>
  <c r="S4" i="13"/>
  <c r="S5" i="13"/>
  <c r="S6" i="13"/>
  <c r="S7" i="13"/>
  <c r="R3" i="13"/>
  <c r="R4" i="13"/>
  <c r="R5" i="13"/>
  <c r="R6" i="13"/>
  <c r="R7" i="13"/>
  <c r="X2" i="13"/>
  <c r="AF2" i="13"/>
  <c r="AN2" i="13"/>
  <c r="Y2" i="13"/>
  <c r="AG2" i="13"/>
  <c r="AO2" i="13"/>
  <c r="AL2" i="13"/>
  <c r="Z2" i="13"/>
  <c r="AE2" i="13"/>
  <c r="R2" i="13"/>
  <c r="AJ2" i="13"/>
  <c r="V2" i="13"/>
  <c r="T2" i="13"/>
  <c r="AM2" i="13"/>
  <c r="AP2" i="13"/>
  <c r="AK2" i="13"/>
  <c r="AB2" i="13"/>
  <c r="U2" i="13"/>
  <c r="AD2" i="13"/>
  <c r="AI2" i="13"/>
  <c r="AH2" i="13"/>
  <c r="S2" i="13"/>
  <c r="AC2" i="13"/>
  <c r="W2" i="13"/>
  <c r="AA2" i="13"/>
  <c r="AS2" i="13"/>
  <c r="AU2" i="13"/>
  <c r="AR2" i="13"/>
  <c r="AT2" i="13"/>
  <c r="AQ2" i="13"/>
  <c r="Q3" i="13"/>
  <c r="Q4" i="13"/>
  <c r="Q5" i="13"/>
  <c r="Q6" i="13"/>
  <c r="Q7" i="13"/>
  <c r="Q2" i="13"/>
  <c r="P3" i="13"/>
  <c r="P4" i="13"/>
  <c r="P5" i="13"/>
  <c r="P6" i="13"/>
  <c r="P7" i="13"/>
  <c r="P2" i="13"/>
  <c r="O3" i="13"/>
  <c r="O4" i="13"/>
  <c r="O5" i="13"/>
  <c r="O6" i="13"/>
  <c r="O7" i="13"/>
  <c r="O2" i="13"/>
  <c r="N3" i="13"/>
  <c r="N4" i="13"/>
  <c r="N5" i="13"/>
  <c r="N6" i="13"/>
  <c r="N7" i="13"/>
  <c r="N2" i="13"/>
  <c r="H8" i="13"/>
  <c r="G8" i="13"/>
  <c r="H3" i="13"/>
  <c r="H4" i="13"/>
  <c r="H5" i="13"/>
  <c r="H6" i="13"/>
  <c r="H7" i="13"/>
  <c r="G3" i="13"/>
  <c r="G4" i="13"/>
  <c r="G5" i="13"/>
  <c r="G6" i="13"/>
  <c r="G7" i="13"/>
  <c r="H2" i="13"/>
  <c r="G2" i="13"/>
  <c r="F3" i="13"/>
  <c r="F4" i="13"/>
  <c r="F5" i="13"/>
  <c r="F6" i="13"/>
  <c r="F7" i="13"/>
  <c r="F2" i="13"/>
  <c r="M5" i="8"/>
  <c r="Z6" i="8"/>
  <c r="K9" i="8"/>
  <c r="AC6" i="8"/>
  <c r="J9" i="8"/>
  <c r="V3" i="8"/>
  <c r="F12" i="8"/>
  <c r="I12" i="8"/>
  <c r="V9" i="8"/>
  <c r="V11" i="8"/>
  <c r="S8" i="8"/>
  <c r="U7" i="8"/>
  <c r="N2" i="8"/>
  <c r="Z7" i="8"/>
  <c r="N8" i="8"/>
  <c r="Z3" i="8"/>
  <c r="M4" i="8"/>
  <c r="AA2" i="8"/>
  <c r="AC2" i="8"/>
  <c r="H2" i="8"/>
  <c r="L5" i="8"/>
  <c r="L7" i="8"/>
  <c r="Q4" i="8"/>
  <c r="Y11" i="8"/>
  <c r="R5" i="8"/>
  <c r="L9" i="8"/>
  <c r="H11" i="8"/>
  <c r="X4" i="8"/>
  <c r="R9" i="8"/>
  <c r="AD5" i="8"/>
  <c r="K6" i="8"/>
  <c r="Q5" i="8"/>
  <c r="Q7" i="8"/>
  <c r="AD3" i="8"/>
  <c r="J4" i="8"/>
  <c r="AD10" i="8"/>
  <c r="W10" i="8"/>
  <c r="F9" i="8"/>
  <c r="P7" i="8"/>
  <c r="AB3" i="8"/>
  <c r="O3" i="8"/>
  <c r="O5" i="8"/>
  <c r="L10" i="8"/>
  <c r="O11" i="8"/>
  <c r="AA6" i="8"/>
  <c r="Y2" i="8"/>
  <c r="S2" i="8"/>
  <c r="AA12" i="8"/>
  <c r="T7" i="8"/>
  <c r="V6" i="8"/>
  <c r="Z9" i="8"/>
  <c r="Z11" i="8"/>
  <c r="H7" i="8"/>
  <c r="H9" i="8"/>
  <c r="AD7" i="8"/>
  <c r="X9" i="8"/>
  <c r="Q3" i="8"/>
  <c r="K7" i="8"/>
  <c r="G8" i="8"/>
  <c r="R8" i="8"/>
  <c r="K3" i="8"/>
  <c r="X7" i="8"/>
  <c r="G7" i="8"/>
  <c r="G10" i="8"/>
  <c r="K11" i="8"/>
  <c r="W5" i="8"/>
  <c r="F4" i="8"/>
  <c r="H12" i="8"/>
  <c r="M12" i="8"/>
  <c r="P4" i="8"/>
  <c r="AC8" i="8"/>
  <c r="J11" i="8"/>
  <c r="V7" i="8"/>
  <c r="I7" i="8"/>
  <c r="I9" i="8"/>
  <c r="T11" i="8"/>
  <c r="L2" i="8"/>
  <c r="U10" i="8"/>
  <c r="AA9" i="8"/>
  <c r="AA11" i="8"/>
  <c r="T6" i="8"/>
  <c r="N11" i="8"/>
  <c r="O8" i="8"/>
  <c r="S3" i="8"/>
  <c r="S5" i="8"/>
  <c r="Y8" i="8"/>
  <c r="Y10" i="8"/>
  <c r="AC3" i="8"/>
  <c r="W7" i="8"/>
  <c r="Q11" i="8"/>
  <c r="J5" i="8"/>
  <c r="F5" i="8"/>
  <c r="L12" i="8"/>
  <c r="G4" i="8"/>
  <c r="R11" i="8"/>
  <c r="P10" i="8"/>
  <c r="X12" i="8"/>
  <c r="G12" i="8"/>
  <c r="O54" i="11" s="1"/>
  <c r="Q9" i="8"/>
  <c r="H4" i="8"/>
  <c r="Y5" i="8"/>
  <c r="AC5" i="8"/>
  <c r="J8" i="8"/>
  <c r="W12" i="8"/>
  <c r="F11" i="8"/>
  <c r="P11" i="8"/>
  <c r="AB4" i="8"/>
  <c r="AB6" i="8"/>
  <c r="AB8" i="8"/>
  <c r="Q2" i="8"/>
  <c r="AB12" i="8"/>
  <c r="AA4" i="8"/>
  <c r="N4" i="8"/>
  <c r="T3" i="8"/>
  <c r="T5" i="8"/>
  <c r="N10" i="8"/>
  <c r="V2" i="8"/>
  <c r="AC12" i="8"/>
  <c r="M7" i="8"/>
  <c r="M9" i="8"/>
  <c r="H5" i="8"/>
  <c r="S12" i="8"/>
  <c r="R4" i="8"/>
  <c r="AC11" i="8"/>
  <c r="V5" i="8"/>
  <c r="P9" i="8"/>
  <c r="I3" i="8"/>
  <c r="S9" i="8"/>
  <c r="G3" i="8"/>
  <c r="AD4" i="8"/>
  <c r="K5" i="8"/>
  <c r="I4" i="8"/>
  <c r="Q6" i="8"/>
  <c r="AD12" i="8"/>
  <c r="J3" i="8"/>
  <c r="AB10" i="8"/>
  <c r="U12" i="8"/>
  <c r="W9" i="8"/>
  <c r="F8" i="8"/>
  <c r="P6" i="8"/>
  <c r="AC10" i="8"/>
  <c r="AA8" i="8"/>
  <c r="I5" i="8"/>
  <c r="V8" i="8"/>
  <c r="V10" i="8"/>
  <c r="V12" i="8"/>
  <c r="AB11" i="8"/>
  <c r="U6" i="8"/>
  <c r="U8" i="8"/>
  <c r="O2" i="8"/>
  <c r="N7" i="8"/>
  <c r="N9" i="8"/>
  <c r="U2" i="8"/>
  <c r="Z4" i="8"/>
  <c r="Z2" i="8"/>
  <c r="AB2" i="8"/>
  <c r="I2" i="8"/>
  <c r="AD8" i="8"/>
  <c r="Y6" i="8"/>
  <c r="L6" i="8"/>
  <c r="L8" i="8"/>
  <c r="AB9" i="8"/>
  <c r="U3" i="8"/>
  <c r="O7" i="8"/>
  <c r="I11" i="8"/>
  <c r="X3" i="8"/>
  <c r="X6" i="8"/>
  <c r="G6" i="8"/>
  <c r="R6" i="8"/>
  <c r="K10" i="8"/>
  <c r="W4" i="8"/>
  <c r="F3" i="8"/>
  <c r="J6" i="8"/>
  <c r="G2" i="8"/>
  <c r="O13" i="11" s="1"/>
  <c r="P3" i="8"/>
  <c r="AC7" i="8"/>
  <c r="J10" i="8"/>
  <c r="V4" i="8"/>
  <c r="T10" i="8"/>
  <c r="P12" i="8"/>
  <c r="O4" i="8"/>
  <c r="O6" i="8"/>
  <c r="U5" i="8"/>
  <c r="O10" i="8"/>
  <c r="O12" i="8"/>
  <c r="AA5" i="8"/>
  <c r="U4" i="8"/>
  <c r="R2" i="8"/>
  <c r="T2" i="8"/>
  <c r="T8" i="8"/>
  <c r="Z8" i="8"/>
  <c r="Z10" i="8"/>
  <c r="Z12" i="8"/>
  <c r="N6" i="8"/>
  <c r="S10" i="8"/>
  <c r="H8" i="8"/>
  <c r="H10" i="8"/>
  <c r="AA7" i="8"/>
  <c r="U11" i="8"/>
  <c r="N5" i="8"/>
  <c r="P2" i="8"/>
  <c r="R10" i="8"/>
  <c r="AD6" i="8"/>
  <c r="R7" i="8"/>
  <c r="G11" i="8"/>
  <c r="Q8" i="8"/>
  <c r="AD2" i="8"/>
  <c r="Q12" i="8"/>
  <c r="J7" i="8"/>
  <c r="W11" i="8"/>
  <c r="F10" i="8"/>
  <c r="P8" i="8"/>
  <c r="Y12" i="8"/>
  <c r="I6" i="8"/>
  <c r="I8" i="8"/>
  <c r="I10" i="8"/>
  <c r="O9" i="8"/>
  <c r="K2" i="8"/>
  <c r="M2" i="8"/>
  <c r="U9" i="8"/>
  <c r="K8" i="8"/>
  <c r="AA10" i="8"/>
  <c r="N12" i="8"/>
  <c r="T12" i="8"/>
  <c r="S4" i="8"/>
  <c r="S6" i="8"/>
  <c r="Y4" i="8"/>
  <c r="L4" i="8"/>
  <c r="Y7" i="8"/>
  <c r="Y9" i="8"/>
  <c r="X10" i="8"/>
  <c r="Z5" i="8"/>
  <c r="T9" i="8"/>
  <c r="M3" i="8"/>
  <c r="X2" i="8"/>
  <c r="K4" i="8"/>
  <c r="X8" i="8"/>
  <c r="L11" i="8"/>
  <c r="AD11" i="8"/>
  <c r="K12" i="8"/>
  <c r="W6" i="8"/>
  <c r="X11" i="8"/>
  <c r="F7" i="8"/>
  <c r="P5" i="8"/>
  <c r="AC9" i="8"/>
  <c r="J12" i="8"/>
  <c r="L3" i="8"/>
  <c r="AB5" i="8"/>
  <c r="AB7" i="8"/>
  <c r="AC4" i="8"/>
  <c r="J2" i="8"/>
  <c r="AA3" i="8"/>
  <c r="N3" i="8"/>
  <c r="W8" i="8"/>
  <c r="T4" i="8"/>
  <c r="W2" i="8"/>
  <c r="M6" i="8"/>
  <c r="M8" i="8"/>
  <c r="M10" i="8"/>
  <c r="G9" i="8"/>
  <c r="O41" i="11" s="1"/>
  <c r="H6" i="8"/>
  <c r="S11" i="8"/>
  <c r="R3" i="8"/>
  <c r="F6" i="8"/>
  <c r="Y3" i="8"/>
  <c r="S7" i="8"/>
  <c r="M11" i="8"/>
  <c r="H3" i="8"/>
  <c r="X5" i="8"/>
  <c r="G5" i="8"/>
  <c r="R12" i="8"/>
  <c r="AD9" i="8"/>
  <c r="W3" i="8"/>
  <c r="F2" i="8"/>
  <c r="Q10" i="8"/>
  <c r="O67" i="11" l="1"/>
  <c r="O68" i="11"/>
  <c r="O21" i="11"/>
  <c r="O28" i="11"/>
  <c r="O41" i="9"/>
  <c r="O41" i="10"/>
  <c r="O54" i="9"/>
  <c r="O54" i="10"/>
  <c r="O13" i="9"/>
  <c r="O13" i="10"/>
  <c r="O67" i="10"/>
  <c r="O68" i="10"/>
  <c r="O21" i="10"/>
  <c r="O28" i="10"/>
  <c r="O67" i="9"/>
  <c r="O28" i="9"/>
  <c r="O68" i="9"/>
  <c r="O21" i="9"/>
  <c r="F8" i="15"/>
  <c r="AY8" i="15"/>
  <c r="AW8" i="15"/>
  <c r="AX8" i="15"/>
  <c r="AY8" i="14"/>
  <c r="AW8" i="14"/>
  <c r="AX8" i="14"/>
  <c r="AY8" i="13"/>
  <c r="AX8" i="13"/>
  <c r="AW8" i="13"/>
  <c r="F8" i="14"/>
  <c r="F8" i="13"/>
  <c r="AA67" i="11"/>
  <c r="AA21" i="11"/>
  <c r="AA21" i="10"/>
  <c r="AA67" i="10"/>
  <c r="AA67" i="9"/>
  <c r="AA21" i="9"/>
  <c r="AH17" i="11"/>
  <c r="AH56" i="11"/>
  <c r="AH83" i="11"/>
  <c r="AH44" i="11"/>
  <c r="AH54" i="11"/>
  <c r="AH52" i="11"/>
  <c r="AH54" i="10"/>
  <c r="AH44" i="10"/>
  <c r="AH17" i="10"/>
  <c r="AH52" i="10"/>
  <c r="AH56" i="10"/>
  <c r="AH83" i="10"/>
  <c r="AH83" i="9"/>
  <c r="AH54" i="9"/>
  <c r="AH44" i="9"/>
  <c r="AH17" i="9"/>
  <c r="AH52" i="9"/>
  <c r="AH56" i="9"/>
  <c r="W83" i="11"/>
  <c r="W54" i="11"/>
  <c r="W44" i="11"/>
  <c r="W17" i="11"/>
  <c r="W52" i="11"/>
  <c r="W56" i="11"/>
  <c r="W44" i="10"/>
  <c r="W17" i="10"/>
  <c r="W52" i="10"/>
  <c r="W56" i="10"/>
  <c r="W83" i="10"/>
  <c r="W54" i="10"/>
  <c r="W44" i="9"/>
  <c r="W17" i="9"/>
  <c r="W52" i="9"/>
  <c r="W56" i="9"/>
  <c r="W54" i="9"/>
  <c r="W83" i="9"/>
  <c r="AC17" i="11"/>
  <c r="AC52" i="11"/>
  <c r="AC56" i="11"/>
  <c r="AC83" i="11"/>
  <c r="AC54" i="11"/>
  <c r="AC44" i="11"/>
  <c r="AC44" i="10"/>
  <c r="AC17" i="10"/>
  <c r="AC52" i="10"/>
  <c r="AC56" i="10"/>
  <c r="AC83" i="10"/>
  <c r="AC54" i="10"/>
  <c r="AC17" i="9"/>
  <c r="AC52" i="9"/>
  <c r="AC56" i="9"/>
  <c r="AC83" i="9"/>
  <c r="AC54" i="9"/>
  <c r="AC44" i="9"/>
  <c r="V67" i="11"/>
  <c r="V21" i="11"/>
  <c r="V21" i="10"/>
  <c r="V67" i="10"/>
  <c r="V67" i="9"/>
  <c r="V21" i="9"/>
  <c r="AF44" i="11"/>
  <c r="AF17" i="11"/>
  <c r="AF52" i="11"/>
  <c r="AF56" i="11"/>
  <c r="AF83" i="11"/>
  <c r="AF54" i="11"/>
  <c r="AF83" i="10"/>
  <c r="AF54" i="10"/>
  <c r="AF44" i="10"/>
  <c r="AF17" i="10"/>
  <c r="AF52" i="10"/>
  <c r="AF56" i="10"/>
  <c r="AF44" i="9"/>
  <c r="AF17" i="9"/>
  <c r="AF52" i="9"/>
  <c r="AF56" i="9"/>
  <c r="AF83" i="9"/>
  <c r="AF54" i="9"/>
  <c r="U67" i="11"/>
  <c r="U21" i="11"/>
  <c r="U21" i="10"/>
  <c r="U67" i="10"/>
  <c r="U67" i="9"/>
  <c r="U21" i="9"/>
  <c r="AV41" i="11"/>
  <c r="AV41" i="10"/>
  <c r="AV41" i="9"/>
  <c r="N40" i="9"/>
  <c r="N40" i="11"/>
  <c r="N40" i="10"/>
  <c r="S52" i="11"/>
  <c r="S56" i="11"/>
  <c r="S44" i="11"/>
  <c r="S17" i="11"/>
  <c r="S83" i="11"/>
  <c r="S54" i="11"/>
  <c r="S83" i="10"/>
  <c r="S54" i="10"/>
  <c r="S44" i="10"/>
  <c r="S17" i="10"/>
  <c r="S52" i="10"/>
  <c r="S56" i="10"/>
  <c r="S44" i="9"/>
  <c r="S17" i="9"/>
  <c r="S52" i="9"/>
  <c r="S56" i="9"/>
  <c r="S83" i="9"/>
  <c r="S54" i="9"/>
  <c r="AB52" i="11"/>
  <c r="AB56" i="11"/>
  <c r="AB83" i="11"/>
  <c r="AB54" i="11"/>
  <c r="AB44" i="11"/>
  <c r="AB17" i="11"/>
  <c r="AB44" i="10"/>
  <c r="AB17" i="10"/>
  <c r="AB52" i="10"/>
  <c r="AB56" i="10"/>
  <c r="AB83" i="10"/>
  <c r="AB54" i="10"/>
  <c r="AB52" i="9"/>
  <c r="AB56" i="9"/>
  <c r="AB83" i="9"/>
  <c r="AB54" i="9"/>
  <c r="AB44" i="9"/>
  <c r="AB17" i="9"/>
  <c r="Y52" i="11"/>
  <c r="Y56" i="11"/>
  <c r="Y83" i="11"/>
  <c r="Y54" i="11"/>
  <c r="Y44" i="11"/>
  <c r="Y17" i="11"/>
  <c r="Y17" i="10"/>
  <c r="Y52" i="10"/>
  <c r="Y56" i="10"/>
  <c r="Y83" i="10"/>
  <c r="Y44" i="10"/>
  <c r="Y54" i="10"/>
  <c r="Y54" i="9"/>
  <c r="Y44" i="9"/>
  <c r="Y17" i="9"/>
  <c r="Y52" i="9"/>
  <c r="Y56" i="9"/>
  <c r="Y83" i="9"/>
  <c r="AI21" i="11"/>
  <c r="AI67" i="11"/>
  <c r="AI67" i="10"/>
  <c r="AI21" i="10"/>
  <c r="AI67" i="9"/>
  <c r="AI21" i="9"/>
  <c r="AE44" i="11"/>
  <c r="AE17" i="11"/>
  <c r="AE52" i="11"/>
  <c r="AE56" i="11"/>
  <c r="AE83" i="11"/>
  <c r="AE54" i="11"/>
  <c r="AE54" i="10"/>
  <c r="AE44" i="10"/>
  <c r="AE17" i="10"/>
  <c r="AE52" i="10"/>
  <c r="AE56" i="10"/>
  <c r="AE83" i="10"/>
  <c r="AE44" i="9"/>
  <c r="AE17" i="9"/>
  <c r="AE52" i="9"/>
  <c r="AE56" i="9"/>
  <c r="AE83" i="9"/>
  <c r="AE54" i="9"/>
  <c r="AI44" i="11"/>
  <c r="AI17" i="11"/>
  <c r="AI52" i="11"/>
  <c r="AI56" i="11"/>
  <c r="AI83" i="11"/>
  <c r="AI54" i="11"/>
  <c r="AI83" i="10"/>
  <c r="AI54" i="10"/>
  <c r="AI44" i="10"/>
  <c r="AI17" i="10"/>
  <c r="AI52" i="10"/>
  <c r="AI56" i="10"/>
  <c r="AI56" i="9"/>
  <c r="AI83" i="9"/>
  <c r="AI54" i="9"/>
  <c r="AI44" i="9"/>
  <c r="AI17" i="9"/>
  <c r="AI52" i="9"/>
  <c r="Q56" i="11"/>
  <c r="Q83" i="11"/>
  <c r="Q54" i="11"/>
  <c r="Q44" i="11"/>
  <c r="Q17" i="11"/>
  <c r="Q52" i="11"/>
  <c r="Q44" i="10"/>
  <c r="Q17" i="10"/>
  <c r="Q52" i="10"/>
  <c r="Q56" i="10"/>
  <c r="Q83" i="10"/>
  <c r="Q54" i="10"/>
  <c r="Q17" i="9"/>
  <c r="Q52" i="9"/>
  <c r="Q56" i="9"/>
  <c r="Q83" i="9"/>
  <c r="Q54" i="9"/>
  <c r="Q44" i="9"/>
  <c r="Z17" i="11"/>
  <c r="Z52" i="11"/>
  <c r="Z56" i="11"/>
  <c r="Z83" i="11"/>
  <c r="Z54" i="11"/>
  <c r="Z44" i="11"/>
  <c r="Z52" i="10"/>
  <c r="Z56" i="10"/>
  <c r="Z83" i="10"/>
  <c r="Z54" i="10"/>
  <c r="Z44" i="10"/>
  <c r="Z17" i="10"/>
  <c r="Z83" i="9"/>
  <c r="Z54" i="9"/>
  <c r="Z44" i="9"/>
  <c r="Z17" i="9"/>
  <c r="Z52" i="9"/>
  <c r="Z56" i="9"/>
  <c r="AB21" i="11"/>
  <c r="AB67" i="11"/>
  <c r="AB21" i="10"/>
  <c r="AB67" i="10"/>
  <c r="AB21" i="9"/>
  <c r="AB67" i="9"/>
  <c r="AV50" i="11"/>
  <c r="AV19" i="11"/>
  <c r="AV50" i="10"/>
  <c r="AV19" i="10"/>
  <c r="AV19" i="9"/>
  <c r="AV50" i="9"/>
  <c r="V54" i="11"/>
  <c r="V44" i="11"/>
  <c r="V17" i="11"/>
  <c r="V52" i="11"/>
  <c r="V56" i="11"/>
  <c r="V83" i="11"/>
  <c r="V17" i="10"/>
  <c r="V52" i="10"/>
  <c r="V56" i="10"/>
  <c r="V83" i="10"/>
  <c r="V54" i="10"/>
  <c r="V44" i="10"/>
  <c r="V83" i="9"/>
  <c r="V54" i="9"/>
  <c r="V44" i="9"/>
  <c r="V17" i="9"/>
  <c r="V52" i="9"/>
  <c r="V56" i="9"/>
  <c r="AV13" i="11"/>
  <c r="AV45" i="11"/>
  <c r="AV4" i="11"/>
  <c r="AV45" i="10"/>
  <c r="AV4" i="10"/>
  <c r="AV13" i="10"/>
  <c r="AV13" i="9"/>
  <c r="AV45" i="9"/>
  <c r="AV4" i="9"/>
  <c r="AJ44" i="11"/>
  <c r="AJ17" i="11"/>
  <c r="AJ52" i="11"/>
  <c r="AJ56" i="11"/>
  <c r="AJ83" i="11"/>
  <c r="AJ54" i="11"/>
  <c r="AJ56" i="10"/>
  <c r="AJ83" i="10"/>
  <c r="AJ54" i="10"/>
  <c r="AJ44" i="10"/>
  <c r="AJ17" i="10"/>
  <c r="AJ52" i="10"/>
  <c r="AJ52" i="9"/>
  <c r="AJ56" i="9"/>
  <c r="AJ83" i="9"/>
  <c r="AJ54" i="9"/>
  <c r="AJ44" i="9"/>
  <c r="AJ17" i="9"/>
  <c r="AV20" i="11"/>
  <c r="AV49" i="11"/>
  <c r="AV20" i="10"/>
  <c r="AV49" i="10"/>
  <c r="AV20" i="9"/>
  <c r="AV49" i="9"/>
  <c r="Y21" i="11"/>
  <c r="Y67" i="11"/>
  <c r="Y67" i="10"/>
  <c r="Y21" i="10"/>
  <c r="Y67" i="9"/>
  <c r="Y21" i="9"/>
  <c r="R52" i="11"/>
  <c r="R56" i="11"/>
  <c r="R83" i="11"/>
  <c r="R54" i="11"/>
  <c r="R44" i="11"/>
  <c r="R17" i="11"/>
  <c r="R54" i="10"/>
  <c r="R44" i="10"/>
  <c r="R17" i="10"/>
  <c r="R52" i="10"/>
  <c r="R56" i="10"/>
  <c r="R83" i="10"/>
  <c r="R44" i="9"/>
  <c r="R17" i="9"/>
  <c r="R52" i="9"/>
  <c r="R56" i="9"/>
  <c r="R83" i="9"/>
  <c r="R54" i="9"/>
  <c r="AV66" i="11"/>
  <c r="AV81" i="11"/>
  <c r="AV12" i="11"/>
  <c r="AV82" i="11"/>
  <c r="AV77" i="11"/>
  <c r="AV38" i="11"/>
  <c r="AV86" i="11"/>
  <c r="AV27" i="11"/>
  <c r="AV62" i="11"/>
  <c r="AV81" i="10"/>
  <c r="AV12" i="10"/>
  <c r="AV82" i="10"/>
  <c r="AV77" i="10"/>
  <c r="AV38" i="10"/>
  <c r="AV86" i="10"/>
  <c r="AV27" i="10"/>
  <c r="AV62" i="10"/>
  <c r="AV66" i="10"/>
  <c r="AV62" i="9"/>
  <c r="AV66" i="9"/>
  <c r="AV81" i="9"/>
  <c r="AV12" i="9"/>
  <c r="AV82" i="9"/>
  <c r="AV77" i="9"/>
  <c r="AV38" i="9"/>
  <c r="AV86" i="9"/>
  <c r="AV27" i="9"/>
  <c r="AV17" i="11"/>
  <c r="AV56" i="11"/>
  <c r="AV72" i="11"/>
  <c r="AV83" i="11"/>
  <c r="AV15" i="11"/>
  <c r="AV26" i="11"/>
  <c r="AV54" i="11"/>
  <c r="AV42" i="11"/>
  <c r="AV47" i="11"/>
  <c r="AV58" i="11"/>
  <c r="AV36" i="11"/>
  <c r="AV44" i="11"/>
  <c r="AV79" i="11"/>
  <c r="AV64" i="11"/>
  <c r="AV69" i="11"/>
  <c r="AV52" i="11"/>
  <c r="AV61" i="11"/>
  <c r="AV52" i="10"/>
  <c r="AV64" i="10"/>
  <c r="AV69" i="10"/>
  <c r="AV61" i="10"/>
  <c r="AV56" i="10"/>
  <c r="AV72" i="10"/>
  <c r="AV83" i="10"/>
  <c r="AV15" i="10"/>
  <c r="AV26" i="10"/>
  <c r="AV54" i="10"/>
  <c r="AV42" i="10"/>
  <c r="AV47" i="10"/>
  <c r="AV58" i="10"/>
  <c r="AV36" i="10"/>
  <c r="AV44" i="10"/>
  <c r="AV79" i="10"/>
  <c r="AV17" i="10"/>
  <c r="AV44" i="9"/>
  <c r="AV79" i="9"/>
  <c r="AV17" i="9"/>
  <c r="AV52" i="9"/>
  <c r="AV64" i="9"/>
  <c r="AV69" i="9"/>
  <c r="AV61" i="9"/>
  <c r="AV56" i="9"/>
  <c r="AV72" i="9"/>
  <c r="AV83" i="9"/>
  <c r="AV15" i="9"/>
  <c r="AV26" i="9"/>
  <c r="AV54" i="9"/>
  <c r="AV42" i="9"/>
  <c r="AV47" i="9"/>
  <c r="AV58" i="9"/>
  <c r="AV36" i="9"/>
  <c r="AK44" i="11"/>
  <c r="AK17" i="11"/>
  <c r="AK52" i="11"/>
  <c r="AK56" i="11"/>
  <c r="AK83" i="11"/>
  <c r="AK54" i="11"/>
  <c r="AK52" i="10"/>
  <c r="AK56" i="10"/>
  <c r="AK83" i="10"/>
  <c r="AK54" i="10"/>
  <c r="AK44" i="10"/>
  <c r="AK17" i="10"/>
  <c r="AK17" i="9"/>
  <c r="AK52" i="9"/>
  <c r="AK56" i="9"/>
  <c r="AK83" i="9"/>
  <c r="AK54" i="9"/>
  <c r="AK44" i="9"/>
  <c r="X67" i="11"/>
  <c r="X21" i="11"/>
  <c r="X21" i="10"/>
  <c r="X67" i="10"/>
  <c r="X67" i="9"/>
  <c r="X21" i="9"/>
  <c r="AV23" i="11"/>
  <c r="AV23" i="10"/>
  <c r="AV23" i="9"/>
  <c r="AG54" i="11"/>
  <c r="AG44" i="11"/>
  <c r="AG17" i="11"/>
  <c r="AG52" i="11"/>
  <c r="AG56" i="11"/>
  <c r="AG83" i="11"/>
  <c r="AG56" i="10"/>
  <c r="AG17" i="10"/>
  <c r="AG52" i="10"/>
  <c r="AG83" i="10"/>
  <c r="AG54" i="10"/>
  <c r="AG44" i="10"/>
  <c r="AG54" i="9"/>
  <c r="AG44" i="9"/>
  <c r="AG17" i="9"/>
  <c r="AG52" i="9"/>
  <c r="AG56" i="9"/>
  <c r="AG83" i="9"/>
  <c r="W67" i="11"/>
  <c r="W21" i="11"/>
  <c r="W21" i="10"/>
  <c r="W67" i="10"/>
  <c r="W67" i="9"/>
  <c r="W21" i="9"/>
  <c r="T44" i="11"/>
  <c r="T17" i="11"/>
  <c r="T52" i="11"/>
  <c r="T56" i="11"/>
  <c r="T83" i="11"/>
  <c r="T54" i="11"/>
  <c r="T56" i="10"/>
  <c r="T83" i="10"/>
  <c r="T54" i="10"/>
  <c r="T44" i="10"/>
  <c r="T17" i="10"/>
  <c r="T52" i="10"/>
  <c r="T44" i="9"/>
  <c r="T17" i="9"/>
  <c r="T52" i="9"/>
  <c r="T56" i="9"/>
  <c r="T83" i="9"/>
  <c r="T54" i="9"/>
  <c r="U44" i="11"/>
  <c r="U17" i="11"/>
  <c r="U52" i="11"/>
  <c r="U56" i="11"/>
  <c r="U83" i="11"/>
  <c r="U54" i="11"/>
  <c r="U52" i="10"/>
  <c r="U56" i="10"/>
  <c r="U83" i="10"/>
  <c r="U54" i="10"/>
  <c r="U44" i="10"/>
  <c r="U17" i="10"/>
  <c r="U54" i="9"/>
  <c r="U44" i="9"/>
  <c r="U17" i="9"/>
  <c r="U52" i="9"/>
  <c r="U56" i="9"/>
  <c r="U83" i="9"/>
  <c r="S67" i="11"/>
  <c r="S21" i="11"/>
  <c r="S67" i="10"/>
  <c r="S21" i="10"/>
  <c r="S21" i="9"/>
  <c r="S67" i="9"/>
  <c r="T21" i="11"/>
  <c r="T67" i="11"/>
  <c r="T67" i="10"/>
  <c r="T21" i="10"/>
  <c r="T67" i="9"/>
  <c r="T21" i="9"/>
  <c r="X56" i="11"/>
  <c r="X83" i="11"/>
  <c r="X54" i="11"/>
  <c r="X44" i="11"/>
  <c r="X17" i="11"/>
  <c r="X52" i="11"/>
  <c r="X44" i="10"/>
  <c r="X17" i="10"/>
  <c r="X52" i="10"/>
  <c r="X56" i="10"/>
  <c r="X83" i="10"/>
  <c r="X54" i="10"/>
  <c r="X44" i="9"/>
  <c r="X17" i="9"/>
  <c r="X52" i="9"/>
  <c r="X56" i="9"/>
  <c r="X83" i="9"/>
  <c r="X54" i="9"/>
  <c r="Q67" i="11"/>
  <c r="Q21" i="11"/>
  <c r="Q67" i="10"/>
  <c r="Q21" i="10"/>
  <c r="Q21" i="9"/>
  <c r="Q67" i="9"/>
  <c r="P67" i="11"/>
  <c r="P21" i="11"/>
  <c r="P21" i="10"/>
  <c r="P67" i="10"/>
  <c r="P21" i="9"/>
  <c r="P67" i="9"/>
  <c r="P83" i="11"/>
  <c r="P54" i="11"/>
  <c r="P44" i="11"/>
  <c r="P17" i="11"/>
  <c r="P52" i="11"/>
  <c r="P56" i="11"/>
  <c r="P44" i="10"/>
  <c r="P17" i="10"/>
  <c r="P52" i="10"/>
  <c r="P56" i="10"/>
  <c r="P83" i="10"/>
  <c r="P54" i="10"/>
  <c r="P52" i="9"/>
  <c r="P56" i="9"/>
  <c r="P83" i="9"/>
  <c r="P54" i="9"/>
  <c r="P44" i="9"/>
  <c r="P17" i="9"/>
  <c r="AV76" i="11"/>
  <c r="AV76" i="10"/>
  <c r="AV76" i="9"/>
  <c r="AF67" i="11"/>
  <c r="AF21" i="11"/>
  <c r="AF67" i="10"/>
  <c r="AF21" i="10"/>
  <c r="AF67" i="9"/>
  <c r="AF21" i="9"/>
  <c r="AG67" i="11"/>
  <c r="AG21" i="11"/>
  <c r="AG67" i="10"/>
  <c r="AG21" i="10"/>
  <c r="AG67" i="9"/>
  <c r="AG21" i="9"/>
  <c r="AV55" i="11"/>
  <c r="AV85" i="11"/>
  <c r="AV33" i="11"/>
  <c r="AV8" i="11"/>
  <c r="AV37" i="11"/>
  <c r="AV40" i="11"/>
  <c r="AV74" i="11"/>
  <c r="AV63" i="11"/>
  <c r="AV70" i="11"/>
  <c r="AV63" i="10"/>
  <c r="AV70" i="10"/>
  <c r="AV85" i="10"/>
  <c r="AV33" i="10"/>
  <c r="AV8" i="10"/>
  <c r="AV37" i="10"/>
  <c r="AV40" i="10"/>
  <c r="AV74" i="10"/>
  <c r="AV55" i="10"/>
  <c r="AV37" i="9"/>
  <c r="AV40" i="9"/>
  <c r="AV74" i="9"/>
  <c r="AV55" i="9"/>
  <c r="AV63" i="9"/>
  <c r="AV70" i="9"/>
  <c r="AV85" i="9"/>
  <c r="AV33" i="9"/>
  <c r="AV8" i="9"/>
  <c r="AC21" i="11"/>
  <c r="AC67" i="11"/>
  <c r="AC21" i="10"/>
  <c r="AC67" i="10"/>
  <c r="AC21" i="9"/>
  <c r="AC67" i="9"/>
  <c r="AE21" i="11"/>
  <c r="AE67" i="11"/>
  <c r="AE67" i="10"/>
  <c r="AE21" i="10"/>
  <c r="AE21" i="9"/>
  <c r="AE67" i="9"/>
  <c r="Z21" i="11"/>
  <c r="Z67" i="11"/>
  <c r="Z67" i="10"/>
  <c r="Z21" i="10"/>
  <c r="Z67" i="9"/>
  <c r="Z21" i="9"/>
  <c r="AJ21" i="11"/>
  <c r="AJ67" i="11"/>
  <c r="AJ67" i="10"/>
  <c r="AJ21" i="10"/>
  <c r="AJ21" i="9"/>
  <c r="AJ67" i="9"/>
  <c r="R21" i="11"/>
  <c r="R67" i="11"/>
  <c r="R67" i="10"/>
  <c r="R21" i="10"/>
  <c r="R21" i="9"/>
  <c r="R67" i="9"/>
  <c r="AK67" i="11"/>
  <c r="AK21" i="11"/>
  <c r="AK21" i="10"/>
  <c r="AK67" i="10"/>
  <c r="AK21" i="9"/>
  <c r="AK67" i="9"/>
  <c r="AD21" i="11"/>
  <c r="AD67" i="11"/>
  <c r="AD67" i="10"/>
  <c r="AD21" i="10"/>
  <c r="AD21" i="9"/>
  <c r="AD67" i="9"/>
  <c r="AH67" i="11"/>
  <c r="AH21" i="11"/>
  <c r="AH67" i="10"/>
  <c r="AH21" i="10"/>
  <c r="AH67" i="9"/>
  <c r="AH21" i="9"/>
  <c r="AD44" i="11"/>
  <c r="AD17" i="11"/>
  <c r="AD52" i="11"/>
  <c r="AD56" i="11"/>
  <c r="AD83" i="11"/>
  <c r="AD54" i="11"/>
  <c r="AD44" i="10"/>
  <c r="AD17" i="10"/>
  <c r="AD52" i="10"/>
  <c r="AD56" i="10"/>
  <c r="AD83" i="10"/>
  <c r="AD54" i="10"/>
  <c r="AD44" i="9"/>
  <c r="AD17" i="9"/>
  <c r="AD52" i="9"/>
  <c r="AD56" i="9"/>
  <c r="AD83" i="9"/>
  <c r="AD54" i="9"/>
  <c r="AV16" i="11"/>
  <c r="AV68" i="11"/>
  <c r="AV5" i="11"/>
  <c r="AV46" i="11"/>
  <c r="AV25" i="11"/>
  <c r="AV87" i="11"/>
  <c r="AV67" i="11"/>
  <c r="AV59" i="11"/>
  <c r="AV57" i="11"/>
  <c r="AV21" i="11"/>
  <c r="AV28" i="11"/>
  <c r="AV57" i="10"/>
  <c r="AV28" i="10"/>
  <c r="AV21" i="10"/>
  <c r="AV5" i="10"/>
  <c r="AV46" i="10"/>
  <c r="AV25" i="10"/>
  <c r="AV87" i="10"/>
  <c r="AV67" i="10"/>
  <c r="AV59" i="10"/>
  <c r="AV16" i="10"/>
  <c r="AV68" i="10"/>
  <c r="AV59" i="9"/>
  <c r="AV16" i="9"/>
  <c r="AV68" i="9"/>
  <c r="AV57" i="9"/>
  <c r="AV28" i="9"/>
  <c r="AV21" i="9"/>
  <c r="AV5" i="9"/>
  <c r="AV46" i="9"/>
  <c r="AV25" i="9"/>
  <c r="AV87" i="9"/>
  <c r="AV67" i="9"/>
  <c r="AA56" i="11"/>
  <c r="AA83" i="11"/>
  <c r="AA54" i="11"/>
  <c r="AA44" i="11"/>
  <c r="AA17" i="11"/>
  <c r="AA52" i="11"/>
  <c r="AA17" i="10"/>
  <c r="AA52" i="10"/>
  <c r="AA56" i="10"/>
  <c r="AA83" i="10"/>
  <c r="AA54" i="10"/>
  <c r="AA44" i="10"/>
  <c r="AA56" i="9"/>
  <c r="AA83" i="9"/>
  <c r="AA54" i="9"/>
  <c r="AA44" i="9"/>
  <c r="AA17" i="9"/>
  <c r="AA52" i="9"/>
  <c r="AX166" i="2" l="1"/>
  <c r="AX43" i="2"/>
  <c r="AX110" i="2"/>
  <c r="AX126" i="2"/>
  <c r="AX165" i="2"/>
  <c r="AX138" i="2"/>
  <c r="AX164" i="2"/>
  <c r="AX129" i="2"/>
  <c r="AX161" i="2"/>
  <c r="AX163" i="2"/>
  <c r="AX162" i="2"/>
  <c r="AX128" i="2"/>
  <c r="AX160" i="2"/>
  <c r="AX159" i="2"/>
  <c r="AX156" i="2"/>
  <c r="AX155" i="2"/>
  <c r="AX158" i="2"/>
  <c r="AX154" i="2"/>
  <c r="AX152" i="2"/>
  <c r="AX151" i="2"/>
  <c r="AX150" i="2"/>
  <c r="AX149" i="2"/>
  <c r="AX147" i="2"/>
  <c r="AX153" i="2"/>
  <c r="AX144" i="2"/>
  <c r="AX145" i="2"/>
  <c r="AX148" i="2"/>
  <c r="AX37" i="2"/>
  <c r="AX143" i="2"/>
  <c r="AX133" i="2"/>
  <c r="AX57" i="2"/>
  <c r="AX135" i="2"/>
  <c r="AX142" i="2"/>
  <c r="AX130" i="2"/>
  <c r="AX139" i="2"/>
  <c r="AX137" i="2"/>
  <c r="AX53" i="2"/>
  <c r="AX134" i="2"/>
  <c r="AX136" i="2"/>
  <c r="AX132" i="2"/>
  <c r="AX141" i="2"/>
  <c r="AX131" i="2"/>
  <c r="AX125" i="2"/>
  <c r="AX124" i="2"/>
  <c r="AX123" i="2"/>
  <c r="AX120" i="2"/>
  <c r="AX116" i="2"/>
  <c r="AX46" i="2"/>
  <c r="AX119" i="2"/>
  <c r="AX115" i="2"/>
  <c r="AX113" i="2"/>
  <c r="AX118" i="2"/>
  <c r="AX117" i="2"/>
  <c r="AX114" i="2"/>
  <c r="AX112" i="2"/>
  <c r="AX111" i="2"/>
  <c r="AX105" i="2"/>
  <c r="AX106" i="2"/>
  <c r="AX107" i="2"/>
  <c r="AX109" i="2"/>
  <c r="AX108" i="2"/>
  <c r="AX104" i="2"/>
  <c r="AX92" i="2"/>
  <c r="AX91" i="2"/>
  <c r="AX97" i="2"/>
  <c r="AX96" i="2"/>
  <c r="AX102" i="2"/>
  <c r="AX100" i="2"/>
  <c r="AX103" i="2"/>
  <c r="AX94" i="2"/>
  <c r="AX146" i="2"/>
  <c r="AX95" i="2"/>
  <c r="AX98" i="2"/>
  <c r="AX93" i="2"/>
  <c r="AX90" i="2"/>
  <c r="AX122" i="2"/>
  <c r="AX101" i="2"/>
  <c r="AX84" i="2"/>
  <c r="AX89" i="2"/>
  <c r="AX86" i="2"/>
  <c r="AX140" i="2"/>
  <c r="AX127" i="2"/>
  <c r="AX88" i="2"/>
  <c r="AX87" i="2"/>
  <c r="AX85" i="2"/>
  <c r="AX83" i="2"/>
  <c r="AX81" i="2"/>
  <c r="AX121" i="2"/>
  <c r="AX80" i="2"/>
  <c r="AX34" i="2"/>
  <c r="AX82" i="2"/>
  <c r="AX79" i="2"/>
  <c r="AX78" i="2"/>
  <c r="AX77" i="2"/>
  <c r="AX76" i="2"/>
  <c r="AX75" i="2"/>
  <c r="AX74" i="2"/>
  <c r="AX72" i="2"/>
  <c r="AX73" i="2"/>
  <c r="AX71" i="2"/>
  <c r="AX69" i="2"/>
  <c r="AX70" i="2"/>
  <c r="AX68" i="2"/>
  <c r="AX65" i="2"/>
  <c r="AX64" i="2"/>
  <c r="AX54" i="2"/>
  <c r="AX67" i="2"/>
  <c r="AX61" i="2"/>
  <c r="AX66" i="2"/>
  <c r="AX63" i="2"/>
  <c r="AX62" i="2"/>
  <c r="AX60" i="2"/>
  <c r="AX99" i="2"/>
  <c r="AX59" i="2"/>
  <c r="AX58" i="2"/>
  <c r="AX56" i="2"/>
  <c r="AX55" i="2"/>
  <c r="AX52" i="2"/>
  <c r="AX51" i="2"/>
  <c r="AX12" i="2"/>
  <c r="AX50" i="2"/>
  <c r="AX49" i="2"/>
  <c r="AX48" i="2"/>
  <c r="AX44" i="2"/>
  <c r="AX33" i="2"/>
  <c r="AX41" i="2"/>
  <c r="AX40" i="2"/>
  <c r="AX42" i="2"/>
  <c r="AX47" i="2"/>
  <c r="AX35" i="2"/>
  <c r="AX45" i="2"/>
  <c r="AX39" i="2"/>
  <c r="AX38" i="2"/>
  <c r="AX36" i="2"/>
  <c r="AX28" i="2"/>
  <c r="AX25" i="2"/>
  <c r="AX21" i="2"/>
  <c r="AX29" i="2"/>
  <c r="AX26" i="2"/>
  <c r="AX23" i="2"/>
  <c r="AX22" i="2"/>
  <c r="AX27" i="2"/>
  <c r="AX18" i="2"/>
  <c r="AX19" i="2"/>
  <c r="AX30" i="2"/>
  <c r="AX20" i="2"/>
  <c r="AX31" i="2"/>
  <c r="AX24" i="2"/>
  <c r="AX32" i="2"/>
  <c r="AX17" i="2"/>
  <c r="AX14" i="2"/>
  <c r="AX16" i="2"/>
  <c r="AX15" i="2"/>
  <c r="AX157" i="2"/>
  <c r="AX11" i="2"/>
  <c r="AX13" i="2"/>
  <c r="AX10" i="2"/>
</calcChain>
</file>

<file path=xl/sharedStrings.xml><?xml version="1.0" encoding="utf-8"?>
<sst xmlns="http://schemas.openxmlformats.org/spreadsheetml/2006/main" count="5287" uniqueCount="494">
  <si>
    <t>Country</t>
  </si>
  <si>
    <t>WHO Region</t>
  </si>
  <si>
    <t>WHO-Choice</t>
  </si>
  <si>
    <t>World Bank Region</t>
  </si>
  <si>
    <t>Afghanistan</t>
  </si>
  <si>
    <t>Eastern Mediterranean Region</t>
  </si>
  <si>
    <t>EMR D</t>
  </si>
  <si>
    <t>North Africa and Middle East</t>
  </si>
  <si>
    <t>Albania</t>
  </si>
  <si>
    <t>European Region</t>
  </si>
  <si>
    <t>EUR B</t>
  </si>
  <si>
    <t>Central and Eastern Europe and Central Asia</t>
  </si>
  <si>
    <t>Algeria</t>
  </si>
  <si>
    <t>African Region</t>
  </si>
  <si>
    <t>AFR D</t>
  </si>
  <si>
    <t>Sub-Saharan Africa</t>
  </si>
  <si>
    <t>Andorra</t>
  </si>
  <si>
    <t>EUR A</t>
  </si>
  <si>
    <t>High Income</t>
  </si>
  <si>
    <t>Angola</t>
  </si>
  <si>
    <t>Antigua and Barbuda</t>
  </si>
  <si>
    <t>Region of the Americas</t>
  </si>
  <si>
    <t>AMR B</t>
  </si>
  <si>
    <t>Latin America and Caribbean Region</t>
  </si>
  <si>
    <t>Argentina</t>
  </si>
  <si>
    <t>Armenia</t>
  </si>
  <si>
    <t>Australia</t>
  </si>
  <si>
    <t>Western Pacific Region</t>
  </si>
  <si>
    <t>WPR A</t>
  </si>
  <si>
    <t>Austria</t>
  </si>
  <si>
    <t>Azerbaijan</t>
  </si>
  <si>
    <t>Bahamas</t>
  </si>
  <si>
    <t>Bahrain</t>
  </si>
  <si>
    <t>EMR B</t>
  </si>
  <si>
    <t>Bangladesh</t>
  </si>
  <si>
    <t>South-East Asia Region</t>
  </si>
  <si>
    <t>SEAR D</t>
  </si>
  <si>
    <t>South Asia</t>
  </si>
  <si>
    <t>Barbados</t>
  </si>
  <si>
    <t>Belarus</t>
  </si>
  <si>
    <t>EUR C</t>
  </si>
  <si>
    <t>Belgium</t>
  </si>
  <si>
    <t>Belize</t>
  </si>
  <si>
    <t>Benin</t>
  </si>
  <si>
    <t>Bhutan</t>
  </si>
  <si>
    <t>Bolivia (Plurinational State of)</t>
  </si>
  <si>
    <t>AMR D</t>
  </si>
  <si>
    <t>Bosnia and Herzegovina</t>
  </si>
  <si>
    <t>Botswana</t>
  </si>
  <si>
    <t>AFR E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</si>
  <si>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</si>
  <si>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</si>
  <si>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</si>
  <si>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</si>
  <si>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</si>
  <si>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</si>
  <si>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</si>
  <si>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WPR B</t>
  </si>
  <si>
    <t>East Asia and Pacific</t>
  </si>
  <si>
    <t>Cameroon</t>
  </si>
  <si>
    <t>Canada</t>
  </si>
  <si>
    <t>AMR 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</si>
  <si>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</si>
  <si>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</si>
  <si>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</si>
  <si>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</si>
  <si>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</si>
  <si>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</si>
  <si>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</si>
  <si>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</si>
  <si>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</si>
  <si>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</si>
  <si>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</si>
  <si>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</si>
  <si>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</si>
  <si>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</si>
  <si>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</si>
  <si>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</si>
  <si>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</si>
  <si>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</si>
  <si>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</si>
  <si>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</si>
  <si>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</si>
  <si>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</si>
  <si>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</si>
  <si>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</si>
  <si>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</si>
  <si>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</si>
  <si>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</si>
  <si>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</si>
  <si>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</si>
  <si>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</si>
  <si>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</si>
  <si>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</si>
  <si>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</si>
  <si>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</si>
  <si>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</si>
  <si>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</si>
  <si>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</si>
  <si>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</si>
  <si>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</si>
  <si>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</si>
  <si>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</si>
  <si>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</si>
  <si>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</si>
  <si>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</si>
  <si>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</si>
  <si>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</si>
  <si>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</si>
  <si>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SEAR B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</si>
  <si>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</si>
  <si>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</si>
  <si>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</si>
  <si>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</si>
  <si>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</si>
  <si>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</si>
  <si>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</si>
  <si>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</si>
  <si>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</si>
  <si>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</si>
  <si>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</si>
  <si>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</si>
  <si>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</si>
  <si>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</si>
  <si>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</si>
  <si>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</si>
  <si>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</si>
  <si>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</si>
  <si>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</si>
  <si>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</si>
  <si>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</si>
  <si>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</si>
  <si>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</si>
  <si>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</si>
  <si>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</si>
  <si>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</si>
  <si>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</si>
  <si>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</si>
  <si>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</si>
  <si>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</si>
  <si>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</si>
  <si>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</si>
  <si>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</si>
  <si>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</si>
  <si>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</si>
  <si>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</si>
  <si>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</si>
  <si>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</si>
  <si>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</si>
  <si>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</si>
  <si>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</si>
  <si>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</si>
  <si>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</si>
  <si>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</si>
  <si>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</si>
  <si>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</si>
  <si>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</si>
  <si>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</si>
  <si>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</si>
  <si>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</si>
  <si>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</si>
  <si>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</si>
  <si>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</si>
  <si>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</si>
  <si>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</si>
  <si>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</si>
  <si>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</si>
  <si>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</si>
  <si>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</si>
  <si>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</si>
  <si>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</si>
  <si>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</si>
  <si>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</si>
  <si>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</si>
  <si>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</si>
  <si>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</si>
  <si>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</si>
  <si>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</si>
  <si>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</si>
  <si>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</si>
  <si>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</si>
  <si>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</si>
  <si>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</si>
  <si>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</si>
  <si>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</si>
  <si>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</si>
  <si>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</si>
  <si>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</si>
  <si>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</si>
  <si>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</si>
  <si>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</si>
  <si>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</si>
  <si>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</si>
  <si>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</si>
  <si>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</si>
  <si>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</si>
  <si>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</si>
  <si>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</si>
  <si>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</si>
  <si>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</si>
  <si>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</si>
  <si>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</si>
  <si>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</si>
  <si>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</si>
  <si>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</si>
  <si>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</si>
  <si>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</si>
  <si>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</si>
  <si>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</si>
  <si>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</si>
  <si>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</si>
  <si>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</si>
  <si>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</si>
  <si>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</si>
  <si>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</si>
  <si>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</si>
  <si>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</si>
  <si>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</si>
  <si>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</si>
  <si>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</si>
  <si>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</si>
  <si>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</si>
  <si>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</si>
  <si>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Yugoslavia</t>
  </si>
  <si>
    <t>Zambia</t>
  </si>
  <si>
    <t>Zimbabwe</t>
  </si>
  <si>
    <t>Country Name</t>
  </si>
  <si>
    <t>2010</t>
  </si>
  <si>
    <t>2011</t>
  </si>
  <si>
    <t>2012</t>
  </si>
  <si>
    <t>2013</t>
  </si>
  <si>
    <t>2014</t>
  </si>
  <si>
    <t>2015</t>
  </si>
  <si>
    <t>2016</t>
  </si>
  <si>
    <t>2017</t>
  </si>
  <si>
    <t>prop</t>
  </si>
  <si>
    <t>Facility (%)</t>
  </si>
  <si>
    <t>Year</t>
  </si>
  <si>
    <t>SBA (%)</t>
  </si>
  <si>
    <t>Source</t>
  </si>
  <si>
    <t>prev</t>
  </si>
  <si>
    <t>lb</t>
  </si>
  <si>
    <t>ub</t>
  </si>
  <si>
    <t>pop</t>
  </si>
  <si>
    <t>sigma</t>
  </si>
  <si>
    <t>Cname</t>
  </si>
  <si>
    <t>Vaccine</t>
  </si>
  <si>
    <t>%SBAFAC</t>
  </si>
  <si>
    <t>%nSBAFAC</t>
  </si>
  <si>
    <t>%SBAnFAC</t>
  </si>
  <si>
    <t>%nSBAnFAC</t>
  </si>
  <si>
    <t>Aruba</t>
  </si>
  <si>
    <t>Schweitzer et al</t>
  </si>
  <si>
    <t>HepB_BD</t>
  </si>
  <si>
    <t>HepB3</t>
  </si>
  <si>
    <t>2003-2009</t>
  </si>
  <si>
    <t>Polaris Group</t>
  </si>
  <si>
    <t>2010-2012</t>
  </si>
  <si>
    <t>2010-2016</t>
  </si>
  <si>
    <t>Arab World</t>
  </si>
  <si>
    <t>2015-2016</t>
  </si>
  <si>
    <t>American Samoa</t>
  </si>
  <si>
    <t>Bolivia</t>
  </si>
  <si>
    <t>2013-2016</t>
  </si>
  <si>
    <t>2012-2014</t>
  </si>
  <si>
    <t>2011-2016</t>
  </si>
  <si>
    <t>Congo Brazzaville</t>
  </si>
  <si>
    <t>2010-2015</t>
  </si>
  <si>
    <t>Bermuda</t>
  </si>
  <si>
    <t>2011-2017</t>
  </si>
  <si>
    <t>Cape Verde</t>
  </si>
  <si>
    <t>2009-2014</t>
  </si>
  <si>
    <t>2008-2010</t>
  </si>
  <si>
    <t>2009-2015</t>
  </si>
  <si>
    <t>Central Europe and the Baltics</t>
  </si>
  <si>
    <t>2007-2012</t>
  </si>
  <si>
    <t>Channel Islands</t>
  </si>
  <si>
    <t>2012-2015</t>
  </si>
  <si>
    <t>Krygzstan</t>
  </si>
  <si>
    <t>2007-2009</t>
  </si>
  <si>
    <t>2008-2014</t>
  </si>
  <si>
    <t>Macedonia</t>
  </si>
  <si>
    <t>Caribbean small states</t>
  </si>
  <si>
    <t>Curacao</t>
  </si>
  <si>
    <t>Cayman Islands</t>
  </si>
  <si>
    <t>2006-2011</t>
  </si>
  <si>
    <t>2005-2010</t>
  </si>
  <si>
    <t>Eswatini</t>
  </si>
  <si>
    <t>East Asia &amp; Pacific (excluding high income)</t>
  </si>
  <si>
    <t>Early-demographic dividend</t>
  </si>
  <si>
    <t>Phillippines</t>
  </si>
  <si>
    <t>East Asia &amp; Pacific</t>
  </si>
  <si>
    <t>Europe &amp; Central Asia (excluding high income)</t>
  </si>
  <si>
    <t>2008-2013</t>
  </si>
  <si>
    <t>Europe &amp; Central Asia</t>
  </si>
  <si>
    <t>Euro area</t>
  </si>
  <si>
    <t>St Lucia</t>
  </si>
  <si>
    <t>State of Palestine</t>
  </si>
  <si>
    <t>European Union</t>
  </si>
  <si>
    <t>Tanzania</t>
  </si>
  <si>
    <t>Fragile and conflict affected situations</t>
  </si>
  <si>
    <t>2006-2012</t>
  </si>
  <si>
    <t>Faroe Islands</t>
  </si>
  <si>
    <t>Micronesia (Federated states of)</t>
  </si>
  <si>
    <t>Zimbabawe</t>
  </si>
  <si>
    <t>2009-2011</t>
  </si>
  <si>
    <t>Gibraltar</t>
  </si>
  <si>
    <t>2013-2015</t>
  </si>
  <si>
    <t>2005-2015</t>
  </si>
  <si>
    <t>Greenland</t>
  </si>
  <si>
    <t>2009-2012</t>
  </si>
  <si>
    <t>Guam</t>
  </si>
  <si>
    <t>High income</t>
  </si>
  <si>
    <t>Hong Kong SAR, China</t>
  </si>
  <si>
    <t>Heavily indebted poor countries (HIPC)</t>
  </si>
  <si>
    <t>2007-2013</t>
  </si>
  <si>
    <t>IBRD only</t>
  </si>
  <si>
    <t>IDA &amp; IBRD total</t>
  </si>
  <si>
    <t>IDA total</t>
  </si>
  <si>
    <t>IDA blend</t>
  </si>
  <si>
    <t>IDA only</t>
  </si>
  <si>
    <t>Isle of Man</t>
  </si>
  <si>
    <t>2011-2013</t>
  </si>
  <si>
    <t>Not classified</t>
  </si>
  <si>
    <t>2002-2007</t>
  </si>
  <si>
    <t>2013-2017</t>
  </si>
  <si>
    <t>2009-2013</t>
  </si>
  <si>
    <t>St. Kitts and Nevis</t>
  </si>
  <si>
    <t>Latin America &amp; Caribbean (excluding high income)</t>
  </si>
  <si>
    <t>Latin America &amp; Caribbean</t>
  </si>
  <si>
    <t>Least developed countries: UN classification</t>
  </si>
  <si>
    <t>Low income</t>
  </si>
  <si>
    <t>Liechtenstein</t>
  </si>
  <si>
    <t>Lower middle income</t>
  </si>
  <si>
    <t>Low &amp; middle income</t>
  </si>
  <si>
    <t>Late-demographic dividend</t>
  </si>
  <si>
    <t>Sudan (pre-cession)</t>
  </si>
  <si>
    <t>Macao SAR, China</t>
  </si>
  <si>
    <t>St. Martin (French part)</t>
  </si>
  <si>
    <t>Middle East &amp; North Africa</t>
  </si>
  <si>
    <t>2004-2006</t>
  </si>
  <si>
    <t>Middle income</t>
  </si>
  <si>
    <t>2001-2007</t>
  </si>
  <si>
    <t>2004-2009</t>
  </si>
  <si>
    <t>Middle East &amp; North Africa (excluding high income)</t>
  </si>
  <si>
    <t>The former Yugoslav republic of Macedonia</t>
  </si>
  <si>
    <t>Northern Mariana Islands</t>
  </si>
  <si>
    <t>North America</t>
  </si>
  <si>
    <t>New Caledonia</t>
  </si>
  <si>
    <t>2011-2014</t>
  </si>
  <si>
    <t>OECD members</t>
  </si>
  <si>
    <t>Other small states</t>
  </si>
  <si>
    <t>Pre-demographic dividend</t>
  </si>
  <si>
    <t>Puerto Rico</t>
  </si>
  <si>
    <t>West Bank and Gaza</t>
  </si>
  <si>
    <t>Pacific island small states</t>
  </si>
  <si>
    <t>Post-demographic dividend</t>
  </si>
  <si>
    <t>French Polynesia</t>
  </si>
  <si>
    <t>Sub-Saharan Africa (excluding high income)</t>
  </si>
  <si>
    <t>Small states</t>
  </si>
  <si>
    <t>Sint Maarten (Dutch part)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</si>
  <si>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</si>
  <si>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</si>
  <si>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</si>
  <si>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</si>
  <si>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</si>
  <si>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</si>
  <si>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</si>
  <si>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</si>
  <si>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British Virgin Islands</t>
  </si>
  <si>
    <t>Virgin Islands (U.S.)</t>
  </si>
  <si>
    <t>World</t>
  </si>
  <si>
    <t>Kosovo</t>
  </si>
  <si>
    <t>GBD Region</t>
  </si>
  <si>
    <t>hbe_prev</t>
  </si>
  <si>
    <t>hbe_prev_lb</t>
  </si>
  <si>
    <t>hbe_prev_ub</t>
  </si>
  <si>
    <t>hbe_risk</t>
  </si>
  <si>
    <t>hbe_risk_lb</t>
  </si>
  <si>
    <t>hbe_risk_ub</t>
  </si>
  <si>
    <t>nhbe_risk</t>
  </si>
  <si>
    <t>nhbe_risk_lb</t>
  </si>
  <si>
    <t>nhbe_risk_ub</t>
  </si>
  <si>
    <t>Latin America and Caribbean</t>
  </si>
  <si>
    <t>2017 Births</t>
  </si>
  <si>
    <t>mu_01</t>
  </si>
  <si>
    <t>mu_14</t>
  </si>
  <si>
    <t>mu_59</t>
  </si>
  <si>
    <t>mu_1014</t>
  </si>
  <si>
    <t>mu_1519</t>
  </si>
  <si>
    <t>mu_2024</t>
  </si>
  <si>
    <t>mu_2529</t>
  </si>
  <si>
    <t>mu_3034</t>
  </si>
  <si>
    <t>mu_3539</t>
  </si>
  <si>
    <t>mu_4044</t>
  </si>
  <si>
    <t>mu_4549</t>
  </si>
  <si>
    <t>mu_5054</t>
  </si>
  <si>
    <t>mu_5559</t>
  </si>
  <si>
    <t>mu_6064</t>
  </si>
  <si>
    <t>mu_6569</t>
  </si>
  <si>
    <t>mu_7074</t>
  </si>
  <si>
    <t>mu_7579</t>
  </si>
  <si>
    <t>mu_8084</t>
  </si>
  <si>
    <t>mu_8589</t>
  </si>
  <si>
    <t>mu_9094</t>
  </si>
  <si>
    <t>mu_9599</t>
  </si>
  <si>
    <t>mu_100</t>
  </si>
  <si>
    <t>choice reg</t>
  </si>
  <si>
    <t>Disease Management</t>
  </si>
  <si>
    <t>Nayagam et al 2014 USD</t>
  </si>
  <si>
    <t>Published Cost</t>
  </si>
  <si>
    <t>2020 USD Adjusted</t>
  </si>
  <si>
    <t>Acute</t>
  </si>
  <si>
    <t>Chronic</t>
  </si>
  <si>
    <t>Compensated Cirrhosis</t>
  </si>
  <si>
    <t>Decompensated Cirrhosis</t>
  </si>
  <si>
    <t>Hepatocellular Carcinoma</t>
  </si>
  <si>
    <t>Vaccine Costs</t>
  </si>
  <si>
    <t>2020 Adjusted</t>
  </si>
  <si>
    <t>SDV (Unicef 2020)</t>
  </si>
  <si>
    <t>CTC Licensure Assumption</t>
  </si>
  <si>
    <t>CPAD (WHO 2015)</t>
  </si>
  <si>
    <t>(1.0884% inflation)</t>
  </si>
  <si>
    <t>Wastage</t>
  </si>
  <si>
    <t xml:space="preserve">SDV </t>
  </si>
  <si>
    <t>CPAD</t>
  </si>
  <si>
    <t>Training</t>
  </si>
  <si>
    <t>CTC</t>
  </si>
  <si>
    <t>Delivery (Nayagam et al, 2014 USD)</t>
  </si>
  <si>
    <t>fac_cc</t>
  </si>
  <si>
    <t>fac_ctc</t>
  </si>
  <si>
    <t>com_cc</t>
  </si>
  <si>
    <t>com_ctc</t>
  </si>
  <si>
    <t>com_cpad</t>
  </si>
  <si>
    <t>Outreach (Nayagam et al, 2014 USD)</t>
  </si>
  <si>
    <t>Region</t>
  </si>
  <si>
    <t>c_A</t>
  </si>
  <si>
    <t>c_C</t>
  </si>
  <si>
    <t>c_CC</t>
  </si>
  <si>
    <t>c_DC</t>
  </si>
  <si>
    <t>c_HCC</t>
  </si>
  <si>
    <t>Setting</t>
  </si>
  <si>
    <t>who_choice_region</t>
  </si>
  <si>
    <t>who_region</t>
  </si>
  <si>
    <t>worldbank_region</t>
  </si>
  <si>
    <t>2017_population</t>
  </si>
  <si>
    <t>2016_birthrate</t>
  </si>
  <si>
    <t>2017_births</t>
  </si>
  <si>
    <t>birth_dose</t>
  </si>
  <si>
    <t>HBV3</t>
  </si>
  <si>
    <t>prev_lb</t>
  </si>
  <si>
    <t>prev_ub</t>
  </si>
  <si>
    <t>prev_pop</t>
  </si>
  <si>
    <t>SBA</t>
  </si>
  <si>
    <t>Facility</t>
  </si>
  <si>
    <t>SBA_nfac</t>
  </si>
  <si>
    <t>n_hbe_risk</t>
  </si>
  <si>
    <t>Description</t>
  </si>
  <si>
    <t>Symbol</t>
  </si>
  <si>
    <t>Value</t>
  </si>
  <si>
    <t>Lower bound</t>
  </si>
  <si>
    <t>Upper bound</t>
  </si>
  <si>
    <t>Population size</t>
  </si>
  <si>
    <t>P</t>
  </si>
  <si>
    <t>Years to simulate</t>
  </si>
  <si>
    <t>Tin</t>
  </si>
  <si>
    <t>weight</t>
  </si>
  <si>
    <t>discount</t>
  </si>
  <si>
    <t>DALY_A</t>
  </si>
  <si>
    <t>DALY_C</t>
  </si>
  <si>
    <t>DALY_CC</t>
  </si>
  <si>
    <t>DALY_DC</t>
  </si>
  <si>
    <t>DALY_HCC</t>
  </si>
  <si>
    <t>eff_vacC1</t>
  </si>
  <si>
    <t>eff_vacC2</t>
  </si>
  <si>
    <t>eff_vacC3</t>
  </si>
  <si>
    <t>eff_vacC4</t>
  </si>
  <si>
    <t>eff_vacC5</t>
  </si>
  <si>
    <t>r_LA</t>
  </si>
  <si>
    <t>r_AC</t>
  </si>
  <si>
    <t>p_AC</t>
  </si>
  <si>
    <t>r_AZ</t>
  </si>
  <si>
    <t>r_CZ</t>
  </si>
  <si>
    <t>r_CCC</t>
  </si>
  <si>
    <t>r_CDC</t>
  </si>
  <si>
    <t>r_DCHCC</t>
  </si>
  <si>
    <t>r_CHCC</t>
  </si>
  <si>
    <t>r_CHC</t>
  </si>
  <si>
    <t>mu_A</t>
  </si>
  <si>
    <t>mu_C</t>
  </si>
  <si>
    <t>mu_CC</t>
  </si>
  <si>
    <t>mu_DC</t>
  </si>
  <si>
    <t>mu_HCC</t>
  </si>
  <si>
    <t>All GBD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</si>
</sst>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sz val="10"/>
      <color indexed="18"/>
      <name val="MS Sans Serif"/>
      <family val="2"/>
    </font>
    <font>
      <sz val="10"/>
      <color indexed="18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4">
    <xf numFmtId="0" fontId="0" fillId="0" borderId="0" xfId="0"/>
    <xf numFmtId="0" fontId="3" fillId="0" borderId="0" xfId="0" applyNumberFormat="1" applyFont="1" applyFill="1" applyBorder="1"/>
    <xf numFmtId="0" fontId="0" fillId="0" borderId="0" xfId="0" applyBorder="1"/>
    <xf numFmtId="0" fontId="0" fillId="0" borderId="1" xfId="0" applyBorder="1"/>
    <xf numFmtId="0" fontId="3" fillId="0" borderId="1" xfId="0" applyNumberFormat="1" applyFont="1" applyFill="1" applyBorder="1"/>
    <xf numFmtId="0" fontId="0" fillId="0" borderId="0" xfId="0" applyFill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2" xfId="0" applyFont="1" applyFill="1" applyBorder="1"/>
    <xf numFmtId="0" fontId="3" fillId="3" borderId="3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3" fillId="0" borderId="3" xfId="0" applyNumberFormat="1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5" fillId="4" borderId="0" xfId="2" applyFont="1" applyFill="1"/>
    <xf numFmtId="0" fontId="6" fillId="4" borderId="0" xfId="2" applyFont="1" applyFill="1"/>
    <xf numFmtId="10" fontId="0" fillId="0" borderId="0" xfId="1" applyNumberFormat="1" applyFont="1"/>
    <xf numFmtId="10" fontId="0" fillId="3" borderId="3" xfId="1" applyNumberFormat="1" applyFont="1" applyFill="1" applyBorder="1"/>
    <xf numFmtId="0" fontId="0" fillId="3" borderId="0" xfId="1" applyNumberFormat="1" applyFont="1" applyFill="1" applyBorder="1"/>
    <xf numFmtId="164" fontId="1" fillId="3" borderId="5" xfId="1" applyNumberFormat="1" applyFont="1" applyFill="1" applyBorder="1"/>
    <xf numFmtId="0" fontId="4" fillId="0" borderId="0" xfId="2"/>
    <xf numFmtId="0" fontId="4" fillId="0" borderId="0" xfId="2" applyFill="1"/>
    <xf numFmtId="10" fontId="0" fillId="0" borderId="3" xfId="1" applyNumberFormat="1" applyFont="1" applyBorder="1"/>
    <xf numFmtId="164" fontId="1" fillId="3" borderId="3" xfId="1" applyNumberFormat="1" applyFont="1" applyFill="1" applyBorder="1"/>
    <xf numFmtId="0" fontId="7" fillId="5" borderId="7" xfId="0" applyFont="1" applyFill="1" applyBorder="1" applyAlignment="1">
      <alignment vertical="center"/>
    </xf>
    <xf numFmtId="0" fontId="7" fillId="0" borderId="0" xfId="0" applyFont="1"/>
    <xf numFmtId="0" fontId="0" fillId="0" borderId="4" xfId="0" applyBorder="1"/>
    <xf numFmtId="0" fontId="0" fillId="3" borderId="4" xfId="1" applyNumberFormat="1" applyFont="1" applyFill="1" applyBorder="1"/>
    <xf numFmtId="0" fontId="0" fillId="3" borderId="8" xfId="0" applyFont="1" applyFill="1" applyBorder="1"/>
    <xf numFmtId="10" fontId="0" fillId="3" borderId="8" xfId="1" applyNumberFormat="1" applyFont="1" applyFill="1" applyBorder="1"/>
    <xf numFmtId="0" fontId="0" fillId="0" borderId="9" xfId="0" applyBorder="1"/>
    <xf numFmtId="0" fontId="0" fillId="0" borderId="8" xfId="0" applyFont="1" applyBorder="1"/>
    <xf numFmtId="10" fontId="0" fillId="0" borderId="8" xfId="1" applyNumberFormat="1" applyFont="1" applyBorder="1"/>
    <xf numFmtId="164" fontId="1" fillId="3" borderId="8" xfId="1" applyNumberFormat="1" applyFont="1" applyFill="1" applyBorder="1"/>
    <xf numFmtId="0" fontId="7" fillId="0" borderId="10" xfId="0" applyFont="1" applyBorder="1" applyAlignment="1">
      <alignment vertical="center"/>
    </xf>
    <xf numFmtId="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3" borderId="11" xfId="0" applyFont="1" applyFill="1" applyBorder="1"/>
    <xf numFmtId="0" fontId="0" fillId="3" borderId="9" xfId="0" applyFont="1" applyFill="1" applyBorder="1"/>
    <xf numFmtId="2" fontId="0" fillId="0" borderId="0" xfId="0" applyNumberFormat="1"/>
    <xf numFmtId="0" fontId="3" fillId="3" borderId="2" xfId="0" applyNumberFormat="1" applyFont="1" applyFill="1" applyBorder="1"/>
    <xf numFmtId="0" fontId="3" fillId="0" borderId="2" xfId="0" applyNumberFormat="1" applyFont="1" applyBorder="1"/>
    <xf numFmtId="0" fontId="3" fillId="3" borderId="11" xfId="0" applyNumberFormat="1" applyFont="1" applyFill="1" applyBorder="1"/>
    <xf numFmtId="0" fontId="2" fillId="2" borderId="12" xfId="0" applyFont="1" applyFill="1" applyBorder="1"/>
    <xf numFmtId="0" fontId="2" fillId="2" borderId="5" xfId="0" applyNumberFormat="1" applyFont="1" applyFill="1" applyBorder="1"/>
    <xf numFmtId="0" fontId="8" fillId="3" borderId="11" xfId="0" applyFont="1" applyFill="1" applyBorder="1"/>
    <xf numFmtId="0" fontId="8" fillId="3" borderId="9" xfId="0" applyFont="1" applyFill="1" applyBorder="1"/>
    <xf numFmtId="0" fontId="0" fillId="0" borderId="0" xfId="0" applyNumberFormat="1" applyBorder="1"/>
    <xf numFmtId="0" fontId="0" fillId="0" borderId="0" xfId="0" applyAlignment="1">
      <alignment horizontal="center"/>
    </xf>
  </cellXfs>
  <cellStyles count="3">
    <cellStyle name="Normal" xfId="0" builtinId="0"/>
    <cellStyle name="Normal 3" xfId="2"/>
    <cellStyle name="Percent" xfId="1" builtinId="5"/>
  </cellStyles>
  <dxfs count="283"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MS Sans Serif"/>
        <scheme val="none"/>
      </font>
      <fill>
        <patternFill patternType="solid">
          <fgColor indexed="64"/>
          <bgColor indexed="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MS Sans Serif"/>
        <scheme val="none"/>
      </font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.seaman/Desktop/Mortality%20Data%20BD%20Model/Mortality%20Data_pre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bvbd_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 Data"/>
      <sheetName val="Weighted Mortality Data"/>
      <sheetName val="Sheet2"/>
      <sheetName val="Updated Costing Data"/>
      <sheetName val="Costs"/>
    </sheetNames>
    <sheetDataSet>
      <sheetData sheetId="0">
        <row r="2">
          <cell r="A2" t="str">
            <v>Afghanistan</v>
          </cell>
          <cell r="B2">
            <v>5.3946750000000002E-2</v>
          </cell>
          <cell r="C2">
            <v>4.3072895999999999E-3</v>
          </cell>
          <cell r="D2">
            <v>1.3272850999999999E-3</v>
          </cell>
          <cell r="E2">
            <v>1.043006E-3</v>
          </cell>
          <cell r="F2">
            <v>1.6842243999999999E-3</v>
          </cell>
          <cell r="G2">
            <v>2.3509482999999999E-3</v>
          </cell>
          <cell r="H2">
            <v>2.5620234000000002E-3</v>
          </cell>
          <cell r="I2">
            <v>2.9352549999999999E-3</v>
          </cell>
          <cell r="J2">
            <v>3.6406275000000002E-3</v>
          </cell>
          <cell r="K2">
            <v>4.8193397000000004E-3</v>
          </cell>
          <cell r="L2">
            <v>6.7762048000000004E-3</v>
          </cell>
          <cell r="M2">
            <v>9.9386647000000005E-3</v>
          </cell>
          <cell r="N2">
            <v>1.4819776999999999E-2</v>
          </cell>
          <cell r="O2">
            <v>2.2737640999999999E-2</v>
          </cell>
          <cell r="P2">
            <v>3.5227205999999997E-2</v>
          </cell>
          <cell r="Q2">
            <v>5.6293234999999997E-2</v>
          </cell>
          <cell r="R2">
            <v>9.0408010999999996E-2</v>
          </cell>
          <cell r="S2">
            <v>0.14440871999999999</v>
          </cell>
          <cell r="T2">
            <v>0.22282518000000001</v>
          </cell>
          <cell r="U2">
            <v>0.32327080000000002</v>
          </cell>
          <cell r="V2">
            <v>0.44475852999999999</v>
          </cell>
          <cell r="W2">
            <v>0.57823609541681997</v>
          </cell>
        </row>
        <row r="3">
          <cell r="A3" t="str">
            <v>Albania</v>
          </cell>
          <cell r="B3">
            <v>8.0922204000000008E-3</v>
          </cell>
          <cell r="C3">
            <v>8.4434150000000003E-4</v>
          </cell>
          <cell r="D3">
            <v>2.2330367000000001E-4</v>
          </cell>
          <cell r="E3">
            <v>2.6816246999999998E-4</v>
          </cell>
          <cell r="F3">
            <v>3.7209420000000002E-4</v>
          </cell>
          <cell r="G3">
            <v>4.2449776999999998E-4</v>
          </cell>
          <cell r="H3">
            <v>4.8967379000000003E-4</v>
          </cell>
          <cell r="I3">
            <v>6.3084082999999996E-4</v>
          </cell>
          <cell r="J3">
            <v>1.0338831E-3</v>
          </cell>
          <cell r="K3">
            <v>1.4005652E-3</v>
          </cell>
          <cell r="L3">
            <v>2.1814606999999999E-3</v>
          </cell>
          <cell r="M3">
            <v>3.3276030000000002E-3</v>
          </cell>
          <cell r="N3">
            <v>5.1205864E-3</v>
          </cell>
          <cell r="O3">
            <v>8.0126368000000003E-3</v>
          </cell>
          <cell r="P3">
            <v>1.3531368E-2</v>
          </cell>
          <cell r="Q3">
            <v>2.4342121000000001E-2</v>
          </cell>
          <cell r="R3">
            <v>4.6438684000000001E-2</v>
          </cell>
          <cell r="S3">
            <v>9.3340592999999999E-2</v>
          </cell>
          <cell r="T3">
            <v>0.16125123999999999</v>
          </cell>
          <cell r="U3">
            <v>0.26382001999999999</v>
          </cell>
          <cell r="V3">
            <v>0.40889719000000002</v>
          </cell>
          <cell r="W3">
            <v>0.58592945491393</v>
          </cell>
        </row>
        <row r="4">
          <cell r="A4" t="str">
            <v>Algeria</v>
          </cell>
          <cell r="B4">
            <v>2.1659504999999999E-2</v>
          </cell>
          <cell r="C4">
            <v>8.7548632999999995E-4</v>
          </cell>
          <cell r="D4">
            <v>4.4614190999999999E-4</v>
          </cell>
          <cell r="E4">
            <v>3.9632223000000001E-4</v>
          </cell>
          <cell r="F4">
            <v>5.6781373000000003E-4</v>
          </cell>
          <cell r="G4">
            <v>7.3915389000000001E-4</v>
          </cell>
          <cell r="H4">
            <v>8.7255345000000002E-4</v>
          </cell>
          <cell r="I4">
            <v>1.031119E-3</v>
          </cell>
          <cell r="J4">
            <v>1.3854932999999999E-3</v>
          </cell>
          <cell r="K4">
            <v>1.8800754000000001E-3</v>
          </cell>
          <cell r="L4">
            <v>2.7545235000000002E-3</v>
          </cell>
          <cell r="M4">
            <v>4.0843998999999997E-3</v>
          </cell>
          <cell r="N4">
            <v>6.2116617999999997E-3</v>
          </cell>
          <cell r="O4">
            <v>9.9289819999999994E-3</v>
          </cell>
          <cell r="P4">
            <v>1.5267958999999999E-2</v>
          </cell>
          <cell r="Q4">
            <v>2.5445237999999998E-2</v>
          </cell>
          <cell r="R4">
            <v>4.4917462999999998E-2</v>
          </cell>
          <cell r="S4">
            <v>8.0227533000000004E-2</v>
          </cell>
          <cell r="T4">
            <v>0.13637622999999999</v>
          </cell>
          <cell r="U4">
            <v>0.21586394</v>
          </cell>
          <cell r="V4">
            <v>0.31644028000000002</v>
          </cell>
          <cell r="W4">
            <v>0.45656238112257003</v>
          </cell>
        </row>
        <row r="5">
          <cell r="A5" t="str">
            <v>Angola</v>
          </cell>
          <cell r="B5">
            <v>6.4531059000000002E-2</v>
          </cell>
          <cell r="C5">
            <v>5.2451637000000004E-3</v>
          </cell>
          <cell r="D5">
            <v>1.9172759000000001E-3</v>
          </cell>
          <cell r="E5">
            <v>1.3961970000000001E-3</v>
          </cell>
          <cell r="F5">
            <v>2.3501540000000001E-3</v>
          </cell>
          <cell r="G5">
            <v>3.2809611999999998E-3</v>
          </cell>
          <cell r="H5">
            <v>3.6205431E-3</v>
          </cell>
          <cell r="I5">
            <v>4.1828852E-3</v>
          </cell>
          <cell r="J5">
            <v>5.2032420000000003E-3</v>
          </cell>
          <cell r="K5">
            <v>6.7017502999999999E-3</v>
          </cell>
          <cell r="L5">
            <v>9.0027179000000002E-3</v>
          </cell>
          <cell r="M5">
            <v>1.2711191E-2</v>
          </cell>
          <cell r="N5">
            <v>1.8137687999999999E-2</v>
          </cell>
          <cell r="O5">
            <v>2.7309130000000001E-2</v>
          </cell>
          <cell r="P5">
            <v>4.1340635000000001E-2</v>
          </cell>
          <cell r="Q5">
            <v>6.4313836999999999E-2</v>
          </cell>
          <cell r="R5">
            <v>9.9995339000000003E-2</v>
          </cell>
          <cell r="S5">
            <v>0.1528484</v>
          </cell>
          <cell r="T5">
            <v>0.22775861999999999</v>
          </cell>
          <cell r="U5">
            <v>0.32140297000000001</v>
          </cell>
          <cell r="V5">
            <v>0.44126733000000001</v>
          </cell>
          <cell r="W5">
            <v>0.57121585064579095</v>
          </cell>
        </row>
        <row r="6">
          <cell r="A6" t="str">
            <v>Antigua and Barbuda</v>
          </cell>
          <cell r="B6">
            <v>5.2211990000000002E-3</v>
          </cell>
          <cell r="C6">
            <v>5.1687748000000004E-4</v>
          </cell>
          <cell r="D6">
            <v>1.9165605999999999E-4</v>
          </cell>
          <cell r="E6">
            <v>2.0210063000000001E-4</v>
          </cell>
          <cell r="F6">
            <v>5.6358592000000003E-4</v>
          </cell>
          <cell r="G6">
            <v>7.5610675000000003E-4</v>
          </cell>
          <cell r="H6">
            <v>7.7174643000000004E-4</v>
          </cell>
          <cell r="I6">
            <v>9.2885506E-4</v>
          </cell>
          <cell r="J6">
            <v>1.292065E-3</v>
          </cell>
          <cell r="K6">
            <v>1.9671754E-3</v>
          </cell>
          <cell r="L6">
            <v>3.1258478E-3</v>
          </cell>
          <cell r="M6">
            <v>4.9728070999999997E-3</v>
          </cell>
          <cell r="N6">
            <v>7.7981552000000003E-3</v>
          </cell>
          <cell r="O6">
            <v>1.1995609000000001E-2</v>
          </cell>
          <cell r="P6">
            <v>1.8518706999999999E-2</v>
          </cell>
          <cell r="Q6">
            <v>3.0113496E-2</v>
          </cell>
          <cell r="R6">
            <v>5.0944387000000001E-2</v>
          </cell>
          <cell r="S6">
            <v>8.7629659999999998E-2</v>
          </cell>
          <cell r="T6">
            <v>0.14876685000000001</v>
          </cell>
          <cell r="U6">
            <v>0.23707270999999999</v>
          </cell>
          <cell r="V6">
            <v>0.34346544000000001</v>
          </cell>
          <cell r="W6">
            <v>0.46051642680515098</v>
          </cell>
        </row>
        <row r="7">
          <cell r="A7" t="str">
            <v>Argentina</v>
          </cell>
          <cell r="B7">
            <v>1.0322593E-2</v>
          </cell>
          <cell r="C7">
            <v>4.1390977999999998E-4</v>
          </cell>
          <cell r="D7">
            <v>1.8238320000000001E-4</v>
          </cell>
          <cell r="E7">
            <v>2.3878123000000001E-4</v>
          </cell>
          <cell r="F7">
            <v>7.4419885000000002E-4</v>
          </cell>
          <cell r="G7">
            <v>1.0246417E-3</v>
          </cell>
          <cell r="H7">
            <v>1.0306010999999999E-3</v>
          </cell>
          <cell r="I7">
            <v>1.1684485000000001E-3</v>
          </cell>
          <cell r="J7">
            <v>1.4152933999999999E-3</v>
          </cell>
          <cell r="K7">
            <v>1.9975904000000002E-3</v>
          </cell>
          <cell r="L7">
            <v>3.1712293999999999E-3</v>
          </cell>
          <cell r="M7">
            <v>5.1388362999999996E-3</v>
          </cell>
          <cell r="N7">
            <v>8.5199630999999998E-3</v>
          </cell>
          <cell r="O7">
            <v>1.2932203999999999E-2</v>
          </cell>
          <cell r="P7">
            <v>1.9786802999999999E-2</v>
          </cell>
          <cell r="Q7">
            <v>2.9534217000000001E-2</v>
          </cell>
          <cell r="R7">
            <v>4.6395080999999998E-2</v>
          </cell>
          <cell r="S7">
            <v>7.6765973000000001E-2</v>
          </cell>
          <cell r="T7">
            <v>0.12562364000000001</v>
          </cell>
          <cell r="U7">
            <v>0.19993209000000001</v>
          </cell>
          <cell r="V7">
            <v>0.30907124000000002</v>
          </cell>
          <cell r="W7">
            <v>0.46164040594441402</v>
          </cell>
        </row>
        <row r="8">
          <cell r="A8" t="str">
            <v>Armenia</v>
          </cell>
          <cell r="B8">
            <v>1.0875249E-2</v>
          </cell>
          <cell r="C8">
            <v>6.0602273999999998E-4</v>
          </cell>
          <cell r="D8">
            <v>1.9401853000000001E-4</v>
          </cell>
          <cell r="E8">
            <v>2.4846362E-4</v>
          </cell>
          <cell r="F8">
            <v>6.3081814999999995E-4</v>
          </cell>
          <cell r="G8">
            <v>6.1818780999999998E-4</v>
          </cell>
          <cell r="H8">
            <v>5.8468406000000001E-4</v>
          </cell>
          <cell r="I8">
            <v>7.7021220999999996E-4</v>
          </cell>
          <cell r="J8">
            <v>1.1592479000000001E-3</v>
          </cell>
          <cell r="K8">
            <v>2.1859376E-3</v>
          </cell>
          <cell r="L8">
            <v>3.6414761999999999E-3</v>
          </cell>
          <cell r="M8">
            <v>6.0217667999999999E-3</v>
          </cell>
          <cell r="N8">
            <v>9.1165529999999995E-3</v>
          </cell>
          <cell r="O8">
            <v>1.4371807E-2</v>
          </cell>
          <cell r="P8">
            <v>2.2072959E-2</v>
          </cell>
          <cell r="Q8">
            <v>3.6256084000000001E-2</v>
          </cell>
          <cell r="R8">
            <v>6.2951646999999999E-2</v>
          </cell>
          <cell r="S8">
            <v>0.10475371</v>
          </cell>
          <cell r="T8">
            <v>0.16786499999999999</v>
          </cell>
          <cell r="U8">
            <v>0.26166815999999998</v>
          </cell>
          <cell r="V8">
            <v>0.36546420000000002</v>
          </cell>
          <cell r="W8">
            <v>0.50571150574589396</v>
          </cell>
        </row>
        <row r="9">
          <cell r="A9" t="str">
            <v>Aruba</v>
          </cell>
          <cell r="B9">
            <v>1.3777945999999999E-2</v>
          </cell>
          <cell r="C9">
            <v>5.5241120999999997E-4</v>
          </cell>
          <cell r="D9">
            <v>2.6732466000000001E-4</v>
          </cell>
          <cell r="E9">
            <v>2.2482405999999999E-4</v>
          </cell>
          <cell r="F9">
            <v>4.2255157999999997E-4</v>
          </cell>
          <cell r="G9">
            <v>5.9189628000000003E-4</v>
          </cell>
          <cell r="H9">
            <v>6.2976114000000004E-4</v>
          </cell>
          <cell r="I9">
            <v>7.3414284999999998E-4</v>
          </cell>
          <cell r="J9">
            <v>9.7929805999999995E-4</v>
          </cell>
          <cell r="K9">
            <v>1.4962362E-3</v>
          </cell>
          <cell r="L9">
            <v>2.5522245999999998E-3</v>
          </cell>
          <cell r="M9">
            <v>4.2172332999999996E-3</v>
          </cell>
          <cell r="N9">
            <v>7.1310514000000004E-3</v>
          </cell>
          <cell r="O9">
            <v>1.1624109000000001E-2</v>
          </cell>
          <cell r="P9">
            <v>1.9879468000000001E-2</v>
          </cell>
          <cell r="Q9">
            <v>3.4120901000000002E-2</v>
          </cell>
          <cell r="R9">
            <v>5.7676287E-2</v>
          </cell>
          <cell r="S9">
            <v>9.8625555000000004E-2</v>
          </cell>
          <cell r="T9">
            <v>0.16238528999999999</v>
          </cell>
          <cell r="U9">
            <v>0.24857165000000001</v>
          </cell>
          <cell r="V9">
            <v>0.35486657999999999</v>
          </cell>
          <cell r="W9">
            <v>0.495887358194811</v>
          </cell>
        </row>
        <row r="10">
          <cell r="A10" t="str">
            <v>Australia</v>
          </cell>
          <cell r="B10">
            <v>3.1168365000000002E-3</v>
          </cell>
          <cell r="C10">
            <v>1.4294348000000001E-4</v>
          </cell>
          <cell r="D10">
            <v>8.3299163000000002E-5</v>
          </cell>
          <cell r="E10">
            <v>8.3777731000000001E-5</v>
          </cell>
          <cell r="F10">
            <v>2.8976281000000001E-4</v>
          </cell>
          <cell r="G10">
            <v>3.9155404000000002E-4</v>
          </cell>
          <cell r="H10">
            <v>4.5157497999999998E-4</v>
          </cell>
          <cell r="I10">
            <v>5.8675378999999996E-4</v>
          </cell>
          <cell r="J10">
            <v>7.9496682999999997E-4</v>
          </cell>
          <cell r="K10">
            <v>1.1116833999999999E-3</v>
          </cell>
          <cell r="L10">
            <v>1.6542830999999999E-3</v>
          </cell>
          <cell r="M10">
            <v>2.4738454999999999E-3</v>
          </cell>
          <cell r="N10">
            <v>3.7119170999999999E-3</v>
          </cell>
          <cell r="O10">
            <v>5.6668652999999998E-3</v>
          </cell>
          <cell r="P10">
            <v>8.9715153999999995E-3</v>
          </cell>
          <cell r="Q10">
            <v>1.5016521999999999E-2</v>
          </cell>
          <cell r="R10">
            <v>2.6243237999999999E-2</v>
          </cell>
          <cell r="S10">
            <v>4.99058E-2</v>
          </cell>
          <cell r="T10">
            <v>9.4865146999999997E-2</v>
          </cell>
          <cell r="U10">
            <v>0.17511062999999999</v>
          </cell>
          <cell r="V10">
            <v>0.29599165</v>
          </cell>
          <cell r="W10">
            <v>0.47560575288913898</v>
          </cell>
        </row>
        <row r="11">
          <cell r="A11" t="str">
            <v>Austria</v>
          </cell>
          <cell r="B11">
            <v>3.1585357999999999E-3</v>
          </cell>
          <cell r="C11">
            <v>1.4092335E-4</v>
          </cell>
          <cell r="D11">
            <v>7.1900824E-5</v>
          </cell>
          <cell r="E11">
            <v>9.2941414999999999E-5</v>
          </cell>
          <cell r="F11">
            <v>2.8308766999999999E-4</v>
          </cell>
          <cell r="G11">
            <v>3.8845980000000002E-4</v>
          </cell>
          <cell r="H11">
            <v>3.8091992999999999E-4</v>
          </cell>
          <cell r="I11">
            <v>4.9647923000000003E-4</v>
          </cell>
          <cell r="J11">
            <v>7.0080309999999999E-4</v>
          </cell>
          <cell r="K11">
            <v>1.0803893000000001E-3</v>
          </cell>
          <cell r="L11">
            <v>1.7555854E-3</v>
          </cell>
          <cell r="M11">
            <v>2.9482026999999998E-3</v>
          </cell>
          <cell r="N11">
            <v>5.1088262000000004E-3</v>
          </cell>
          <cell r="O11">
            <v>8.2924429000000004E-3</v>
          </cell>
          <cell r="P11">
            <v>1.3303014E-2</v>
          </cell>
          <cell r="Q11">
            <v>1.9609551999999999E-2</v>
          </cell>
          <cell r="R11">
            <v>3.0759934999999999E-2</v>
          </cell>
          <cell r="S11">
            <v>5.8040525000000003E-2</v>
          </cell>
          <cell r="T11">
            <v>0.11295821</v>
          </cell>
          <cell r="U11">
            <v>0.20523643</v>
          </cell>
          <cell r="V11">
            <v>0.34228392000000002</v>
          </cell>
          <cell r="W11">
            <v>0.52622716174118001</v>
          </cell>
        </row>
        <row r="12">
          <cell r="A12" t="str">
            <v>Azerbaijan</v>
          </cell>
          <cell r="B12">
            <v>2.1199749E-2</v>
          </cell>
          <cell r="C12">
            <v>1.1263363E-3</v>
          </cell>
          <cell r="D12">
            <v>3.8352024E-4</v>
          </cell>
          <cell r="E12">
            <v>3.2779069000000001E-4</v>
          </cell>
          <cell r="F12">
            <v>6.7210206000000003E-4</v>
          </cell>
          <cell r="G12">
            <v>8.3594362000000003E-4</v>
          </cell>
          <cell r="H12">
            <v>8.4207751000000002E-4</v>
          </cell>
          <cell r="I12">
            <v>1.0102522E-3</v>
          </cell>
          <cell r="J12">
            <v>1.4160430999999999E-3</v>
          </cell>
          <cell r="K12">
            <v>2.1447404000000002E-3</v>
          </cell>
          <cell r="L12">
            <v>3.4919490999999999E-3</v>
          </cell>
          <cell r="M12">
            <v>5.7081539000000004E-3</v>
          </cell>
          <cell r="N12">
            <v>9.3298307999999993E-3</v>
          </cell>
          <cell r="O12">
            <v>1.5432393000000001E-2</v>
          </cell>
          <cell r="P12">
            <v>2.5527603999999999E-2</v>
          </cell>
          <cell r="Q12">
            <v>4.2851643000000002E-2</v>
          </cell>
          <cell r="R12">
            <v>7.2515651E-2</v>
          </cell>
          <cell r="S12">
            <v>0.11925278</v>
          </cell>
          <cell r="T12">
            <v>0.19011253</v>
          </cell>
          <cell r="U12">
            <v>0.28295354</v>
          </cell>
          <cell r="V12">
            <v>0.38343492000000001</v>
          </cell>
          <cell r="W12">
            <v>0.51834965555924595</v>
          </cell>
        </row>
        <row r="13">
          <cell r="A13" t="str">
            <v>Bahamas</v>
          </cell>
          <cell r="B13">
            <v>5.9014931999999999E-3</v>
          </cell>
          <cell r="C13">
            <v>3.3146498E-4</v>
          </cell>
          <cell r="D13">
            <v>2.8541766000000001E-4</v>
          </cell>
          <cell r="E13">
            <v>3.2047815000000001E-4</v>
          </cell>
          <cell r="F13">
            <v>9.4402294999999998E-4</v>
          </cell>
          <cell r="G13">
            <v>1.3760510999999999E-3</v>
          </cell>
          <cell r="H13">
            <v>1.4857736999999999E-3</v>
          </cell>
          <cell r="I13">
            <v>1.7659946000000001E-3</v>
          </cell>
          <cell r="J13">
            <v>2.3345749000000002E-3</v>
          </cell>
          <cell r="K13">
            <v>3.3275429E-3</v>
          </cell>
          <cell r="L13">
            <v>4.8749355000000001E-3</v>
          </cell>
          <cell r="M13">
            <v>7.1985957000000001E-3</v>
          </cell>
          <cell r="N13">
            <v>1.0437551E-2</v>
          </cell>
          <cell r="O13">
            <v>1.5627645999999999E-2</v>
          </cell>
          <cell r="P13">
            <v>2.3557233E-2</v>
          </cell>
          <cell r="Q13">
            <v>3.6516760000000002E-2</v>
          </cell>
          <cell r="R13">
            <v>5.8425639000000001E-2</v>
          </cell>
          <cell r="S13">
            <v>9.7319722999999997E-2</v>
          </cell>
          <cell r="T13">
            <v>0.16162154000000001</v>
          </cell>
          <cell r="U13">
            <v>0.25714262999999998</v>
          </cell>
          <cell r="V13">
            <v>0.38549820000000001</v>
          </cell>
          <cell r="W13">
            <v>0.53979227174006605</v>
          </cell>
        </row>
        <row r="14">
          <cell r="A14" t="str">
            <v>Bahrain</v>
          </cell>
          <cell r="B14">
            <v>5.9573313000000003E-3</v>
          </cell>
          <cell r="C14">
            <v>4.1705639999999999E-4</v>
          </cell>
          <cell r="D14">
            <v>1.8959477E-4</v>
          </cell>
          <cell r="E14">
            <v>1.7063376E-4</v>
          </cell>
          <cell r="F14">
            <v>4.0767456E-4</v>
          </cell>
          <cell r="G14">
            <v>5.1060430999999996E-4</v>
          </cell>
          <cell r="H14">
            <v>5.0177434000000002E-4</v>
          </cell>
          <cell r="I14">
            <v>5.8834423000000003E-4</v>
          </cell>
          <cell r="J14">
            <v>7.0266035000000004E-4</v>
          </cell>
          <cell r="K14">
            <v>1.056066E-3</v>
          </cell>
          <cell r="L14">
            <v>1.6606265000000001E-3</v>
          </cell>
          <cell r="M14">
            <v>2.6860878E-3</v>
          </cell>
          <cell r="N14">
            <v>5.7750494999999997E-3</v>
          </cell>
          <cell r="O14">
            <v>1.1337244E-2</v>
          </cell>
          <cell r="P14">
            <v>2.0982132000000001E-2</v>
          </cell>
          <cell r="Q14">
            <v>3.6393970999999997E-2</v>
          </cell>
          <cell r="R14">
            <v>6.3547267000000004E-2</v>
          </cell>
          <cell r="S14">
            <v>0.10533360999999999</v>
          </cell>
          <cell r="T14">
            <v>0.16577965</v>
          </cell>
          <cell r="U14">
            <v>0.24436367000000001</v>
          </cell>
          <cell r="V14">
            <v>0.34512827000000001</v>
          </cell>
          <cell r="W14">
            <v>0.48283742308701599</v>
          </cell>
        </row>
        <row r="15">
          <cell r="A15" t="str">
            <v>Bangladesh</v>
          </cell>
          <cell r="B15">
            <v>2.7496488999999999E-2</v>
          </cell>
          <cell r="C15">
            <v>1.4323857E-3</v>
          </cell>
          <cell r="D15">
            <v>7.4961978999999997E-4</v>
          </cell>
          <cell r="E15">
            <v>6.3698292999999999E-4</v>
          </cell>
          <cell r="F15">
            <v>1.0150504999999999E-3</v>
          </cell>
          <cell r="G15">
            <v>1.0420929E-3</v>
          </cell>
          <cell r="H15">
            <v>9.9861869000000001E-4</v>
          </cell>
          <cell r="I15">
            <v>1.2499077E-3</v>
          </cell>
          <cell r="J15">
            <v>1.7017181999999999E-3</v>
          </cell>
          <cell r="K15">
            <v>2.5044161999999998E-3</v>
          </cell>
          <cell r="L15">
            <v>3.9139939E-3</v>
          </cell>
          <cell r="M15">
            <v>6.4627964E-3</v>
          </cell>
          <cell r="N15">
            <v>1.0261556999999999E-2</v>
          </cell>
          <cell r="O15">
            <v>1.7326417E-2</v>
          </cell>
          <cell r="P15">
            <v>2.5594777999999999E-2</v>
          </cell>
          <cell r="Q15">
            <v>4.3215523999999998E-2</v>
          </cell>
          <cell r="R15">
            <v>6.0913914E-2</v>
          </cell>
          <cell r="S15">
            <v>9.4367913999999997E-2</v>
          </cell>
          <cell r="T15">
            <v>0.1370556</v>
          </cell>
          <cell r="U15">
            <v>0.19052445000000001</v>
          </cell>
          <cell r="V15">
            <v>0.23876800000000001</v>
          </cell>
          <cell r="W15">
            <v>0.30788080653194999</v>
          </cell>
        </row>
        <row r="16">
          <cell r="A16" t="str">
            <v>Barbados</v>
          </cell>
          <cell r="B16">
            <v>1.0131510999999999E-2</v>
          </cell>
          <cell r="C16">
            <v>5.2060531E-4</v>
          </cell>
          <cell r="D16">
            <v>2.532085E-4</v>
          </cell>
          <cell r="E16">
            <v>2.4650969999999998E-4</v>
          </cell>
          <cell r="F16">
            <v>6.0094059999999999E-4</v>
          </cell>
          <cell r="G16">
            <v>7.7618596000000005E-4</v>
          </cell>
          <cell r="H16">
            <v>7.9944247999999996E-4</v>
          </cell>
          <cell r="I16">
            <v>9.6448979999999996E-4</v>
          </cell>
          <cell r="J16">
            <v>1.3455276E-3</v>
          </cell>
          <cell r="K16">
            <v>2.0411155999999998E-3</v>
          </cell>
          <cell r="L16">
            <v>3.2842002999999998E-3</v>
          </cell>
          <cell r="M16">
            <v>5.2788725999999998E-3</v>
          </cell>
          <cell r="N16">
            <v>8.4438315999999999E-3</v>
          </cell>
          <cell r="O16">
            <v>1.0436361999999999E-2</v>
          </cell>
          <cell r="P16">
            <v>1.2926719E-2</v>
          </cell>
          <cell r="Q16">
            <v>1.8939767E-2</v>
          </cell>
          <cell r="R16">
            <v>3.3724068000000003E-2</v>
          </cell>
          <cell r="S16">
            <v>5.8509717000000003E-2</v>
          </cell>
          <cell r="T16">
            <v>9.8440263E-2</v>
          </cell>
          <cell r="U16">
            <v>0.15475480999999999</v>
          </cell>
          <cell r="V16">
            <v>0.22769528</v>
          </cell>
          <cell r="W16">
            <v>0.322915133156154</v>
          </cell>
        </row>
        <row r="17">
          <cell r="A17" t="str">
            <v>Belarus</v>
          </cell>
          <cell r="B17">
            <v>2.9742570000000001E-3</v>
          </cell>
          <cell r="C17">
            <v>2.1824527999999999E-4</v>
          </cell>
          <cell r="D17">
            <v>1.3874520999999999E-4</v>
          </cell>
          <cell r="E17">
            <v>1.3172581000000001E-4</v>
          </cell>
          <cell r="F17">
            <v>3.5196734000000001E-4</v>
          </cell>
          <cell r="G17">
            <v>5.9955608000000001E-4</v>
          </cell>
          <cell r="H17">
            <v>8.7638316999999997E-4</v>
          </cell>
          <cell r="I17">
            <v>1.4378284000000001E-3</v>
          </cell>
          <cell r="J17">
            <v>2.3068186000000002E-3</v>
          </cell>
          <cell r="K17">
            <v>3.3415919E-3</v>
          </cell>
          <cell r="L17">
            <v>5.0345516999999998E-3</v>
          </cell>
          <cell r="M17">
            <v>7.4313358000000001E-3</v>
          </cell>
          <cell r="N17">
            <v>1.1150152E-2</v>
          </cell>
          <cell r="O17">
            <v>1.7102638E-2</v>
          </cell>
          <cell r="P17">
            <v>2.4527950999999999E-2</v>
          </cell>
          <cell r="Q17">
            <v>3.6169323000000003E-2</v>
          </cell>
          <cell r="R17">
            <v>5.7294831999999997E-2</v>
          </cell>
          <cell r="S17">
            <v>9.5849866000000006E-2</v>
          </cell>
          <cell r="T17">
            <v>0.15385720999999999</v>
          </cell>
          <cell r="U17">
            <v>0.24604038</v>
          </cell>
          <cell r="V17">
            <v>0.36641779000000002</v>
          </cell>
          <cell r="W17">
            <v>0.51844115941692404</v>
          </cell>
        </row>
        <row r="18">
          <cell r="A18" t="str">
            <v>Belgium</v>
          </cell>
          <cell r="B18">
            <v>2.8369774999999998E-3</v>
          </cell>
          <cell r="C18">
            <v>1.6567040000000001E-4</v>
          </cell>
          <cell r="D18">
            <v>7.5137403999999994E-5</v>
          </cell>
          <cell r="E18">
            <v>9.0520886000000004E-5</v>
          </cell>
          <cell r="F18">
            <v>2.5196844999999997E-4</v>
          </cell>
          <cell r="G18">
            <v>4.0372355000000001E-4</v>
          </cell>
          <cell r="H18">
            <v>4.8180280999999999E-4</v>
          </cell>
          <cell r="I18">
            <v>5.6476572E-4</v>
          </cell>
          <cell r="J18">
            <v>8.1105106E-4</v>
          </cell>
          <cell r="K18">
            <v>1.2453009000000001E-3</v>
          </cell>
          <cell r="L18">
            <v>2.0035026000000001E-3</v>
          </cell>
          <cell r="M18">
            <v>3.3925688000000002E-3</v>
          </cell>
          <cell r="N18">
            <v>5.5387212999999996E-3</v>
          </cell>
          <cell r="O18">
            <v>8.2788507999999993E-3</v>
          </cell>
          <cell r="P18">
            <v>1.2159619E-2</v>
          </cell>
          <cell r="Q18">
            <v>1.8484947000000002E-2</v>
          </cell>
          <cell r="R18">
            <v>3.0485172000000001E-2</v>
          </cell>
          <cell r="S18">
            <v>5.7089718999999997E-2</v>
          </cell>
          <cell r="T18">
            <v>0.10989771</v>
          </cell>
          <cell r="U18">
            <v>0.19403412</v>
          </cell>
          <cell r="V18">
            <v>0.32050336000000001</v>
          </cell>
          <cell r="W18">
            <v>0.48619791094371201</v>
          </cell>
        </row>
        <row r="19">
          <cell r="A19" t="str">
            <v>Belize</v>
          </cell>
          <cell r="B19">
            <v>1.2968353E-2</v>
          </cell>
          <cell r="C19">
            <v>5.2907631999999998E-4</v>
          </cell>
          <cell r="D19">
            <v>3.0456378000000002E-4</v>
          </cell>
          <cell r="E19">
            <v>3.3034733000000002E-4</v>
          </cell>
          <cell r="F19">
            <v>9.9552341999999995E-4</v>
          </cell>
          <cell r="G19">
            <v>1.5640909000000001E-3</v>
          </cell>
          <cell r="H19">
            <v>2.3416280000000001E-3</v>
          </cell>
          <cell r="I19">
            <v>2.7700735999999998E-3</v>
          </cell>
          <cell r="J19">
            <v>2.8873458999999998E-3</v>
          </cell>
          <cell r="K19">
            <v>3.5451492000000001E-3</v>
          </cell>
          <cell r="L19">
            <v>4.9011022000000001E-3</v>
          </cell>
          <cell r="M19">
            <v>6.8295341000000004E-3</v>
          </cell>
          <cell r="N19">
            <v>1.0849226E-2</v>
          </cell>
          <cell r="O19">
            <v>1.4579675E-2</v>
          </cell>
          <cell r="P19">
            <v>1.9938518999999998E-2</v>
          </cell>
          <cell r="Q19">
            <v>2.8359951000000001E-2</v>
          </cell>
          <cell r="R19">
            <v>4.2616586999999997E-2</v>
          </cell>
          <cell r="S19">
            <v>7.2001094000000002E-2</v>
          </cell>
          <cell r="T19">
            <v>0.10914001</v>
          </cell>
          <cell r="U19">
            <v>0.15359703999999999</v>
          </cell>
          <cell r="V19">
            <v>0.26705579000000002</v>
          </cell>
          <cell r="W19">
            <v>0.413991145391786</v>
          </cell>
        </row>
        <row r="20">
          <cell r="A20" t="str">
            <v>Benin</v>
          </cell>
          <cell r="B20">
            <v>6.4210196999999997E-2</v>
          </cell>
          <cell r="C20">
            <v>9.4132555000000003E-3</v>
          </cell>
          <cell r="D20">
            <v>3.1206441000000001E-3</v>
          </cell>
          <cell r="E20">
            <v>1.8410379000000001E-3</v>
          </cell>
          <cell r="F20">
            <v>2.4778029000000002E-3</v>
          </cell>
          <cell r="G20">
            <v>3.3614639000000002E-3</v>
          </cell>
          <cell r="H20">
            <v>3.698705E-3</v>
          </cell>
          <cell r="I20">
            <v>4.0851113000000003E-3</v>
          </cell>
          <cell r="J20">
            <v>4.6605876999999997E-3</v>
          </cell>
          <cell r="K20">
            <v>5.7745046E-3</v>
          </cell>
          <cell r="L20">
            <v>7.0352686000000001E-3</v>
          </cell>
          <cell r="M20">
            <v>9.8449268000000006E-3</v>
          </cell>
          <cell r="N20">
            <v>1.3270379000000001E-2</v>
          </cell>
          <cell r="O20">
            <v>2.0265406999999999E-2</v>
          </cell>
          <cell r="P20">
            <v>3.1703303000000002E-2</v>
          </cell>
          <cell r="Q20">
            <v>5.0788672E-2</v>
          </cell>
          <cell r="R20">
            <v>8.1372317999999999E-2</v>
          </cell>
          <cell r="S20">
            <v>0.13044120000000001</v>
          </cell>
          <cell r="T20">
            <v>0.20114161999999999</v>
          </cell>
          <cell r="U20">
            <v>0.29528442999999999</v>
          </cell>
          <cell r="V20">
            <v>0.40665932999999999</v>
          </cell>
          <cell r="W20">
            <v>0.54217247970445104</v>
          </cell>
        </row>
        <row r="21">
          <cell r="A21" t="str">
            <v>Bhutan</v>
          </cell>
          <cell r="B21">
            <v>2.4592960000000001E-2</v>
          </cell>
          <cell r="C21">
            <v>1.4221768999999999E-3</v>
          </cell>
          <cell r="D21">
            <v>7.7513961000000005E-4</v>
          </cell>
          <cell r="E21">
            <v>6.2795587999999998E-4</v>
          </cell>
          <cell r="F21">
            <v>8.5001065000000001E-4</v>
          </cell>
          <cell r="G21">
            <v>1.3859578E-3</v>
          </cell>
          <cell r="H21">
            <v>2.0088519000000002E-3</v>
          </cell>
          <cell r="I21">
            <v>2.9179764999999998E-3</v>
          </cell>
          <cell r="J21">
            <v>3.9776804999999997E-3</v>
          </cell>
          <cell r="K21">
            <v>5.2167923999999997E-3</v>
          </cell>
          <cell r="L21">
            <v>6.7983495000000001E-3</v>
          </cell>
          <cell r="M21">
            <v>8.9858491000000002E-3</v>
          </cell>
          <cell r="N21">
            <v>1.2264648E-2</v>
          </cell>
          <cell r="O21">
            <v>1.6624712E-2</v>
          </cell>
          <cell r="P21">
            <v>2.3639731000000001E-2</v>
          </cell>
          <cell r="Q21">
            <v>3.4283037000000002E-2</v>
          </cell>
          <cell r="R21">
            <v>5.0834553999999997E-2</v>
          </cell>
          <cell r="S21">
            <v>7.5994737000000007E-2</v>
          </cell>
          <cell r="T21">
            <v>0.10746435999999999</v>
          </cell>
          <cell r="U21">
            <v>0.15106344999999999</v>
          </cell>
          <cell r="V21">
            <v>0.2052021</v>
          </cell>
          <cell r="W21">
            <v>0.28146805858251001</v>
          </cell>
        </row>
        <row r="22">
          <cell r="A22" t="str">
            <v>Bolivia (Plurinational State of)</v>
          </cell>
          <cell r="B22">
            <v>3.0494327000000002E-2</v>
          </cell>
          <cell r="C22">
            <v>4.9574212999999997E-3</v>
          </cell>
          <cell r="D22">
            <v>1.3715053E-3</v>
          </cell>
          <cell r="E22">
            <v>8.0304199000000005E-4</v>
          </cell>
          <cell r="F22">
            <v>1.5961051E-3</v>
          </cell>
          <cell r="G22">
            <v>2.2286659000000002E-3</v>
          </cell>
          <cell r="H22">
            <v>2.3948724999999999E-3</v>
          </cell>
          <cell r="I22">
            <v>2.7196274999999998E-3</v>
          </cell>
          <cell r="J22">
            <v>3.4333978999999998E-3</v>
          </cell>
          <cell r="K22">
            <v>4.0616999999999997E-3</v>
          </cell>
          <cell r="L22">
            <v>5.5174385999999997E-3</v>
          </cell>
          <cell r="M22">
            <v>7.4974181000000001E-3</v>
          </cell>
          <cell r="N22">
            <v>1.0604571E-2</v>
          </cell>
          <cell r="O22">
            <v>1.5851634999999999E-2</v>
          </cell>
          <cell r="P22">
            <v>2.1262792999999999E-2</v>
          </cell>
          <cell r="Q22">
            <v>2.8003045000000001E-2</v>
          </cell>
          <cell r="R22">
            <v>4.1498825000000003E-2</v>
          </cell>
          <cell r="S22">
            <v>6.1500072000000003E-2</v>
          </cell>
          <cell r="T22">
            <v>9.2607406000000003E-2</v>
          </cell>
          <cell r="U22">
            <v>0.13594039999999999</v>
          </cell>
          <cell r="V22">
            <v>0.18903618999999999</v>
          </cell>
          <cell r="W22">
            <v>0.27503186725487899</v>
          </cell>
        </row>
        <row r="23">
          <cell r="A23" t="str">
            <v>Bosnia and Herzegovina</v>
          </cell>
          <cell r="B23">
            <v>6.0402325000000002E-3</v>
          </cell>
          <cell r="C23">
            <v>1.939159E-4</v>
          </cell>
          <cell r="D23">
            <v>7.8832053999999994E-5</v>
          </cell>
          <cell r="E23">
            <v>1.4240849E-4</v>
          </cell>
          <cell r="F23">
            <v>2.3229245000000001E-4</v>
          </cell>
          <cell r="G23">
            <v>3.5424140000000001E-4</v>
          </cell>
          <cell r="H23">
            <v>4.1942398999999999E-4</v>
          </cell>
          <cell r="I23">
            <v>6.3370710999999995E-4</v>
          </cell>
          <cell r="J23">
            <v>8.7284910000000001E-4</v>
          </cell>
          <cell r="K23">
            <v>1.4318649E-3</v>
          </cell>
          <cell r="L23">
            <v>2.5983379999999999E-3</v>
          </cell>
          <cell r="M23">
            <v>4.6078689000000001E-3</v>
          </cell>
          <cell r="N23">
            <v>7.4053047000000004E-3</v>
          </cell>
          <cell r="O23">
            <v>1.2136341E-2</v>
          </cell>
          <cell r="P23">
            <v>1.9539249000000002E-2</v>
          </cell>
          <cell r="Q23">
            <v>3.3116898999999998E-2</v>
          </cell>
          <cell r="R23">
            <v>5.7350312000000001E-2</v>
          </cell>
          <cell r="S23">
            <v>9.3549371000000006E-2</v>
          </cell>
          <cell r="T23">
            <v>0.15065823</v>
          </cell>
          <cell r="U23">
            <v>0.23397577999999999</v>
          </cell>
          <cell r="V23">
            <v>0.34715161999999999</v>
          </cell>
          <cell r="W23">
            <v>0.49513735506339301</v>
          </cell>
        </row>
        <row r="24">
          <cell r="A24" t="str">
            <v>Botswana</v>
          </cell>
          <cell r="B24">
            <v>3.0969974000000001E-2</v>
          </cell>
          <cell r="C24">
            <v>2.0257418E-3</v>
          </cell>
          <cell r="D24">
            <v>5.2266919000000002E-4</v>
          </cell>
          <cell r="E24">
            <v>4.3886921000000002E-4</v>
          </cell>
          <cell r="F24">
            <v>7.8645829999999996E-4</v>
          </cell>
          <cell r="G24">
            <v>1.3873525000000001E-3</v>
          </cell>
          <cell r="H24">
            <v>2.2136392E-3</v>
          </cell>
          <cell r="I24">
            <v>3.1615366000000002E-3</v>
          </cell>
          <cell r="J24">
            <v>4.5662232000000004E-3</v>
          </cell>
          <cell r="K24">
            <v>5.7044540000000003E-3</v>
          </cell>
          <cell r="L24">
            <v>7.1301801999999999E-3</v>
          </cell>
          <cell r="M24">
            <v>9.1612900000000008E-3</v>
          </cell>
          <cell r="N24">
            <v>1.1507106E-2</v>
          </cell>
          <cell r="O24">
            <v>1.6252664999999999E-2</v>
          </cell>
          <cell r="P24">
            <v>2.4879605999999999E-2</v>
          </cell>
          <cell r="Q24">
            <v>3.9367595999999998E-2</v>
          </cell>
          <cell r="R24">
            <v>6.3412958000000005E-2</v>
          </cell>
          <cell r="S24">
            <v>0.10884399</v>
          </cell>
          <cell r="T24">
            <v>0.18914632000000001</v>
          </cell>
          <cell r="U24">
            <v>0.32036890000000001</v>
          </cell>
          <cell r="V24">
            <v>0.46481059000000002</v>
          </cell>
          <cell r="W24">
            <v>0.61810920271268299</v>
          </cell>
        </row>
        <row r="25">
          <cell r="A25" t="str">
            <v>Brazil</v>
          </cell>
          <cell r="B25">
            <v>1.3174124000000001E-2</v>
          </cell>
          <cell r="C25">
            <v>5.6625385000000003E-4</v>
          </cell>
          <cell r="D25">
            <v>2.2618363E-4</v>
          </cell>
          <cell r="E25">
            <v>3.1079000999999998E-4</v>
          </cell>
          <cell r="F25">
            <v>1.0859554999999999E-3</v>
          </cell>
          <cell r="G25">
            <v>1.6530842E-3</v>
          </cell>
          <cell r="H25">
            <v>1.580098E-3</v>
          </cell>
          <cell r="I25">
            <v>1.8233072E-3</v>
          </cell>
          <cell r="J25">
            <v>2.3055901000000002E-3</v>
          </cell>
          <cell r="K25">
            <v>2.9700159999999998E-3</v>
          </cell>
          <cell r="L25">
            <v>4.2972098999999996E-3</v>
          </cell>
          <cell r="M25">
            <v>6.1532295999999998E-3</v>
          </cell>
          <cell r="N25">
            <v>8.7493740000000007E-3</v>
          </cell>
          <cell r="O25">
            <v>1.3155154E-2</v>
          </cell>
          <cell r="P25">
            <v>1.9786016999999999E-2</v>
          </cell>
          <cell r="Q25">
            <v>2.87052E-2</v>
          </cell>
          <cell r="R25">
            <v>4.4504811999999998E-2</v>
          </cell>
          <cell r="S25">
            <v>6.8069609000000003E-2</v>
          </cell>
          <cell r="T25">
            <v>0.10192384</v>
          </cell>
          <cell r="U25">
            <v>0.14772637</v>
          </cell>
          <cell r="V25">
            <v>0.22369322</v>
          </cell>
          <cell r="W25">
            <v>0.33541437830207099</v>
          </cell>
        </row>
        <row r="26">
          <cell r="A26" t="str">
            <v>Brunei Darussalam</v>
          </cell>
          <cell r="B26">
            <v>7.9813894000000003E-3</v>
          </cell>
          <cell r="C26">
            <v>5.5642045999999997E-4</v>
          </cell>
          <cell r="D26">
            <v>2.5801767000000001E-4</v>
          </cell>
          <cell r="E26">
            <v>2.6256339000000001E-4</v>
          </cell>
          <cell r="F26">
            <v>6.8349336000000005E-4</v>
          </cell>
          <cell r="G26">
            <v>9.2284585000000001E-4</v>
          </cell>
          <cell r="H26">
            <v>9.6530369999999995E-4</v>
          </cell>
          <cell r="I26">
            <v>1.1602692000000001E-3</v>
          </cell>
          <cell r="J26">
            <v>1.5894685999999999E-3</v>
          </cell>
          <cell r="K26">
            <v>2.3598737E-3</v>
          </cell>
          <cell r="L26">
            <v>3.6963764000000001E-3</v>
          </cell>
          <cell r="M26">
            <v>5.8351428999999996E-3</v>
          </cell>
          <cell r="N26">
            <v>9.1694237000000001E-3</v>
          </cell>
          <cell r="O26">
            <v>1.3415229000000001E-2</v>
          </cell>
          <cell r="P26">
            <v>1.9717057E-2</v>
          </cell>
          <cell r="Q26">
            <v>3.1190349999999999E-2</v>
          </cell>
          <cell r="R26">
            <v>5.2602265000000002E-2</v>
          </cell>
          <cell r="S26">
            <v>8.8949765E-2</v>
          </cell>
          <cell r="T26">
            <v>0.14740863000000001</v>
          </cell>
          <cell r="U26">
            <v>0.22871542</v>
          </cell>
          <cell r="V26">
            <v>0.32938182999999999</v>
          </cell>
          <cell r="W26">
            <v>0.44290649592798398</v>
          </cell>
        </row>
        <row r="27">
          <cell r="A27" t="str">
            <v>Bulgaria</v>
          </cell>
          <cell r="B27">
            <v>6.3243541000000004E-3</v>
          </cell>
          <cell r="C27">
            <v>2.9440324000000001E-4</v>
          </cell>
          <cell r="D27">
            <v>1.4204616000000001E-4</v>
          </cell>
          <cell r="E27">
            <v>1.6843173000000001E-4</v>
          </cell>
          <cell r="F27">
            <v>4.4165676000000001E-4</v>
          </cell>
          <cell r="G27">
            <v>5.8318457000000005E-4</v>
          </cell>
          <cell r="H27">
            <v>6.8126362E-4</v>
          </cell>
          <cell r="I27">
            <v>9.7934057000000009E-4</v>
          </cell>
          <cell r="J27">
            <v>1.4567264999999999E-3</v>
          </cell>
          <cell r="K27">
            <v>2.4462739E-3</v>
          </cell>
          <cell r="L27">
            <v>4.3520086000000003E-3</v>
          </cell>
          <cell r="M27">
            <v>7.1978516000000001E-3</v>
          </cell>
          <cell r="N27">
            <v>1.1178314999999999E-2</v>
          </cell>
          <cell r="O27">
            <v>1.6307233000000001E-2</v>
          </cell>
          <cell r="P27">
            <v>2.3210957000000001E-2</v>
          </cell>
          <cell r="Q27">
            <v>3.3853842000000002E-2</v>
          </cell>
          <cell r="R27">
            <v>5.4165828999999999E-2</v>
          </cell>
          <cell r="S27">
            <v>9.5032077000000006E-2</v>
          </cell>
          <cell r="T27">
            <v>0.19775761</v>
          </cell>
          <cell r="U27">
            <v>0.26826402999999999</v>
          </cell>
          <cell r="V27">
            <v>0.40889629999999999</v>
          </cell>
          <cell r="W27">
            <v>0.57599287059064497</v>
          </cell>
        </row>
        <row r="28">
          <cell r="A28" t="str">
            <v>Burkina Faso</v>
          </cell>
          <cell r="B28">
            <v>5.6670724999999998E-2</v>
          </cell>
          <cell r="C28">
            <v>7.9561192000000003E-3</v>
          </cell>
          <cell r="D28">
            <v>2.7283332E-3</v>
          </cell>
          <cell r="E28">
            <v>1.6175550999999999E-3</v>
          </cell>
          <cell r="F28">
            <v>2.4707928000000001E-3</v>
          </cell>
          <cell r="G28">
            <v>3.4695579000000002E-3</v>
          </cell>
          <cell r="H28">
            <v>3.7178478000000001E-3</v>
          </cell>
          <cell r="I28">
            <v>4.1098323000000004E-3</v>
          </cell>
          <cell r="J28">
            <v>4.7204261999999999E-3</v>
          </cell>
          <cell r="K28">
            <v>5.8167082000000004E-3</v>
          </cell>
          <cell r="L28">
            <v>7.3107266999999998E-3</v>
          </cell>
          <cell r="M28">
            <v>1.032632E-2</v>
          </cell>
          <cell r="N28">
            <v>1.4825661E-2</v>
          </cell>
          <cell r="O28">
            <v>2.3500014E-2</v>
          </cell>
          <cell r="P28">
            <v>3.7373742000000001E-2</v>
          </cell>
          <cell r="Q28">
            <v>6.3455684999999998E-2</v>
          </cell>
          <cell r="R28">
            <v>0.10738005</v>
          </cell>
          <cell r="S28">
            <v>0.17871722000000001</v>
          </cell>
          <cell r="T28">
            <v>0.27899512999999998</v>
          </cell>
          <cell r="U28">
            <v>0.40755004</v>
          </cell>
          <cell r="V28">
            <v>0.57030132</v>
          </cell>
          <cell r="W28">
            <v>1.66790233210941</v>
          </cell>
        </row>
        <row r="29">
          <cell r="A29" t="str">
            <v>Burundi</v>
          </cell>
          <cell r="B29">
            <v>4.4002563000000001E-2</v>
          </cell>
          <cell r="C29">
            <v>5.3087176000000003E-3</v>
          </cell>
          <cell r="D29">
            <v>4.0470102000000003E-3</v>
          </cell>
          <cell r="E29">
            <v>2.5153480000000001E-3</v>
          </cell>
          <cell r="F29">
            <v>2.9648805000000002E-3</v>
          </cell>
          <cell r="G29">
            <v>3.8812193000000001E-3</v>
          </cell>
          <cell r="H29">
            <v>4.6557055000000002E-3</v>
          </cell>
          <cell r="I29">
            <v>5.7472584999999996E-3</v>
          </cell>
          <cell r="J29">
            <v>7.2310190999999996E-3</v>
          </cell>
          <cell r="K29">
            <v>8.0515967000000001E-3</v>
          </cell>
          <cell r="L29">
            <v>8.7783598999999993E-3</v>
          </cell>
          <cell r="M29">
            <v>1.1128275E-2</v>
          </cell>
          <cell r="N29">
            <v>1.4698086000000001E-2</v>
          </cell>
          <cell r="O29">
            <v>2.2093853E-2</v>
          </cell>
          <cell r="P29">
            <v>3.4283919000000003E-2</v>
          </cell>
          <cell r="Q29">
            <v>5.4538338999999998E-2</v>
          </cell>
          <cell r="R29">
            <v>8.6333403000000003E-2</v>
          </cell>
          <cell r="S29">
            <v>0.13705558000000001</v>
          </cell>
          <cell r="T29">
            <v>0.20986234000000001</v>
          </cell>
          <cell r="U29">
            <v>0.30324363999999998</v>
          </cell>
          <cell r="V29">
            <v>0.41067430999999999</v>
          </cell>
          <cell r="W29">
            <v>0.54752398702587202</v>
          </cell>
        </row>
        <row r="30">
          <cell r="A30" t="str">
            <v>Cabo Verde</v>
          </cell>
          <cell r="B30">
            <v>1.7153295999999998E-2</v>
          </cell>
          <cell r="C30">
            <v>8.8542310000000002E-4</v>
          </cell>
          <cell r="D30">
            <v>3.6051565E-4</v>
          </cell>
          <cell r="E30">
            <v>3.1768729999999998E-4</v>
          </cell>
          <cell r="F30">
            <v>7.1992015999999999E-4</v>
          </cell>
          <cell r="G30">
            <v>9.896588999999999E-4</v>
          </cell>
          <cell r="H30">
            <v>1.0576461E-3</v>
          </cell>
          <cell r="I30">
            <v>1.2855958999999999E-3</v>
          </cell>
          <cell r="J30">
            <v>1.7741284E-3</v>
          </cell>
          <cell r="K30">
            <v>2.6482204999999999E-3</v>
          </cell>
          <cell r="L30">
            <v>4.1680455999999998E-3</v>
          </cell>
          <cell r="M30">
            <v>6.4743044999999999E-3</v>
          </cell>
          <cell r="N30">
            <v>1.0062336999999999E-2</v>
          </cell>
          <cell r="O30">
            <v>1.5953370000000001E-2</v>
          </cell>
          <cell r="P30">
            <v>2.5262908000000001E-2</v>
          </cell>
          <cell r="Q30">
            <v>4.0841272999999997E-2</v>
          </cell>
          <cell r="R30">
            <v>6.9481919000000003E-2</v>
          </cell>
          <cell r="S30">
            <v>0.11467402</v>
          </cell>
          <cell r="T30">
            <v>0.18286848</v>
          </cell>
          <cell r="U30">
            <v>0.27716899</v>
          </cell>
          <cell r="V30">
            <v>0.39896030999999998</v>
          </cell>
          <cell r="W30">
            <v>0.53980107142955502</v>
          </cell>
        </row>
        <row r="31">
          <cell r="A31" t="str">
            <v>Cambodia</v>
          </cell>
          <cell r="B31">
            <v>2.4319762000000002E-2</v>
          </cell>
          <cell r="C31">
            <v>9.7637856999999997E-4</v>
          </cell>
          <cell r="D31">
            <v>1.6780438E-3</v>
          </cell>
          <cell r="E31">
            <v>1.1981278000000001E-3</v>
          </cell>
          <cell r="F31">
            <v>1.1123853999999999E-3</v>
          </cell>
          <cell r="G31">
            <v>1.3413406000000001E-3</v>
          </cell>
          <cell r="H31">
            <v>1.8355927000000001E-3</v>
          </cell>
          <cell r="I31">
            <v>2.4157819E-3</v>
          </cell>
          <cell r="J31">
            <v>3.1896906E-3</v>
          </cell>
          <cell r="K31">
            <v>4.1072347000000002E-3</v>
          </cell>
          <cell r="L31">
            <v>5.1784513000000003E-3</v>
          </cell>
          <cell r="M31">
            <v>6.7657211999999998E-3</v>
          </cell>
          <cell r="N31">
            <v>1.0511642E-2</v>
          </cell>
          <cell r="O31">
            <v>1.8682247999999999E-2</v>
          </cell>
          <cell r="P31">
            <v>2.9901993000000002E-2</v>
          </cell>
          <cell r="Q31">
            <v>4.9674155999999997E-2</v>
          </cell>
          <cell r="R31">
            <v>8.1369705000000001E-2</v>
          </cell>
          <cell r="S31">
            <v>0.12744142</v>
          </cell>
          <cell r="T31">
            <v>0.19472696</v>
          </cell>
          <cell r="U31">
            <v>0.27745112999999999</v>
          </cell>
          <cell r="V31">
            <v>0.39649795999999998</v>
          </cell>
          <cell r="W31">
            <v>0.55717427062823499</v>
          </cell>
        </row>
        <row r="32">
          <cell r="A32" t="str">
            <v>Cameroon</v>
          </cell>
          <cell r="B32">
            <v>6.4242095999999999E-2</v>
          </cell>
          <cell r="C32">
            <v>7.3532815999999999E-3</v>
          </cell>
          <cell r="D32">
            <v>2.6449342999999999E-3</v>
          </cell>
          <cell r="E32">
            <v>1.8005351000000001E-3</v>
          </cell>
          <cell r="F32">
            <v>2.6918248000000001E-3</v>
          </cell>
          <cell r="G32">
            <v>3.8768697E-3</v>
          </cell>
          <cell r="H32">
            <v>4.6089835000000003E-3</v>
          </cell>
          <cell r="I32">
            <v>5.4273736999999999E-3</v>
          </cell>
          <cell r="J32">
            <v>6.5892141E-3</v>
          </cell>
          <cell r="K32">
            <v>8.0836545000000006E-3</v>
          </cell>
          <cell r="L32">
            <v>9.8513491999999998E-3</v>
          </cell>
          <cell r="M32">
            <v>1.3402542999999999E-2</v>
          </cell>
          <cell r="N32">
            <v>1.7645335000000002E-2</v>
          </cell>
          <cell r="O32">
            <v>2.6172866999999999E-2</v>
          </cell>
          <cell r="P32">
            <v>4.0446996999999998E-2</v>
          </cell>
          <cell r="Q32">
            <v>6.4528401999999999E-2</v>
          </cell>
          <cell r="R32">
            <v>0.10423283999999999</v>
          </cell>
          <cell r="S32">
            <v>0.17337254999999999</v>
          </cell>
          <cell r="T32">
            <v>0.28651747</v>
          </cell>
          <cell r="U32">
            <v>0.46769831000000001</v>
          </cell>
          <cell r="V32">
            <v>0.65858433000000005</v>
          </cell>
          <cell r="W32">
            <v>0.85562705270277595</v>
          </cell>
        </row>
        <row r="33">
          <cell r="A33" t="str">
            <v>Canada</v>
          </cell>
          <cell r="B33">
            <v>4.5241101999999997E-3</v>
          </cell>
          <cell r="C33">
            <v>1.4654294999999999E-4</v>
          </cell>
          <cell r="D33">
            <v>7.2281039000000001E-5</v>
          </cell>
          <cell r="E33">
            <v>9.2925029999999998E-5</v>
          </cell>
          <cell r="F33">
            <v>3.3328817999999998E-4</v>
          </cell>
          <cell r="G33">
            <v>4.8424706000000002E-4</v>
          </cell>
          <cell r="H33">
            <v>4.7022843999999997E-4</v>
          </cell>
          <cell r="I33">
            <v>5.3239729999999999E-4</v>
          </cell>
          <cell r="J33">
            <v>7.2417518000000001E-4</v>
          </cell>
          <cell r="K33">
            <v>1.1345585000000001E-3</v>
          </cell>
          <cell r="L33">
            <v>1.8465853999999999E-3</v>
          </cell>
          <cell r="M33">
            <v>2.9317653999999999E-3</v>
          </cell>
          <cell r="N33">
            <v>4.4123158000000003E-3</v>
          </cell>
          <cell r="O33">
            <v>6.8379579000000003E-3</v>
          </cell>
          <cell r="P33">
            <v>1.0879435999999999E-2</v>
          </cell>
          <cell r="Q33">
            <v>1.7635811000000001E-2</v>
          </cell>
          <cell r="R33">
            <v>2.9511611E-2</v>
          </cell>
          <cell r="S33">
            <v>5.1513185000000003E-2</v>
          </cell>
          <cell r="T33">
            <v>9.6878600999999995E-2</v>
          </cell>
          <cell r="U33">
            <v>0.17391725</v>
          </cell>
          <cell r="V33">
            <v>0.28843994000000001</v>
          </cell>
          <cell r="W33">
            <v>0.45307684713427299</v>
          </cell>
        </row>
        <row r="34">
          <cell r="A34" t="str">
            <v>Central African Republic</v>
          </cell>
          <cell r="B34">
            <v>8.7004168000000007E-2</v>
          </cell>
          <cell r="C34">
            <v>1.1195604E-2</v>
          </cell>
          <cell r="D34">
            <v>3.2221620000000002E-3</v>
          </cell>
          <cell r="E34">
            <v>2.3010999999999999E-3</v>
          </cell>
          <cell r="F34">
            <v>3.3202861E-3</v>
          </cell>
          <cell r="G34">
            <v>5.0793015000000002E-3</v>
          </cell>
          <cell r="H34">
            <v>6.9574537000000004E-3</v>
          </cell>
          <cell r="I34">
            <v>8.8594712999999995E-3</v>
          </cell>
          <cell r="J34">
            <v>1.1369631999999999E-2</v>
          </cell>
          <cell r="K34">
            <v>1.3362771000000001E-2</v>
          </cell>
          <cell r="L34">
            <v>1.555637E-2</v>
          </cell>
          <cell r="M34">
            <v>1.9153309E-2</v>
          </cell>
          <cell r="N34">
            <v>2.3582585999999999E-2</v>
          </cell>
          <cell r="O34">
            <v>3.2107477000000002E-2</v>
          </cell>
          <cell r="P34">
            <v>4.6187907E-2</v>
          </cell>
          <cell r="Q34">
            <v>6.9666721000000001E-2</v>
          </cell>
          <cell r="R34">
            <v>0.10685268000000001</v>
          </cell>
          <cell r="S34">
            <v>0.17202190000000001</v>
          </cell>
          <cell r="T34">
            <v>0.27642119999999998</v>
          </cell>
          <cell r="U34">
            <v>0.42791174999999998</v>
          </cell>
          <cell r="V34">
            <v>0.57533449999999997</v>
          </cell>
          <cell r="W34">
            <v>0.71848113088929999</v>
          </cell>
        </row>
        <row r="35">
          <cell r="A35" t="str">
            <v>Chad</v>
          </cell>
          <cell r="B35">
            <v>7.8845524E-2</v>
          </cell>
          <cell r="C35">
            <v>1.3541741E-2</v>
          </cell>
          <cell r="D35">
            <v>5.2404499000000002E-3</v>
          </cell>
          <cell r="E35">
            <v>3.3849482000000001E-3</v>
          </cell>
          <cell r="F35">
            <v>3.8957267000000002E-3</v>
          </cell>
          <cell r="G35">
            <v>5.1617490000000002E-3</v>
          </cell>
          <cell r="H35">
            <v>6.8051606000000004E-3</v>
          </cell>
          <cell r="I35">
            <v>8.6497177999999997E-3</v>
          </cell>
          <cell r="J35">
            <v>1.0686173E-2</v>
          </cell>
          <cell r="K35">
            <v>1.1395986E-2</v>
          </cell>
          <cell r="L35">
            <v>1.1902159000000001E-2</v>
          </cell>
          <cell r="M35">
            <v>1.3347754E-2</v>
          </cell>
          <cell r="N35">
            <v>1.7018721000000001E-2</v>
          </cell>
          <cell r="O35">
            <v>2.4789708000000001E-2</v>
          </cell>
          <cell r="P35">
            <v>3.7823844000000002E-2</v>
          </cell>
          <cell r="Q35">
            <v>5.9696424999999997E-2</v>
          </cell>
          <cell r="R35">
            <v>9.3474618999999995E-2</v>
          </cell>
          <cell r="S35">
            <v>0.14668134999999999</v>
          </cell>
          <cell r="T35">
            <v>0.22213627</v>
          </cell>
          <cell r="U35">
            <v>0.31837542000000002</v>
          </cell>
          <cell r="V35">
            <v>0.42636942</v>
          </cell>
          <cell r="W35">
            <v>0.55807869132779198</v>
          </cell>
        </row>
        <row r="36">
          <cell r="A36" t="str">
            <v>Channel Islands</v>
          </cell>
          <cell r="B36">
            <v>6.1564400999999996E-3</v>
          </cell>
          <cell r="C36">
            <v>2.4862081999999999E-4</v>
          </cell>
          <cell r="D36">
            <v>1.1826586E-4</v>
          </cell>
          <cell r="E36">
            <v>9.7351369E-5</v>
          </cell>
          <cell r="F36">
            <v>1.8090078000000001E-4</v>
          </cell>
          <cell r="G36">
            <v>2.5345644999999998E-4</v>
          </cell>
          <cell r="H36">
            <v>2.6861978999999999E-4</v>
          </cell>
          <cell r="I36">
            <v>3.1395879000000002E-4</v>
          </cell>
          <cell r="J36">
            <v>4.2281361000000002E-4</v>
          </cell>
          <cell r="K36">
            <v>6.4944801000000002E-4</v>
          </cell>
          <cell r="L36">
            <v>1.1273527000000001E-3</v>
          </cell>
          <cell r="M36">
            <v>1.8934137000000001E-3</v>
          </cell>
          <cell r="N36">
            <v>3.300281E-3</v>
          </cell>
          <cell r="O36">
            <v>5.4872026000000003E-3</v>
          </cell>
          <cell r="P36">
            <v>9.9453505000000001E-3</v>
          </cell>
          <cell r="Q36">
            <v>1.801007E-2</v>
          </cell>
          <cell r="R36">
            <v>3.2270583999999998E-2</v>
          </cell>
          <cell r="S36">
            <v>5.8250365999999998E-2</v>
          </cell>
          <cell r="T36">
            <v>0.10084935</v>
          </cell>
          <cell r="U36">
            <v>0.16225665</v>
          </cell>
          <cell r="V36">
            <v>0.24372257999999999</v>
          </cell>
          <cell r="W36">
            <v>0.376681302869811</v>
          </cell>
        </row>
        <row r="37">
          <cell r="A37" t="str">
            <v>Chile</v>
          </cell>
          <cell r="B37">
            <v>6.7594743000000002E-3</v>
          </cell>
          <cell r="C37">
            <v>2.5527094999999999E-4</v>
          </cell>
          <cell r="D37">
            <v>1.3642600000000001E-4</v>
          </cell>
          <cell r="E37">
            <v>1.8179393E-4</v>
          </cell>
          <cell r="F37">
            <v>4.4268178999999999E-4</v>
          </cell>
          <cell r="G37">
            <v>6.3342765E-4</v>
          </cell>
          <cell r="H37">
            <v>7.2811830000000003E-4</v>
          </cell>
          <cell r="I37">
            <v>8.9680703E-4</v>
          </cell>
          <cell r="J37">
            <v>1.1853782E-3</v>
          </cell>
          <cell r="K37">
            <v>1.7036703999999999E-3</v>
          </cell>
          <cell r="L37">
            <v>2.5274565000000001E-3</v>
          </cell>
          <cell r="M37">
            <v>3.8212141999999999E-3</v>
          </cell>
          <cell r="N37">
            <v>5.7278585000000003E-3</v>
          </cell>
          <cell r="O37">
            <v>8.9113006999999994E-3</v>
          </cell>
          <cell r="P37">
            <v>1.4327942E-2</v>
          </cell>
          <cell r="Q37">
            <v>2.254888E-2</v>
          </cell>
          <cell r="R37">
            <v>3.6500393999999999E-2</v>
          </cell>
          <cell r="S37">
            <v>6.1300278E-2</v>
          </cell>
          <cell r="T37">
            <v>0.10040207</v>
          </cell>
          <cell r="U37">
            <v>0.15414125000000001</v>
          </cell>
          <cell r="V37">
            <v>0.22950420999999999</v>
          </cell>
          <cell r="W37">
            <v>0.32896101381047399</v>
          </cell>
        </row>
        <row r="38">
          <cell r="A38" t="str">
            <v>China</v>
          </cell>
          <cell r="B38">
            <v>9.9850605000000002E-3</v>
          </cell>
          <cell r="C38">
            <v>4.1390468999999999E-4</v>
          </cell>
          <cell r="D38">
            <v>3.1216753000000002E-4</v>
          </cell>
          <cell r="E38">
            <v>2.3295459000000001E-4</v>
          </cell>
          <cell r="F38">
            <v>3.3865475000000001E-4</v>
          </cell>
          <cell r="G38">
            <v>4.7566581999999998E-4</v>
          </cell>
          <cell r="H38">
            <v>6.3656341000000003E-4</v>
          </cell>
          <cell r="I38">
            <v>8.0538109000000005E-4</v>
          </cell>
          <cell r="J38">
            <v>1.0207529000000001E-3</v>
          </cell>
          <cell r="K38">
            <v>1.4465109999999999E-3</v>
          </cell>
          <cell r="L38">
            <v>2.1278301999999999E-3</v>
          </cell>
          <cell r="M38">
            <v>3.5410851999999999E-3</v>
          </cell>
          <cell r="N38">
            <v>5.9628336999999997E-3</v>
          </cell>
          <cell r="O38">
            <v>1.1234760999999999E-2</v>
          </cell>
          <cell r="P38">
            <v>2.0345727000000001E-2</v>
          </cell>
          <cell r="Q38">
            <v>3.7246385999999999E-2</v>
          </cell>
          <cell r="R38">
            <v>6.2741248999999999E-2</v>
          </cell>
          <cell r="S38">
            <v>9.6177229000000003E-2</v>
          </cell>
          <cell r="T38">
            <v>0.14942684000000001</v>
          </cell>
          <cell r="U38">
            <v>0.21278585</v>
          </cell>
          <cell r="V38">
            <v>0.28747664000000001</v>
          </cell>
          <cell r="W38">
            <v>0.34920817395763298</v>
          </cell>
        </row>
        <row r="39">
          <cell r="A39" t="str">
            <v>China, Hong Kong SAR</v>
          </cell>
          <cell r="B39">
            <v>1.3232812E-3</v>
          </cell>
          <cell r="C39">
            <v>1.9586939E-4</v>
          </cell>
          <cell r="D39">
            <v>8.0668100999999997E-5</v>
          </cell>
          <cell r="E39">
            <v>8.0446236000000001E-5</v>
          </cell>
          <cell r="F39">
            <v>1.4117761000000001E-4</v>
          </cell>
          <cell r="G39">
            <v>2.1509903E-4</v>
          </cell>
          <cell r="H39">
            <v>2.6988989000000001E-4</v>
          </cell>
          <cell r="I39">
            <v>3.7000355000000001E-4</v>
          </cell>
          <cell r="J39">
            <v>5.6367126999999997E-4</v>
          </cell>
          <cell r="K39">
            <v>8.5741821000000001E-4</v>
          </cell>
          <cell r="L39">
            <v>1.3801856999999999E-3</v>
          </cell>
          <cell r="M39">
            <v>2.2265358999999998E-3</v>
          </cell>
          <cell r="N39">
            <v>3.5551485999999999E-3</v>
          </cell>
          <cell r="O39">
            <v>5.5844665999999999E-3</v>
          </cell>
          <cell r="P39">
            <v>8.8618872999999994E-3</v>
          </cell>
          <cell r="Q39">
            <v>1.4744771E-2</v>
          </cell>
          <cell r="R39">
            <v>2.6031519999999999E-2</v>
          </cell>
          <cell r="S39">
            <v>4.6162281999999999E-2</v>
          </cell>
          <cell r="T39">
            <v>7.7675597999999998E-2</v>
          </cell>
          <cell r="U39">
            <v>0.12699561000000001</v>
          </cell>
          <cell r="V39">
            <v>0.20346608999999999</v>
          </cell>
          <cell r="W39">
            <v>0.34258142158340399</v>
          </cell>
        </row>
        <row r="40">
          <cell r="A40" t="str">
            <v>China, Macao SAR</v>
          </cell>
          <cell r="B40">
            <v>2.6270537000000001E-3</v>
          </cell>
          <cell r="C40">
            <v>2.2749449000000001E-4</v>
          </cell>
          <cell r="D40">
            <v>6.0619021999999997E-5</v>
          </cell>
          <cell r="E40">
            <v>6.0682388999999997E-5</v>
          </cell>
          <cell r="F40">
            <v>1.4170854999999999E-4</v>
          </cell>
          <cell r="G40">
            <v>2.7575119999999998E-4</v>
          </cell>
          <cell r="H40">
            <v>3.2969040000000002E-4</v>
          </cell>
          <cell r="I40">
            <v>3.8697345999999999E-4</v>
          </cell>
          <cell r="J40">
            <v>5.4499078E-4</v>
          </cell>
          <cell r="K40">
            <v>7.3836862999999997E-4</v>
          </cell>
          <cell r="L40">
            <v>1.1721238E-3</v>
          </cell>
          <cell r="M40">
            <v>1.8288533E-3</v>
          </cell>
          <cell r="N40">
            <v>2.9158565999999999E-3</v>
          </cell>
          <cell r="O40">
            <v>4.8549874999999996E-3</v>
          </cell>
          <cell r="P40">
            <v>8.3016906999999994E-3</v>
          </cell>
          <cell r="Q40">
            <v>1.5134752E-2</v>
          </cell>
          <cell r="R40">
            <v>2.7374170999999999E-2</v>
          </cell>
          <cell r="S40">
            <v>5.2395913000000002E-2</v>
          </cell>
          <cell r="T40">
            <v>9.1078245000000002E-2</v>
          </cell>
          <cell r="U40">
            <v>0.15905424000000001</v>
          </cell>
          <cell r="V40">
            <v>0.26038503000000002</v>
          </cell>
          <cell r="W40">
            <v>0.37911983841609198</v>
          </cell>
        </row>
        <row r="41">
          <cell r="A41" t="str">
            <v>China, Taiwan Province of China</v>
          </cell>
          <cell r="B41">
            <v>3.7258792000000002E-3</v>
          </cell>
          <cell r="C41">
            <v>2.3545436000000001E-4</v>
          </cell>
          <cell r="D41">
            <v>1.2155902999999999E-4</v>
          </cell>
          <cell r="E41">
            <v>1.2096982E-4</v>
          </cell>
          <cell r="F41">
            <v>3.4203603999999999E-4</v>
          </cell>
          <cell r="G41">
            <v>4.8540029000000001E-4</v>
          </cell>
          <cell r="H41">
            <v>6.6141536999999998E-4</v>
          </cell>
          <cell r="I41">
            <v>9.5709967999999999E-4</v>
          </cell>
          <cell r="J41">
            <v>1.4347159999999999E-3</v>
          </cell>
          <cell r="K41">
            <v>2.1454258000000001E-3</v>
          </cell>
          <cell r="L41">
            <v>2.9644745000000001E-3</v>
          </cell>
          <cell r="M41">
            <v>4.0954689000000004E-3</v>
          </cell>
          <cell r="N41">
            <v>5.7838971999999997E-3</v>
          </cell>
          <cell r="O41">
            <v>8.7519672000000003E-3</v>
          </cell>
          <cell r="P41">
            <v>1.3439621000000001E-2</v>
          </cell>
          <cell r="Q41">
            <v>2.2020575000000001E-2</v>
          </cell>
          <cell r="R41">
            <v>3.5334773E-2</v>
          </cell>
          <cell r="S41">
            <v>5.8801025E-2</v>
          </cell>
          <cell r="T41">
            <v>9.9375856999999998E-2</v>
          </cell>
          <cell r="U41">
            <v>0.16427602999999999</v>
          </cell>
          <cell r="V41">
            <v>0.25023335000000002</v>
          </cell>
          <cell r="W41">
            <v>0.39966453757374198</v>
          </cell>
        </row>
        <row r="42">
          <cell r="A42" t="str">
            <v>Colombia</v>
          </cell>
          <cell r="B42">
            <v>1.2785493E-2</v>
          </cell>
          <cell r="C42">
            <v>5.3936098E-4</v>
          </cell>
          <cell r="D42">
            <v>4.008921E-4</v>
          </cell>
          <cell r="E42">
            <v>3.6882031999999998E-4</v>
          </cell>
          <cell r="F42">
            <v>9.3739728000000004E-4</v>
          </cell>
          <cell r="G42">
            <v>1.8070988999999999E-3</v>
          </cell>
          <cell r="H42">
            <v>1.8729634E-3</v>
          </cell>
          <cell r="I42">
            <v>1.8339127000000001E-3</v>
          </cell>
          <cell r="J42">
            <v>1.9983100000000001E-3</v>
          </cell>
          <cell r="K42">
            <v>2.2652130999999999E-3</v>
          </cell>
          <cell r="L42">
            <v>2.8655663E-3</v>
          </cell>
          <cell r="M42">
            <v>4.4212883000000003E-3</v>
          </cell>
          <cell r="N42">
            <v>6.6336084999999998E-3</v>
          </cell>
          <cell r="O42">
            <v>1.0335904999999999E-2</v>
          </cell>
          <cell r="P42">
            <v>1.6189671999999999E-2</v>
          </cell>
          <cell r="Q42">
            <v>2.5265101000000002E-2</v>
          </cell>
          <cell r="R42">
            <v>3.9165576000000001E-2</v>
          </cell>
          <cell r="S42">
            <v>6.4808826E-2</v>
          </cell>
          <cell r="T42">
            <v>0.11303216000000001</v>
          </cell>
          <cell r="U42">
            <v>0.14274771999999999</v>
          </cell>
          <cell r="V42">
            <v>0.27227117000000001</v>
          </cell>
          <cell r="W42">
            <v>0.44060019792642102</v>
          </cell>
        </row>
        <row r="43">
          <cell r="A43" t="str">
            <v>Comoros</v>
          </cell>
          <cell r="B43">
            <v>5.5472803000000001E-2</v>
          </cell>
          <cell r="C43">
            <v>4.5249037999999997E-3</v>
          </cell>
          <cell r="D43">
            <v>1.3732338E-3</v>
          </cell>
          <cell r="E43">
            <v>1.0760004000000001E-3</v>
          </cell>
          <cell r="F43">
            <v>1.7285523000000001E-3</v>
          </cell>
          <cell r="G43">
            <v>2.4113734000000002E-3</v>
          </cell>
          <cell r="H43">
            <v>2.6308909000000002E-3</v>
          </cell>
          <cell r="I43">
            <v>3.0158539000000001E-3</v>
          </cell>
          <cell r="J43">
            <v>3.7312254E-3</v>
          </cell>
          <cell r="K43">
            <v>4.916536E-3</v>
          </cell>
          <cell r="L43">
            <v>6.8745287000000002E-3</v>
          </cell>
          <cell r="M43">
            <v>1.0043217E-2</v>
          </cell>
          <cell r="N43">
            <v>1.4911493E-2</v>
          </cell>
          <cell r="O43">
            <v>2.2855558000000002E-2</v>
          </cell>
          <cell r="P43">
            <v>3.5487851000000001E-2</v>
          </cell>
          <cell r="Q43">
            <v>5.6609964999999998E-2</v>
          </cell>
          <cell r="R43">
            <v>9.0532574000000005E-2</v>
          </cell>
          <cell r="S43">
            <v>0.14442558999999999</v>
          </cell>
          <cell r="T43">
            <v>0.2223145</v>
          </cell>
          <cell r="U43">
            <v>0.32199623999999999</v>
          </cell>
          <cell r="V43">
            <v>0.44115535</v>
          </cell>
          <cell r="W43">
            <v>0.57405554802586001</v>
          </cell>
        </row>
        <row r="44">
          <cell r="A44" t="str">
            <v>Congo</v>
          </cell>
          <cell r="B44">
            <v>3.6400307999999999E-2</v>
          </cell>
          <cell r="C44">
            <v>3.1970289000000001E-3</v>
          </cell>
          <cell r="D44">
            <v>1.3498167E-3</v>
          </cell>
          <cell r="E44">
            <v>9.9636261999999989E-4</v>
          </cell>
          <cell r="F44">
            <v>1.6271776E-3</v>
          </cell>
          <cell r="G44">
            <v>2.5752536000000002E-3</v>
          </cell>
          <cell r="H44">
            <v>3.46861E-3</v>
          </cell>
          <cell r="I44">
            <v>4.4201850000000001E-3</v>
          </cell>
          <cell r="J44">
            <v>5.7552265999999998E-3</v>
          </cell>
          <cell r="K44">
            <v>7.1137529E-3</v>
          </cell>
          <cell r="L44">
            <v>8.7795714999999996E-3</v>
          </cell>
          <cell r="M44">
            <v>1.177661E-2</v>
          </cell>
          <cell r="N44">
            <v>1.5364276E-2</v>
          </cell>
          <cell r="O44">
            <v>2.2439132000000001E-2</v>
          </cell>
          <cell r="P44">
            <v>3.4486338999999998E-2</v>
          </cell>
          <cell r="Q44">
            <v>5.4999026999999999E-2</v>
          </cell>
          <cell r="R44">
            <v>8.9638259999999997E-2</v>
          </cell>
          <cell r="S44">
            <v>0.15262118</v>
          </cell>
          <cell r="T44">
            <v>0.26018616999999999</v>
          </cell>
          <cell r="U44">
            <v>0.43492473999999998</v>
          </cell>
          <cell r="V44">
            <v>0.62217226000000003</v>
          </cell>
          <cell r="W44">
            <v>0.81784264396749895</v>
          </cell>
        </row>
        <row r="45">
          <cell r="A45" t="str">
            <v>Costa Rica</v>
          </cell>
          <cell r="B45">
            <v>7.3683300999999998E-3</v>
          </cell>
          <cell r="C45">
            <v>4.6194063000000002E-4</v>
          </cell>
          <cell r="D45">
            <v>1.8927972000000001E-4</v>
          </cell>
          <cell r="E45">
            <v>2.5247391999999998E-4</v>
          </cell>
          <cell r="F45">
            <v>5.2234079999999999E-4</v>
          </cell>
          <cell r="G45">
            <v>7.9235701E-4</v>
          </cell>
          <cell r="H45">
            <v>9.2155706000000002E-4</v>
          </cell>
          <cell r="I45">
            <v>1.0885433000000001E-3</v>
          </cell>
          <cell r="J45">
            <v>1.3362409999999999E-3</v>
          </cell>
          <cell r="K45">
            <v>1.7556926999999999E-3</v>
          </cell>
          <cell r="L45">
            <v>2.4831569000000001E-3</v>
          </cell>
          <cell r="M45">
            <v>3.6503285000000002E-3</v>
          </cell>
          <cell r="N45">
            <v>5.5623338999999999E-3</v>
          </cell>
          <cell r="O45">
            <v>8.6270466000000004E-3</v>
          </cell>
          <cell r="P45">
            <v>1.3664987E-2</v>
          </cell>
          <cell r="Q45">
            <v>2.1521433E-2</v>
          </cell>
          <cell r="R45">
            <v>3.5180303000000003E-2</v>
          </cell>
          <cell r="S45">
            <v>5.7461654000000001E-2</v>
          </cell>
          <cell r="T45">
            <v>9.2488011999999994E-2</v>
          </cell>
          <cell r="U45">
            <v>0.14816710999999999</v>
          </cell>
          <cell r="V45">
            <v>0.23691423</v>
          </cell>
          <cell r="W45">
            <v>0.40364048194350599</v>
          </cell>
        </row>
        <row r="46">
          <cell r="A46" t="str">
            <v>Côte d'Ivoire</v>
          </cell>
          <cell r="B46">
            <v>6.3442469000000001E-2</v>
          </cell>
          <cell r="C46">
            <v>7.2161496999999996E-3</v>
          </cell>
          <cell r="D46">
            <v>2.6004626000000002E-3</v>
          </cell>
          <cell r="E46">
            <v>1.8686052E-3</v>
          </cell>
          <cell r="F46">
            <v>2.7896828000000002E-3</v>
          </cell>
          <cell r="G46">
            <v>4.138409E-3</v>
          </cell>
          <cell r="H46">
            <v>5.2952583000000003E-3</v>
          </cell>
          <cell r="I46">
            <v>6.5138143000000003E-3</v>
          </cell>
          <cell r="J46">
            <v>8.1986248999999997E-3</v>
          </cell>
          <cell r="K46">
            <v>9.9879718000000003E-3</v>
          </cell>
          <cell r="L46">
            <v>1.2074784999999999E-2</v>
          </cell>
          <cell r="M46">
            <v>1.5900786E-2</v>
          </cell>
          <cell r="N46">
            <v>2.0506931999999999E-2</v>
          </cell>
          <cell r="O46">
            <v>2.9480809E-2</v>
          </cell>
          <cell r="P46">
            <v>4.4344512000000003E-2</v>
          </cell>
          <cell r="Q46">
            <v>6.8991328000000005E-2</v>
          </cell>
          <cell r="R46">
            <v>0.10887131999999999</v>
          </cell>
          <cell r="S46">
            <v>0.17797034</v>
          </cell>
          <cell r="T46">
            <v>0.28991855999999999</v>
          </cell>
          <cell r="U46">
            <v>0.46328878000000001</v>
          </cell>
          <cell r="V46">
            <v>0.64214249000000001</v>
          </cell>
          <cell r="W46">
            <v>0.82399187478092095</v>
          </cell>
        </row>
        <row r="47">
          <cell r="A47" t="str">
            <v>Croatia</v>
          </cell>
          <cell r="B47">
            <v>4.0161412E-3</v>
          </cell>
          <cell r="C47">
            <v>1.4330265E-4</v>
          </cell>
          <cell r="D47">
            <v>1.0723179E-4</v>
          </cell>
          <cell r="E47">
            <v>1.0403948E-4</v>
          </cell>
          <cell r="F47">
            <v>2.7470750000000002E-4</v>
          </cell>
          <cell r="G47">
            <v>3.8393569000000002E-4</v>
          </cell>
          <cell r="H47">
            <v>4.1859602E-4</v>
          </cell>
          <cell r="I47">
            <v>5.7301366999999996E-4</v>
          </cell>
          <cell r="J47">
            <v>8.4208899000000001E-4</v>
          </cell>
          <cell r="K47">
            <v>1.3649933E-3</v>
          </cell>
          <cell r="L47">
            <v>2.4229836999999999E-3</v>
          </cell>
          <cell r="M47">
            <v>4.2683049000000004E-3</v>
          </cell>
          <cell r="N47">
            <v>7.2365362000000001E-3</v>
          </cell>
          <cell r="O47">
            <v>1.1681278999999999E-2</v>
          </cell>
          <cell r="P47">
            <v>1.7803639E-2</v>
          </cell>
          <cell r="Q47">
            <v>2.6229314E-2</v>
          </cell>
          <cell r="R47">
            <v>4.7585236000000003E-2</v>
          </cell>
          <cell r="S47">
            <v>8.5270174000000004E-2</v>
          </cell>
          <cell r="T47">
            <v>0.14611083999999999</v>
          </cell>
          <cell r="U47">
            <v>0.25198943000000001</v>
          </cell>
          <cell r="V47">
            <v>0.39285374000000001</v>
          </cell>
          <cell r="W47">
            <v>0.563987704391259</v>
          </cell>
        </row>
        <row r="48">
          <cell r="A48" t="str">
            <v>Cuba</v>
          </cell>
          <cell r="B48">
            <v>4.5049812E-3</v>
          </cell>
          <cell r="C48">
            <v>2.7304378000000002E-4</v>
          </cell>
          <cell r="D48">
            <v>1.6064985E-4</v>
          </cell>
          <cell r="E48">
            <v>2.0428868E-4</v>
          </cell>
          <cell r="F48">
            <v>4.2898228999999999E-4</v>
          </cell>
          <cell r="G48">
            <v>5.7461003999999998E-4</v>
          </cell>
          <cell r="H48">
            <v>6.3547788000000002E-4</v>
          </cell>
          <cell r="I48">
            <v>7.9191380000000005E-4</v>
          </cell>
          <cell r="J48">
            <v>1.0711741999999999E-3</v>
          </cell>
          <cell r="K48">
            <v>1.7047059E-3</v>
          </cell>
          <cell r="L48">
            <v>2.8505647000000001E-3</v>
          </cell>
          <cell r="M48">
            <v>4.6109742000000004E-3</v>
          </cell>
          <cell r="N48">
            <v>7.1513586999999998E-3</v>
          </cell>
          <cell r="O48">
            <v>1.1442577000000001E-2</v>
          </cell>
          <cell r="P48">
            <v>1.7716830999999999E-2</v>
          </cell>
          <cell r="Q48">
            <v>2.6343841999999999E-2</v>
          </cell>
          <cell r="R48">
            <v>4.1256978E-2</v>
          </cell>
          <cell r="S48">
            <v>7.0872725999999997E-2</v>
          </cell>
          <cell r="T48">
            <v>0.1096176</v>
          </cell>
          <cell r="U48">
            <v>0.16384815</v>
          </cell>
          <cell r="V48">
            <v>0.23731598000000001</v>
          </cell>
          <cell r="W48">
            <v>0.46083565172069102</v>
          </cell>
        </row>
        <row r="49">
          <cell r="A49" t="str">
            <v>Curaçao</v>
          </cell>
          <cell r="B49">
            <v>9.1200507999999996E-3</v>
          </cell>
          <cell r="C49">
            <v>4.3198002000000002E-4</v>
          </cell>
          <cell r="D49">
            <v>1.677809E-4</v>
          </cell>
          <cell r="E49">
            <v>1.7875559000000001E-4</v>
          </cell>
          <cell r="F49">
            <v>5.9109638000000005E-4</v>
          </cell>
          <cell r="G49">
            <v>1.1863917E-3</v>
          </cell>
          <cell r="H49">
            <v>1.3387270000000001E-3</v>
          </cell>
          <cell r="I49">
            <v>1.1818581000000001E-3</v>
          </cell>
          <cell r="J49">
            <v>1.2354803000000001E-3</v>
          </cell>
          <cell r="K49">
            <v>1.6191409999999999E-3</v>
          </cell>
          <cell r="L49">
            <v>2.4886959999999999E-3</v>
          </cell>
          <cell r="M49">
            <v>4.0786462000000001E-3</v>
          </cell>
          <cell r="N49">
            <v>6.3239181999999996E-3</v>
          </cell>
          <cell r="O49">
            <v>9.7165693000000001E-3</v>
          </cell>
          <cell r="P49">
            <v>1.5589845E-2</v>
          </cell>
          <cell r="Q49">
            <v>2.5120024000000001E-2</v>
          </cell>
          <cell r="R49">
            <v>4.0330616999999999E-2</v>
          </cell>
          <cell r="S49">
            <v>6.4642143999999999E-2</v>
          </cell>
          <cell r="T49">
            <v>0.10210183</v>
          </cell>
          <cell r="U49">
            <v>0.15788489</v>
          </cell>
          <cell r="V49">
            <v>0.23574049999999999</v>
          </cell>
          <cell r="W49">
            <v>0.34775426209362398</v>
          </cell>
        </row>
        <row r="50">
          <cell r="A50" t="str">
            <v>Cyprus</v>
          </cell>
          <cell r="B50">
            <v>3.5518223000000002E-3</v>
          </cell>
          <cell r="C50">
            <v>1.6634610999999999E-4</v>
          </cell>
          <cell r="D50">
            <v>6.5451031000000006E-5</v>
          </cell>
          <cell r="E50">
            <v>5.5494437999999999E-5</v>
          </cell>
          <cell r="F50">
            <v>9.5172340999999996E-5</v>
          </cell>
          <cell r="G50">
            <v>1.8208541E-4</v>
          </cell>
          <cell r="H50">
            <v>2.9437145000000002E-4</v>
          </cell>
          <cell r="I50">
            <v>4.0679453999999999E-4</v>
          </cell>
          <cell r="J50">
            <v>5.5089275000000002E-4</v>
          </cell>
          <cell r="K50">
            <v>8.3649372000000005E-4</v>
          </cell>
          <cell r="L50">
            <v>1.3795108999999999E-3</v>
          </cell>
          <cell r="M50">
            <v>2.3606936999999999E-3</v>
          </cell>
          <cell r="N50">
            <v>4.0758953000000001E-3</v>
          </cell>
          <cell r="O50">
            <v>7.2320711000000001E-3</v>
          </cell>
          <cell r="P50">
            <v>1.3224072E-2</v>
          </cell>
          <cell r="Q50">
            <v>2.4109335999999999E-2</v>
          </cell>
          <cell r="R50">
            <v>4.3427578000000001E-2</v>
          </cell>
          <cell r="S50">
            <v>7.6641126000000004E-2</v>
          </cell>
          <cell r="T50">
            <v>0.13006066999999999</v>
          </cell>
          <cell r="U50">
            <v>0.21092494000000001</v>
          </cell>
          <cell r="V50">
            <v>0.32210219000000001</v>
          </cell>
          <cell r="W50">
            <v>0.47146407132610202</v>
          </cell>
        </row>
        <row r="51">
          <cell r="A51" t="str">
            <v>Czechia</v>
          </cell>
          <cell r="B51">
            <v>2.2778185999999998E-3</v>
          </cell>
          <cell r="C51">
            <v>1.3254278999999999E-4</v>
          </cell>
          <cell r="D51">
            <v>7.5119446000000004E-5</v>
          </cell>
          <cell r="E51">
            <v>8.7849517E-5</v>
          </cell>
          <cell r="F51">
            <v>2.8923829999999998E-4</v>
          </cell>
          <cell r="G51">
            <v>4.4095639000000001E-4</v>
          </cell>
          <cell r="H51">
            <v>4.8497986E-4</v>
          </cell>
          <cell r="I51">
            <v>5.8167953000000004E-4</v>
          </cell>
          <cell r="J51">
            <v>8.2926470000000004E-4</v>
          </cell>
          <cell r="K51">
            <v>1.368357E-3</v>
          </cell>
          <cell r="L51">
            <v>2.2943286000000002E-3</v>
          </cell>
          <cell r="M51">
            <v>3.8034360999999999E-3</v>
          </cell>
          <cell r="N51">
            <v>6.5173946999999999E-3</v>
          </cell>
          <cell r="O51">
            <v>1.0999429E-2</v>
          </cell>
          <cell r="P51">
            <v>1.7053624E-2</v>
          </cell>
          <cell r="Q51">
            <v>2.5648582999999999E-2</v>
          </cell>
          <cell r="R51">
            <v>4.0943461E-2</v>
          </cell>
          <cell r="S51">
            <v>7.3301479000000003E-2</v>
          </cell>
          <cell r="T51">
            <v>0.13575359000000001</v>
          </cell>
          <cell r="U51">
            <v>0.22920776000000001</v>
          </cell>
          <cell r="V51">
            <v>0.36789580999999999</v>
          </cell>
          <cell r="W51">
            <v>0.53818778717364002</v>
          </cell>
        </row>
        <row r="52">
          <cell r="A52" t="str">
            <v>Democratic People's Republic of Korea</v>
          </cell>
          <cell r="B52">
            <v>1.4077131E-2</v>
          </cell>
          <cell r="C52">
            <v>1.1558249E-3</v>
          </cell>
          <cell r="D52">
            <v>6.4578214999999996E-4</v>
          </cell>
          <cell r="E52">
            <v>5.9978897E-4</v>
          </cell>
          <cell r="F52">
            <v>8.6667321000000002E-4</v>
          </cell>
          <cell r="G52">
            <v>1.2440407999999999E-3</v>
          </cell>
          <cell r="H52">
            <v>1.5454567E-3</v>
          </cell>
          <cell r="I52">
            <v>1.7561924000000001E-3</v>
          </cell>
          <cell r="J52">
            <v>2.0263629000000002E-3</v>
          </cell>
          <cell r="K52">
            <v>2.4639854999999999E-3</v>
          </cell>
          <cell r="L52">
            <v>3.3698216E-3</v>
          </cell>
          <cell r="M52">
            <v>4.8507804E-3</v>
          </cell>
          <cell r="N52">
            <v>9.8938485E-3</v>
          </cell>
          <cell r="O52">
            <v>2.0747373E-2</v>
          </cell>
          <cell r="P52">
            <v>3.1019004999999999E-2</v>
          </cell>
          <cell r="Q52">
            <v>4.4843174E-2</v>
          </cell>
          <cell r="R52">
            <v>7.4614017000000005E-2</v>
          </cell>
          <cell r="S52">
            <v>0.11366689000000001</v>
          </cell>
          <cell r="T52">
            <v>0.17434906999999999</v>
          </cell>
          <cell r="U52">
            <v>0.25984231000000002</v>
          </cell>
          <cell r="V52">
            <v>0.35983158999999998</v>
          </cell>
          <cell r="W52">
            <v>0.50544587604687996</v>
          </cell>
        </row>
        <row r="53">
          <cell r="A53" t="str">
            <v>Democratic Republic of the Congo</v>
          </cell>
          <cell r="B53">
            <v>6.8320449000000005E-2</v>
          </cell>
          <cell r="C53">
            <v>9.7251074000000003E-3</v>
          </cell>
          <cell r="D53">
            <v>3.4749449000000001E-3</v>
          </cell>
          <cell r="E53">
            <v>2.043666E-3</v>
          </cell>
          <cell r="F53">
            <v>2.7375091E-3</v>
          </cell>
          <cell r="G53">
            <v>3.6964098000000002E-3</v>
          </cell>
          <cell r="H53">
            <v>4.0533690000000002E-3</v>
          </cell>
          <cell r="I53">
            <v>4.4548219000000002E-3</v>
          </cell>
          <cell r="J53">
            <v>5.0503446999999998E-3</v>
          </cell>
          <cell r="K53">
            <v>6.2074021000000004E-3</v>
          </cell>
          <cell r="L53">
            <v>7.4931245E-3</v>
          </cell>
          <cell r="M53">
            <v>1.0391025E-2</v>
          </cell>
          <cell r="N53">
            <v>1.3885656E-2</v>
          </cell>
          <cell r="O53">
            <v>2.1032017E-2</v>
          </cell>
          <cell r="P53">
            <v>3.2741099000000003E-2</v>
          </cell>
          <cell r="Q53">
            <v>5.2194549E-2</v>
          </cell>
          <cell r="R53">
            <v>8.3117816999999997E-2</v>
          </cell>
          <cell r="S53">
            <v>0.13251761000000001</v>
          </cell>
          <cell r="T53">
            <v>0.20422654000000001</v>
          </cell>
          <cell r="U53">
            <v>0.29716970999999998</v>
          </cell>
          <cell r="V53">
            <v>0.41198641000000003</v>
          </cell>
          <cell r="W53">
            <v>0.54104862907204698</v>
          </cell>
        </row>
        <row r="54">
          <cell r="A54" t="str">
            <v>Denmark</v>
          </cell>
          <cell r="B54">
            <v>3.1428382999999999E-3</v>
          </cell>
          <cell r="C54">
            <v>1.2794448000000001E-4</v>
          </cell>
          <cell r="D54">
            <v>5.8196341000000003E-5</v>
          </cell>
          <cell r="E54">
            <v>6.3055952999999999E-5</v>
          </cell>
          <cell r="F54">
            <v>1.8735386E-4</v>
          </cell>
          <cell r="G54">
            <v>3.0114086000000001E-4</v>
          </cell>
          <cell r="H54">
            <v>3.2299879E-4</v>
          </cell>
          <cell r="I54">
            <v>4.6064258E-4</v>
          </cell>
          <cell r="J54">
            <v>6.6305311999999999E-4</v>
          </cell>
          <cell r="K54">
            <v>1.1300065E-3</v>
          </cell>
          <cell r="L54">
            <v>2.0068388000000002E-3</v>
          </cell>
          <cell r="M54">
            <v>3.5985949E-3</v>
          </cell>
          <cell r="N54">
            <v>5.9176248999999997E-3</v>
          </cell>
          <cell r="O54">
            <v>8.9011320000000008E-3</v>
          </cell>
          <cell r="P54">
            <v>1.3548377E-2</v>
          </cell>
          <cell r="Q54">
            <v>2.167007E-2</v>
          </cell>
          <cell r="R54">
            <v>3.7734152999999999E-2</v>
          </cell>
          <cell r="S54">
            <v>6.6206949000000001E-2</v>
          </cell>
          <cell r="T54">
            <v>0.11156805</v>
          </cell>
          <cell r="U54">
            <v>0.19228792</v>
          </cell>
          <cell r="V54">
            <v>0.30231445000000001</v>
          </cell>
          <cell r="W54">
            <v>0.456778123726303</v>
          </cell>
        </row>
        <row r="55">
          <cell r="A55" t="str">
            <v>Djibouti</v>
          </cell>
          <cell r="B55">
            <v>3.4650634999999999E-2</v>
          </cell>
          <cell r="C55">
            <v>4.5803867000000003E-3</v>
          </cell>
          <cell r="D55">
            <v>1.7849731000000001E-3</v>
          </cell>
          <cell r="E55">
            <v>1.2178046000000001E-3</v>
          </cell>
          <cell r="F55">
            <v>1.6284278000000001E-3</v>
          </cell>
          <cell r="G55">
            <v>2.1806332E-3</v>
          </cell>
          <cell r="H55">
            <v>2.6304775000000002E-3</v>
          </cell>
          <cell r="I55">
            <v>3.3247870000000001E-3</v>
          </cell>
          <cell r="J55">
            <v>4.5153049999999998E-3</v>
          </cell>
          <cell r="K55">
            <v>5.5892181000000004E-3</v>
          </cell>
          <cell r="L55">
            <v>6.7270083999999997E-3</v>
          </cell>
          <cell r="M55">
            <v>8.8441059999999991E-3</v>
          </cell>
          <cell r="N55">
            <v>1.1641266000000001E-2</v>
          </cell>
          <cell r="O55">
            <v>1.7787942000000001E-2</v>
          </cell>
          <cell r="P55">
            <v>2.8073510999999999E-2</v>
          </cell>
          <cell r="Q55">
            <v>4.5448381000000003E-2</v>
          </cell>
          <cell r="R55">
            <v>7.3774641000000002E-2</v>
          </cell>
          <cell r="S55">
            <v>0.11973191</v>
          </cell>
          <cell r="T55">
            <v>0.18819414000000001</v>
          </cell>
          <cell r="U55">
            <v>0.27859172999999998</v>
          </cell>
          <cell r="V55">
            <v>0.39261278999999999</v>
          </cell>
          <cell r="W55">
            <v>0.52799478510110698</v>
          </cell>
        </row>
        <row r="56">
          <cell r="A56" t="str">
            <v>Dominican Republic</v>
          </cell>
          <cell r="B56">
            <v>2.646418E-2</v>
          </cell>
          <cell r="C56">
            <v>7.7505688000000005E-4</v>
          </cell>
          <cell r="D56">
            <v>3.7222192000000001E-4</v>
          </cell>
          <cell r="E56">
            <v>3.7299491999999998E-4</v>
          </cell>
          <cell r="F56">
            <v>9.4106159999999997E-4</v>
          </cell>
          <cell r="G56">
            <v>1.6660443999999999E-3</v>
          </cell>
          <cell r="H56">
            <v>2.1097793000000001E-3</v>
          </cell>
          <cell r="I56">
            <v>2.5753027E-3</v>
          </cell>
          <cell r="J56">
            <v>2.8624687999999998E-3</v>
          </cell>
          <cell r="K56">
            <v>3.6023303E-3</v>
          </cell>
          <cell r="L56">
            <v>4.8204754000000004E-3</v>
          </cell>
          <cell r="M56">
            <v>6.4046423999999996E-3</v>
          </cell>
          <cell r="N56">
            <v>9.3508880999999995E-3</v>
          </cell>
          <cell r="O56">
            <v>1.3940997E-2</v>
          </cell>
          <cell r="P56">
            <v>2.0850463999999999E-2</v>
          </cell>
          <cell r="Q56">
            <v>3.0942771000000001E-2</v>
          </cell>
          <cell r="R56">
            <v>4.6500179000000003E-2</v>
          </cell>
          <cell r="S56">
            <v>6.7459852000000001E-2</v>
          </cell>
          <cell r="T56">
            <v>9.4685063E-2</v>
          </cell>
          <cell r="U56">
            <v>0.12843317000000001</v>
          </cell>
          <cell r="V56">
            <v>0.16802508999999999</v>
          </cell>
          <cell r="W56">
            <v>0.23412955722939999</v>
          </cell>
        </row>
        <row r="57">
          <cell r="A57" t="str">
            <v>Ecuador</v>
          </cell>
          <cell r="B57">
            <v>1.3775282E-2</v>
          </cell>
          <cell r="C57">
            <v>6.8882877999999997E-4</v>
          </cell>
          <cell r="D57">
            <v>3.9409112000000001E-4</v>
          </cell>
          <cell r="E57">
            <v>4.9583221999999997E-4</v>
          </cell>
          <cell r="F57">
            <v>1.0316606E-3</v>
          </cell>
          <cell r="G57">
            <v>1.6283602E-3</v>
          </cell>
          <cell r="H57">
            <v>1.9603557999999998E-3</v>
          </cell>
          <cell r="I57">
            <v>2.0346000000000001E-3</v>
          </cell>
          <cell r="J57">
            <v>2.1799733000000001E-3</v>
          </cell>
          <cell r="K57">
            <v>2.7285374000000002E-3</v>
          </cell>
          <cell r="L57">
            <v>3.4792985999999998E-3</v>
          </cell>
          <cell r="M57">
            <v>5.0904938999999996E-3</v>
          </cell>
          <cell r="N57">
            <v>6.9715895E-3</v>
          </cell>
          <cell r="O57">
            <v>1.0213406E-2</v>
          </cell>
          <cell r="P57">
            <v>1.4456917E-2</v>
          </cell>
          <cell r="Q57">
            <v>2.4101674E-2</v>
          </cell>
          <cell r="R57">
            <v>3.9995255E-2</v>
          </cell>
          <cell r="S57">
            <v>6.4706444000000002E-2</v>
          </cell>
          <cell r="T57">
            <v>0.10866683000000001</v>
          </cell>
          <cell r="U57">
            <v>0.15347426</v>
          </cell>
          <cell r="V57">
            <v>0.23074488000000001</v>
          </cell>
          <cell r="W57">
            <v>0.31541480737523098</v>
          </cell>
        </row>
        <row r="58">
          <cell r="A58" t="str">
            <v>Egypt</v>
          </cell>
          <cell r="B58">
            <v>1.5827734E-2</v>
          </cell>
          <cell r="C58">
            <v>1.1008951E-3</v>
          </cell>
          <cell r="D58">
            <v>4.0243443999999999E-4</v>
          </cell>
          <cell r="E58">
            <v>3.3751286000000002E-4</v>
          </cell>
          <cell r="F58">
            <v>4.9003871000000002E-4</v>
          </cell>
          <cell r="G58">
            <v>7.3588867999999997E-4</v>
          </cell>
          <cell r="H58">
            <v>9.0866839999999998E-4</v>
          </cell>
          <cell r="I58">
            <v>1.1986133E-3</v>
          </cell>
          <cell r="J58">
            <v>1.4452664000000001E-3</v>
          </cell>
          <cell r="K58">
            <v>2.1677839999999999E-3</v>
          </cell>
          <cell r="L58">
            <v>4.5424814000000003E-3</v>
          </cell>
          <cell r="M58">
            <v>8.4206946000000005E-3</v>
          </cell>
          <cell r="N58">
            <v>1.1711541000000001E-2</v>
          </cell>
          <cell r="O58">
            <v>1.9153180999999998E-2</v>
          </cell>
          <cell r="P58">
            <v>3.0109420000000001E-2</v>
          </cell>
          <cell r="Q58">
            <v>4.9159503E-2</v>
          </cell>
          <cell r="R58">
            <v>8.0843447999999998E-2</v>
          </cell>
          <cell r="S58">
            <v>0.12560410999999999</v>
          </cell>
          <cell r="T58">
            <v>0.18894306</v>
          </cell>
          <cell r="U58">
            <v>0.26514075999999998</v>
          </cell>
          <cell r="V58">
            <v>0.37049583000000003</v>
          </cell>
          <cell r="W58">
            <v>0.52064037099583305</v>
          </cell>
        </row>
        <row r="59">
          <cell r="A59" t="str">
            <v>El Salvador</v>
          </cell>
          <cell r="B59">
            <v>1.4769987E-2</v>
          </cell>
          <cell r="C59">
            <v>5.8871775999999999E-4</v>
          </cell>
          <cell r="D59">
            <v>2.7378192000000002E-4</v>
          </cell>
          <cell r="E59">
            <v>5.6684154999999997E-4</v>
          </cell>
          <cell r="F59">
            <v>1.5519556E-3</v>
          </cell>
          <cell r="G59">
            <v>2.5834923999999999E-3</v>
          </cell>
          <cell r="H59">
            <v>3.2180299000000002E-3</v>
          </cell>
          <cell r="I59">
            <v>3.3722996999999998E-3</v>
          </cell>
          <cell r="J59">
            <v>3.5340059000000001E-3</v>
          </cell>
          <cell r="K59">
            <v>4.2194041E-3</v>
          </cell>
          <cell r="L59">
            <v>5.3977736999999996E-3</v>
          </cell>
          <cell r="M59">
            <v>7.1218803000000002E-3</v>
          </cell>
          <cell r="N59">
            <v>9.4442546000000002E-3</v>
          </cell>
          <cell r="O59">
            <v>1.2986638999999999E-2</v>
          </cell>
          <cell r="P59">
            <v>1.8722493E-2</v>
          </cell>
          <cell r="Q59">
            <v>2.7692788999999999E-2</v>
          </cell>
          <cell r="R59">
            <v>4.4281424999999999E-2</v>
          </cell>
          <cell r="S59">
            <v>7.7043863000000004E-2</v>
          </cell>
          <cell r="T59">
            <v>0.13038569</v>
          </cell>
          <cell r="U59">
            <v>0.21015863000000001</v>
          </cell>
          <cell r="V59">
            <v>0.32219820999999998</v>
          </cell>
          <cell r="W59">
            <v>0.46135073437579199</v>
          </cell>
        </row>
        <row r="60">
          <cell r="A60" t="str">
            <v>Equatorial Guinea</v>
          </cell>
          <cell r="B60">
            <v>6.9655822000000006E-2</v>
          </cell>
          <cell r="C60">
            <v>7.5461332000000001E-3</v>
          </cell>
          <cell r="D60">
            <v>2.1930275999999999E-3</v>
          </cell>
          <cell r="E60">
            <v>1.5623057E-3</v>
          </cell>
          <cell r="F60">
            <v>2.3258241999999998E-3</v>
          </cell>
          <cell r="G60">
            <v>3.5091195E-3</v>
          </cell>
          <cell r="H60">
            <v>4.6024899999999999E-3</v>
          </cell>
          <cell r="I60">
            <v>5.8287799E-3</v>
          </cell>
          <cell r="J60">
            <v>7.5599409000000001E-3</v>
          </cell>
          <cell r="K60">
            <v>9.2505498000000005E-3</v>
          </cell>
          <cell r="L60">
            <v>1.1156213999999999E-2</v>
          </cell>
          <cell r="M60">
            <v>1.448231E-2</v>
          </cell>
          <cell r="N60">
            <v>1.8550733E-2</v>
          </cell>
          <cell r="O60">
            <v>2.6584017000000001E-2</v>
          </cell>
          <cell r="P60">
            <v>4.0096808999999997E-2</v>
          </cell>
          <cell r="Q60">
            <v>6.2951231999999996E-2</v>
          </cell>
          <cell r="R60">
            <v>0.10045308999999999</v>
          </cell>
          <cell r="S60">
            <v>0.16697914</v>
          </cell>
          <cell r="T60">
            <v>0.27639676000000002</v>
          </cell>
          <cell r="U60">
            <v>0.44537210999999999</v>
          </cell>
          <cell r="V60">
            <v>0.61792371000000001</v>
          </cell>
          <cell r="W60">
            <v>0.79066965529254096</v>
          </cell>
        </row>
        <row r="61">
          <cell r="A61" t="str">
            <v>Eritrea</v>
          </cell>
          <cell r="B61">
            <v>3.5786067999999997E-2</v>
          </cell>
          <cell r="C61">
            <v>2.4935134999999999E-3</v>
          </cell>
          <cell r="D61">
            <v>8.4344849E-4</v>
          </cell>
          <cell r="E61">
            <v>6.3725659999999999E-4</v>
          </cell>
          <cell r="F61">
            <v>1.2314610999999999E-3</v>
          </cell>
          <cell r="G61">
            <v>1.7530927E-3</v>
          </cell>
          <cell r="H61">
            <v>2.3219059999999999E-3</v>
          </cell>
          <cell r="I61">
            <v>3.1161921999999999E-3</v>
          </cell>
          <cell r="J61">
            <v>4.0532581000000002E-3</v>
          </cell>
          <cell r="K61">
            <v>5.8848212999999998E-3</v>
          </cell>
          <cell r="L61">
            <v>8.0000109E-3</v>
          </cell>
          <cell r="M61">
            <v>1.1928315E-2</v>
          </cell>
          <cell r="N61">
            <v>1.7520002E-2</v>
          </cell>
          <cell r="O61">
            <v>2.5571218999999999E-2</v>
          </cell>
          <cell r="P61">
            <v>3.6933957000000003E-2</v>
          </cell>
          <cell r="Q61">
            <v>5.7152438999999999E-2</v>
          </cell>
          <cell r="R61">
            <v>8.3084468999999994E-2</v>
          </cell>
          <cell r="S61">
            <v>0.12734852999999999</v>
          </cell>
          <cell r="T61">
            <v>0.18292669</v>
          </cell>
          <cell r="U61">
            <v>0.24544216999999999</v>
          </cell>
          <cell r="V61">
            <v>0.31760819000000001</v>
          </cell>
          <cell r="W61">
            <v>0.41711247300187398</v>
          </cell>
        </row>
        <row r="62">
          <cell r="A62" t="str">
            <v>Estonia</v>
          </cell>
          <cell r="B62">
            <v>2.0025673999999999E-3</v>
          </cell>
          <cell r="C62">
            <v>1.6395107999999999E-4</v>
          </cell>
          <cell r="D62">
            <v>8.8189093999999996E-5</v>
          </cell>
          <cell r="E62">
            <v>1.4860848E-4</v>
          </cell>
          <cell r="F62">
            <v>3.9838900999999998E-4</v>
          </cell>
          <cell r="G62">
            <v>5.72611E-4</v>
          </cell>
          <cell r="H62">
            <v>7.7138637999999999E-4</v>
          </cell>
          <cell r="I62">
            <v>1.1905933999999999E-3</v>
          </cell>
          <cell r="J62">
            <v>1.4488302E-3</v>
          </cell>
          <cell r="K62">
            <v>2.0857893999999999E-3</v>
          </cell>
          <cell r="L62">
            <v>3.0265295999999998E-3</v>
          </cell>
          <cell r="M62">
            <v>4.9620679000000004E-3</v>
          </cell>
          <cell r="N62">
            <v>7.7502541000000003E-3</v>
          </cell>
          <cell r="O62">
            <v>1.2560707000000001E-2</v>
          </cell>
          <cell r="P62">
            <v>1.7728991999999999E-2</v>
          </cell>
          <cell r="Q62">
            <v>2.5737333000000001E-2</v>
          </cell>
          <cell r="R62">
            <v>3.8329344000000001E-2</v>
          </cell>
          <cell r="S62">
            <v>6.5757226000000002E-2</v>
          </cell>
          <cell r="T62">
            <v>0.11531692</v>
          </cell>
          <cell r="U62">
            <v>0.19823071</v>
          </cell>
          <cell r="V62">
            <v>0.32972270999999997</v>
          </cell>
          <cell r="W62">
            <v>0.50337928582157698</v>
          </cell>
        </row>
        <row r="63">
          <cell r="A63" t="str">
            <v>Eswatini</v>
          </cell>
          <cell r="B63">
            <v>4.2842314999999999E-2</v>
          </cell>
          <cell r="C63">
            <v>3.4352841999999999E-3</v>
          </cell>
          <cell r="D63">
            <v>9.8271491000000003E-4</v>
          </cell>
          <cell r="E63">
            <v>8.6990585999999995E-4</v>
          </cell>
          <cell r="F63">
            <v>1.4508917E-3</v>
          </cell>
          <cell r="G63">
            <v>2.7312017000000002E-3</v>
          </cell>
          <cell r="H63">
            <v>5.1741618000000003E-3</v>
          </cell>
          <cell r="I63">
            <v>8.0394066999999996E-3</v>
          </cell>
          <cell r="J63">
            <v>1.2191359000000001E-2</v>
          </cell>
          <cell r="K63">
            <v>1.4257389000000001E-2</v>
          </cell>
          <cell r="L63">
            <v>1.7170839E-2</v>
          </cell>
          <cell r="M63">
            <v>2.0149085000000001E-2</v>
          </cell>
          <cell r="N63">
            <v>2.3698844E-2</v>
          </cell>
          <cell r="O63">
            <v>2.9060295999999999E-2</v>
          </cell>
          <cell r="P63">
            <v>3.8194315E-2</v>
          </cell>
          <cell r="Q63">
            <v>5.4079817000000002E-2</v>
          </cell>
          <cell r="R63">
            <v>7.9760807000000003E-2</v>
          </cell>
          <cell r="S63">
            <v>0.1299034</v>
          </cell>
          <cell r="T63">
            <v>0.22013100999999999</v>
          </cell>
          <cell r="U63">
            <v>0.35291978000000002</v>
          </cell>
          <cell r="V63">
            <v>0.48200472</v>
          </cell>
          <cell r="W63">
            <v>0.60371027050627202</v>
          </cell>
        </row>
        <row r="64">
          <cell r="A64" t="str">
            <v>Ethiopia</v>
          </cell>
          <cell r="B64">
            <v>3.8207605999999998E-2</v>
          </cell>
          <cell r="C64">
            <v>4.6959543999999997E-3</v>
          </cell>
          <cell r="D64">
            <v>2.0035347000000002E-3</v>
          </cell>
          <cell r="E64">
            <v>1.5514940000000001E-3</v>
          </cell>
          <cell r="F64">
            <v>1.9138895E-3</v>
          </cell>
          <cell r="G64">
            <v>2.3611942000000001E-3</v>
          </cell>
          <cell r="H64">
            <v>2.7276859E-3</v>
          </cell>
          <cell r="I64">
            <v>3.4576648999999999E-3</v>
          </cell>
          <cell r="J64">
            <v>4.8009569000000002E-3</v>
          </cell>
          <cell r="K64">
            <v>5.8604735999999999E-3</v>
          </cell>
          <cell r="L64">
            <v>6.8450571000000003E-3</v>
          </cell>
          <cell r="M64">
            <v>8.8151644000000005E-3</v>
          </cell>
          <cell r="N64">
            <v>1.1398903E-2</v>
          </cell>
          <cell r="O64">
            <v>1.7449718999999999E-2</v>
          </cell>
          <cell r="P64">
            <v>2.7637838000000001E-2</v>
          </cell>
          <cell r="Q64">
            <v>4.4837672000000002E-2</v>
          </cell>
          <cell r="R64">
            <v>7.3213447000000001E-2</v>
          </cell>
          <cell r="S64">
            <v>0.11917458</v>
          </cell>
          <cell r="T64">
            <v>0.18751398</v>
          </cell>
          <cell r="U64">
            <v>0.27765213999999999</v>
          </cell>
          <cell r="V64">
            <v>0.38424641999999998</v>
          </cell>
          <cell r="W64">
            <v>0.51051549608526503</v>
          </cell>
        </row>
        <row r="65">
          <cell r="A65" t="str">
            <v>Fiji</v>
          </cell>
          <cell r="B65">
            <v>2.0703859000000002E-2</v>
          </cell>
          <cell r="C65">
            <v>1.0995463E-3</v>
          </cell>
          <cell r="D65">
            <v>7.2957983999999995E-4</v>
          </cell>
          <cell r="E65">
            <v>6.7984078000000005E-4</v>
          </cell>
          <cell r="F65">
            <v>1.5237788E-3</v>
          </cell>
          <cell r="G65">
            <v>2.1675984999999999E-3</v>
          </cell>
          <cell r="H65">
            <v>2.4056235000000001E-3</v>
          </cell>
          <cell r="I65">
            <v>2.8231564E-3</v>
          </cell>
          <cell r="J65">
            <v>3.6225836000000002E-3</v>
          </cell>
          <cell r="K65">
            <v>4.8950621999999996E-3</v>
          </cell>
          <cell r="L65">
            <v>6.9798292E-3</v>
          </cell>
          <cell r="M65">
            <v>1.0152255000000001E-2</v>
          </cell>
          <cell r="N65">
            <v>1.4905674000000001E-2</v>
          </cell>
          <cell r="O65">
            <v>2.3626244000000001E-2</v>
          </cell>
          <cell r="P65">
            <v>3.7879847000000001E-2</v>
          </cell>
          <cell r="Q65">
            <v>5.9864582E-2</v>
          </cell>
          <cell r="R65">
            <v>9.4230981000000005E-2</v>
          </cell>
          <cell r="S65">
            <v>0.14965116000000001</v>
          </cell>
          <cell r="T65">
            <v>0.23385951999999999</v>
          </cell>
          <cell r="U65">
            <v>0.34345299000000001</v>
          </cell>
          <cell r="V65">
            <v>0.48201548</v>
          </cell>
          <cell r="W65">
            <v>0.62447274985139101</v>
          </cell>
        </row>
        <row r="66">
          <cell r="A66" t="str">
            <v>Finland</v>
          </cell>
          <cell r="B66">
            <v>1.7077660000000001E-3</v>
          </cell>
          <cell r="C66">
            <v>1.2128596E-4</v>
          </cell>
          <cell r="D66">
            <v>7.3238201999999998E-5</v>
          </cell>
          <cell r="E66">
            <v>8.1232922999999996E-5</v>
          </cell>
          <cell r="F66">
            <v>2.9023299000000002E-4</v>
          </cell>
          <cell r="G66">
            <v>5.3355074000000001E-4</v>
          </cell>
          <cell r="H66">
            <v>6.2192422999999999E-4</v>
          </cell>
          <cell r="I66">
            <v>6.9424563999999995E-4</v>
          </cell>
          <cell r="J66">
            <v>8.6481714999999998E-4</v>
          </cell>
          <cell r="K66">
            <v>1.2602444999999999E-3</v>
          </cell>
          <cell r="L66">
            <v>2.0820131000000002E-3</v>
          </cell>
          <cell r="M66">
            <v>3.3406409000000001E-3</v>
          </cell>
          <cell r="N66">
            <v>5.2993220000000004E-3</v>
          </cell>
          <cell r="O66">
            <v>7.9346503000000002E-3</v>
          </cell>
          <cell r="P66">
            <v>1.1754795E-2</v>
          </cell>
          <cell r="Q66">
            <v>1.7350509E-2</v>
          </cell>
          <cell r="R66">
            <v>2.9621327999999999E-2</v>
          </cell>
          <cell r="S66">
            <v>5.4815560999999999E-2</v>
          </cell>
          <cell r="T66">
            <v>0.10576136999999999</v>
          </cell>
          <cell r="U66">
            <v>0.19455375</v>
          </cell>
          <cell r="V66">
            <v>0.32813396</v>
          </cell>
          <cell r="W66">
            <v>0.45226083836315201</v>
          </cell>
        </row>
        <row r="67">
          <cell r="A67" t="str">
            <v>France</v>
          </cell>
          <cell r="B67">
            <v>3.0409378999999999E-3</v>
          </cell>
          <cell r="C67">
            <v>1.4917798E-4</v>
          </cell>
          <cell r="D67">
            <v>6.9622411000000003E-5</v>
          </cell>
          <cell r="E67">
            <v>8.1188259000000004E-5</v>
          </cell>
          <cell r="F67">
            <v>2.4647683999999998E-4</v>
          </cell>
          <cell r="G67">
            <v>3.9586488000000001E-4</v>
          </cell>
          <cell r="H67">
            <v>4.4734723000000001E-4</v>
          </cell>
          <cell r="I67">
            <v>5.3986115000000004E-4</v>
          </cell>
          <cell r="J67">
            <v>8.3439242000000005E-4</v>
          </cell>
          <cell r="K67">
            <v>1.3944872000000001E-3</v>
          </cell>
          <cell r="L67">
            <v>2.4064997000000001E-3</v>
          </cell>
          <cell r="M67">
            <v>3.8940852999999999E-3</v>
          </cell>
          <cell r="N67">
            <v>5.6057234000000001E-3</v>
          </cell>
          <cell r="O67">
            <v>7.4704916000000003E-3</v>
          </cell>
          <cell r="P67">
            <v>1.0266667E-2</v>
          </cell>
          <cell r="Q67">
            <v>1.5392421E-2</v>
          </cell>
          <cell r="R67">
            <v>2.5557765E-2</v>
          </cell>
          <cell r="S67">
            <v>4.7189890999999998E-2</v>
          </cell>
          <cell r="T67">
            <v>9.0710171000000006E-2</v>
          </cell>
          <cell r="U67">
            <v>0.16602450999999999</v>
          </cell>
          <cell r="V67">
            <v>0.27950292999999998</v>
          </cell>
          <cell r="W67">
            <v>0.446545650116211</v>
          </cell>
        </row>
        <row r="68">
          <cell r="A68" t="str">
            <v>French Guiana</v>
          </cell>
          <cell r="B68">
            <v>8.7611653000000001E-3</v>
          </cell>
          <cell r="C68">
            <v>3.4039060999999999E-4</v>
          </cell>
          <cell r="D68">
            <v>1.6902154E-4</v>
          </cell>
          <cell r="E68">
            <v>1.4126336E-4</v>
          </cell>
          <cell r="F68">
            <v>2.6819334000000001E-4</v>
          </cell>
          <cell r="G68">
            <v>3.7304458999999997E-4</v>
          </cell>
          <cell r="H68">
            <v>3.8927055999999998E-4</v>
          </cell>
          <cell r="I68">
            <v>4.5384842000000002E-4</v>
          </cell>
          <cell r="J68">
            <v>6.1356503000000004E-4</v>
          </cell>
          <cell r="K68">
            <v>9.5368128000000003E-4</v>
          </cell>
          <cell r="L68">
            <v>1.6701812E-3</v>
          </cell>
          <cell r="M68">
            <v>2.8360986999999998E-3</v>
          </cell>
          <cell r="N68">
            <v>4.9580344999999998E-3</v>
          </cell>
          <cell r="O68">
            <v>8.2507993000000002E-3</v>
          </cell>
          <cell r="P68">
            <v>1.4693757999999999E-2</v>
          </cell>
          <cell r="Q68">
            <v>2.5545423000000001E-2</v>
          </cell>
          <cell r="R68">
            <v>4.3636586999999998E-2</v>
          </cell>
          <cell r="S68">
            <v>7.4218375000000003E-2</v>
          </cell>
          <cell r="T68">
            <v>0.12016032</v>
          </cell>
          <cell r="U68">
            <v>0.19261297999999999</v>
          </cell>
          <cell r="V68">
            <v>0.27794102999999998</v>
          </cell>
          <cell r="W68">
            <v>0.406441661375812</v>
          </cell>
        </row>
        <row r="69">
          <cell r="A69" t="str">
            <v>French Polynesia</v>
          </cell>
          <cell r="B69">
            <v>6.6803123000000004E-3</v>
          </cell>
          <cell r="C69">
            <v>1.4238246000000001E-4</v>
          </cell>
          <cell r="D69">
            <v>7.8486845000000005E-5</v>
          </cell>
          <cell r="E69">
            <v>1.3803696E-4</v>
          </cell>
          <cell r="F69">
            <v>3.114732E-4</v>
          </cell>
          <cell r="G69">
            <v>4.6608268999999999E-4</v>
          </cell>
          <cell r="H69">
            <v>6.1933607999999996E-4</v>
          </cell>
          <cell r="I69">
            <v>7.2367747999999997E-4</v>
          </cell>
          <cell r="J69">
            <v>1.0253160999999999E-3</v>
          </cell>
          <cell r="K69">
            <v>1.5737812999999999E-3</v>
          </cell>
          <cell r="L69">
            <v>2.5812534000000001E-3</v>
          </cell>
          <cell r="M69">
            <v>4.4034981000000001E-3</v>
          </cell>
          <cell r="N69">
            <v>7.4915097999999998E-3</v>
          </cell>
          <cell r="O69">
            <v>1.2404368000000001E-2</v>
          </cell>
          <cell r="P69">
            <v>1.9958183000000001E-2</v>
          </cell>
          <cell r="Q69">
            <v>3.2187779E-2</v>
          </cell>
          <cell r="R69">
            <v>5.0941027E-2</v>
          </cell>
          <cell r="S69">
            <v>8.6187106999999999E-2</v>
          </cell>
          <cell r="T69">
            <v>0.13680079000000001</v>
          </cell>
          <cell r="U69">
            <v>0.20580546999999999</v>
          </cell>
          <cell r="V69">
            <v>0.29212769999999999</v>
          </cell>
          <cell r="W69">
            <v>0.40377011461579998</v>
          </cell>
        </row>
        <row r="70">
          <cell r="A70" t="str">
            <v>Gabon</v>
          </cell>
          <cell r="B70">
            <v>3.6382349000000001E-2</v>
          </cell>
          <cell r="C70">
            <v>3.3093216999999999E-3</v>
          </cell>
          <cell r="D70">
            <v>1.4297540999999999E-3</v>
          </cell>
          <cell r="E70">
            <v>1.0194274E-3</v>
          </cell>
          <cell r="F70">
            <v>1.6897365E-3</v>
          </cell>
          <cell r="G70">
            <v>2.4666762000000002E-3</v>
          </cell>
          <cell r="H70">
            <v>2.8224423000000002E-3</v>
          </cell>
          <cell r="I70">
            <v>3.2876296E-3</v>
          </cell>
          <cell r="J70">
            <v>4.0058404000000002E-3</v>
          </cell>
          <cell r="K70">
            <v>5.1043570999999999E-3</v>
          </cell>
          <cell r="L70">
            <v>6.5191173999999998E-3</v>
          </cell>
          <cell r="M70">
            <v>9.3987971999999996E-3</v>
          </cell>
          <cell r="N70">
            <v>1.2750716E-2</v>
          </cell>
          <cell r="O70">
            <v>1.9657922000000001E-2</v>
          </cell>
          <cell r="P70">
            <v>3.1404091000000002E-2</v>
          </cell>
          <cell r="Q70">
            <v>5.1045883E-2</v>
          </cell>
          <cell r="R70">
            <v>8.4176925E-2</v>
          </cell>
          <cell r="S70">
            <v>0.14237784000000001</v>
          </cell>
          <cell r="T70">
            <v>0.24045104</v>
          </cell>
          <cell r="U70">
            <v>0.40881248999999997</v>
          </cell>
          <cell r="V70">
            <v>0.59841051000000001</v>
          </cell>
          <cell r="W70">
            <v>0.80556445256739795</v>
          </cell>
        </row>
        <row r="71">
          <cell r="A71" t="str">
            <v>Gambia</v>
          </cell>
          <cell r="B71">
            <v>4.6569608999999998E-2</v>
          </cell>
          <cell r="C71">
            <v>6.0964503999999999E-3</v>
          </cell>
          <cell r="D71">
            <v>2.8382337000000001E-3</v>
          </cell>
          <cell r="E71">
            <v>1.7001506999999999E-3</v>
          </cell>
          <cell r="F71">
            <v>2.5999804000000001E-3</v>
          </cell>
          <cell r="G71">
            <v>3.6728682999999998E-3</v>
          </cell>
          <cell r="H71">
            <v>3.9042273999999998E-3</v>
          </cell>
          <cell r="I71">
            <v>4.2892820999999998E-3</v>
          </cell>
          <cell r="J71">
            <v>4.9122823000000001E-3</v>
          </cell>
          <cell r="K71">
            <v>6.0422779000000003E-3</v>
          </cell>
          <cell r="L71">
            <v>7.5662788999999999E-3</v>
          </cell>
          <cell r="M71">
            <v>1.0650064000000001E-2</v>
          </cell>
          <cell r="N71">
            <v>1.5350337E-2</v>
          </cell>
          <cell r="O71">
            <v>2.4265436000000001E-2</v>
          </cell>
          <cell r="P71">
            <v>3.8278991999999998E-2</v>
          </cell>
          <cell r="Q71">
            <v>6.4586533000000002E-2</v>
          </cell>
          <cell r="R71">
            <v>0.10891588000000001</v>
          </cell>
          <cell r="S71">
            <v>0.18037526000000001</v>
          </cell>
          <cell r="T71">
            <v>0.28117492999999999</v>
          </cell>
          <cell r="U71">
            <v>0.40939105999999997</v>
          </cell>
          <cell r="V71">
            <v>0.56996332999999999</v>
          </cell>
          <cell r="W71">
            <v>0.71107556365360003</v>
          </cell>
        </row>
        <row r="72">
          <cell r="A72" t="str">
            <v>Georgia</v>
          </cell>
          <cell r="B72">
            <v>9.4546308000000006E-3</v>
          </cell>
          <cell r="C72">
            <v>1.9807228E-4</v>
          </cell>
          <cell r="D72">
            <v>2.0746067999999999E-4</v>
          </cell>
          <cell r="E72">
            <v>2.4017242000000001E-4</v>
          </cell>
          <cell r="F72">
            <v>4.5800474E-4</v>
          </cell>
          <cell r="G72">
            <v>7.6180599E-4</v>
          </cell>
          <cell r="H72">
            <v>9.4038273999999999E-4</v>
          </cell>
          <cell r="I72">
            <v>1.4049372000000001E-3</v>
          </cell>
          <cell r="J72">
            <v>1.9982443999999999E-3</v>
          </cell>
          <cell r="K72">
            <v>3.099475E-3</v>
          </cell>
          <cell r="L72">
            <v>5.0938577000000001E-3</v>
          </cell>
          <cell r="M72">
            <v>7.5443478999999997E-3</v>
          </cell>
          <cell r="N72">
            <v>1.1202004E-2</v>
          </cell>
          <cell r="O72">
            <v>1.6347832999999999E-2</v>
          </cell>
          <cell r="P72">
            <v>2.3644893E-2</v>
          </cell>
          <cell r="Q72">
            <v>3.9309016000000002E-2</v>
          </cell>
          <cell r="R72">
            <v>6.6808330999999999E-2</v>
          </cell>
          <cell r="S72">
            <v>0.10964259</v>
          </cell>
          <cell r="T72">
            <v>0.17324039999999999</v>
          </cell>
          <cell r="U72">
            <v>0.26773670999999999</v>
          </cell>
          <cell r="V72">
            <v>0.38496724999999998</v>
          </cell>
          <cell r="W72">
            <v>0.52787808634480704</v>
          </cell>
        </row>
        <row r="73">
          <cell r="A73" t="str">
            <v>Germany</v>
          </cell>
          <cell r="B73">
            <v>3.1990296000000001E-3</v>
          </cell>
          <cell r="C73">
            <v>1.5442384999999999E-4</v>
          </cell>
          <cell r="D73">
            <v>6.6890556000000006E-5</v>
          </cell>
          <cell r="E73">
            <v>7.8230452999999994E-5</v>
          </cell>
          <cell r="F73">
            <v>2.7453105999999998E-4</v>
          </cell>
          <cell r="G73">
            <v>3.6364999999999998E-4</v>
          </cell>
          <cell r="H73">
            <v>3.7190188000000001E-4</v>
          </cell>
          <cell r="I73">
            <v>4.8050558000000001E-4</v>
          </cell>
          <cell r="J73">
            <v>7.3306352000000003E-4</v>
          </cell>
          <cell r="K73">
            <v>1.2608704E-3</v>
          </cell>
          <cell r="L73">
            <v>2.2092890000000001E-3</v>
          </cell>
          <cell r="M73">
            <v>3.6373257000000001E-3</v>
          </cell>
          <cell r="N73">
            <v>5.5822907999999996E-3</v>
          </cell>
          <cell r="O73">
            <v>8.4016608000000003E-3</v>
          </cell>
          <cell r="P73">
            <v>1.2681950000000001E-2</v>
          </cell>
          <cell r="Q73">
            <v>2.0046184000000002E-2</v>
          </cell>
          <cell r="R73">
            <v>3.4843411999999997E-2</v>
          </cell>
          <cell r="S73">
            <v>6.4881827000000003E-2</v>
          </cell>
          <cell r="T73">
            <v>0.10317692000000001</v>
          </cell>
          <cell r="U73">
            <v>0.16708766999999999</v>
          </cell>
          <cell r="V73">
            <v>0.26139368000000002</v>
          </cell>
          <cell r="W73">
            <v>0.40006135340915899</v>
          </cell>
        </row>
        <row r="74">
          <cell r="A74" t="str">
            <v>Ghana</v>
          </cell>
          <cell r="B74">
            <v>3.6755437000000002E-2</v>
          </cell>
          <cell r="C74">
            <v>4.1932918000000003E-3</v>
          </cell>
          <cell r="D74">
            <v>2.443761E-3</v>
          </cell>
          <cell r="E74">
            <v>1.4835320000000001E-3</v>
          </cell>
          <cell r="F74">
            <v>2.2822474E-3</v>
          </cell>
          <cell r="G74">
            <v>3.2215045999999998E-3</v>
          </cell>
          <cell r="H74">
            <v>3.4470555999999999E-3</v>
          </cell>
          <cell r="I74">
            <v>3.8348754999999999E-3</v>
          </cell>
          <cell r="J74">
            <v>4.4313421999999996E-3</v>
          </cell>
          <cell r="K74">
            <v>5.5350544999999999E-3</v>
          </cell>
          <cell r="L74">
            <v>7.0298721E-3</v>
          </cell>
          <cell r="M74">
            <v>1.0014899000000001E-2</v>
          </cell>
          <cell r="N74">
            <v>1.4451768E-2</v>
          </cell>
          <cell r="O74">
            <v>2.2822768E-2</v>
          </cell>
          <cell r="P74">
            <v>3.6265311000000001E-2</v>
          </cell>
          <cell r="Q74">
            <v>6.1598124999999997E-2</v>
          </cell>
          <cell r="R74">
            <v>0.1047265</v>
          </cell>
          <cell r="S74">
            <v>0.16900730999999999</v>
          </cell>
          <cell r="T74">
            <v>0.25483145000000001</v>
          </cell>
          <cell r="U74">
            <v>0.35899923</v>
          </cell>
          <cell r="V74">
            <v>0.49892586999999999</v>
          </cell>
          <cell r="W74">
            <v>0.62606133047047996</v>
          </cell>
        </row>
        <row r="75">
          <cell r="A75" t="str">
            <v>Greece</v>
          </cell>
          <cell r="B75">
            <v>2.8232486999999998E-3</v>
          </cell>
          <cell r="C75">
            <v>1.2591917E-4</v>
          </cell>
          <cell r="D75">
            <v>8.8021672999999997E-5</v>
          </cell>
          <cell r="E75">
            <v>8.6054278E-5</v>
          </cell>
          <cell r="F75">
            <v>1.8022902000000001E-4</v>
          </cell>
          <cell r="G75">
            <v>3.5083309000000001E-4</v>
          </cell>
          <cell r="H75">
            <v>4.1712614999999997E-4</v>
          </cell>
          <cell r="I75">
            <v>5.8730459999999996E-4</v>
          </cell>
          <cell r="J75">
            <v>7.1132037999999999E-4</v>
          </cell>
          <cell r="K75">
            <v>1.1638977999999999E-3</v>
          </cell>
          <cell r="L75">
            <v>2.1016010999999999E-3</v>
          </cell>
          <cell r="M75">
            <v>3.3514931000000001E-3</v>
          </cell>
          <cell r="N75">
            <v>5.5367048000000002E-3</v>
          </cell>
          <cell r="O75">
            <v>7.4870027000000002E-3</v>
          </cell>
          <cell r="P75">
            <v>1.1007250999999999E-2</v>
          </cell>
          <cell r="Q75">
            <v>1.5496859999999999E-2</v>
          </cell>
          <cell r="R75">
            <v>2.8604583999999999E-2</v>
          </cell>
          <cell r="S75">
            <v>5.7404080000000003E-2</v>
          </cell>
          <cell r="T75">
            <v>0.11035406</v>
          </cell>
          <cell r="U75">
            <v>0.17637702</v>
          </cell>
          <cell r="V75">
            <v>0.28744783000000002</v>
          </cell>
          <cell r="W75">
            <v>0.426146272747848</v>
          </cell>
        </row>
        <row r="76">
          <cell r="A76" t="str">
            <v>Grenada</v>
          </cell>
          <cell r="B76">
            <v>1.5205241E-2</v>
          </cell>
          <cell r="C76">
            <v>3.6768591000000002E-4</v>
          </cell>
          <cell r="D76">
            <v>3.8862499999999997E-4</v>
          </cell>
          <cell r="E76">
            <v>3.6863312E-4</v>
          </cell>
          <cell r="F76">
            <v>8.6650633000000005E-4</v>
          </cell>
          <cell r="G76">
            <v>1.1788629E-3</v>
          </cell>
          <cell r="H76">
            <v>1.2651289E-3</v>
          </cell>
          <cell r="I76">
            <v>1.5145988999999999E-3</v>
          </cell>
          <cell r="J76">
            <v>2.0437974000000001E-3</v>
          </cell>
          <cell r="K76">
            <v>2.9697972000000002E-3</v>
          </cell>
          <cell r="L76">
            <v>4.5809277999999997E-3</v>
          </cell>
          <cell r="M76">
            <v>7.0823346999999998E-3</v>
          </cell>
          <cell r="N76">
            <v>1.0943992E-2</v>
          </cell>
          <cell r="O76">
            <v>1.7214912999999998E-2</v>
          </cell>
          <cell r="P76">
            <v>2.7010934E-2</v>
          </cell>
          <cell r="Q76">
            <v>4.2469729999999997E-2</v>
          </cell>
          <cell r="R76">
            <v>6.8931205999999995E-2</v>
          </cell>
          <cell r="S76">
            <v>0.11208694</v>
          </cell>
          <cell r="T76">
            <v>0.17842305</v>
          </cell>
          <cell r="U76">
            <v>0.26956862999999998</v>
          </cell>
          <cell r="V76">
            <v>0.39084704999999997</v>
          </cell>
          <cell r="W76">
            <v>0.53690880233525295</v>
          </cell>
        </row>
        <row r="77">
          <cell r="A77" t="str">
            <v>Guadeloupe</v>
          </cell>
          <cell r="B77">
            <v>4.6800601999999998E-3</v>
          </cell>
          <cell r="C77">
            <v>1.1152205E-4</v>
          </cell>
          <cell r="D77">
            <v>1.1273996000000001E-4</v>
          </cell>
          <cell r="E77">
            <v>2.6013506999999998E-4</v>
          </cell>
          <cell r="F77">
            <v>4.2522540999999998E-4</v>
          </cell>
          <cell r="G77">
            <v>7.0946492000000005E-4</v>
          </cell>
          <cell r="H77">
            <v>9.0984851999999998E-4</v>
          </cell>
          <cell r="I77">
            <v>9.5993672000000004E-4</v>
          </cell>
          <cell r="J77">
            <v>1.0602731000000001E-3</v>
          </cell>
          <cell r="K77">
            <v>1.4198601E-3</v>
          </cell>
          <cell r="L77">
            <v>2.1009289E-3</v>
          </cell>
          <cell r="M77">
            <v>3.0868362E-3</v>
          </cell>
          <cell r="N77">
            <v>5.1935126000000002E-3</v>
          </cell>
          <cell r="O77">
            <v>8.3984069000000005E-3</v>
          </cell>
          <cell r="P77">
            <v>1.2210408000000001E-2</v>
          </cell>
          <cell r="Q77">
            <v>1.8920670000000001E-2</v>
          </cell>
          <cell r="R77">
            <v>3.0830245999999999E-2</v>
          </cell>
          <cell r="S77">
            <v>4.9824343E-2</v>
          </cell>
          <cell r="T77">
            <v>7.9646811999999997E-2</v>
          </cell>
          <cell r="U77">
            <v>0.12569701999999999</v>
          </cell>
          <cell r="V77">
            <v>0.19313769</v>
          </cell>
          <cell r="W77">
            <v>0.30312432668508899</v>
          </cell>
        </row>
        <row r="78">
          <cell r="A78" t="str">
            <v>Guam</v>
          </cell>
          <cell r="B78">
            <v>8.7690115999999995E-3</v>
          </cell>
          <cell r="C78">
            <v>3.3843304999999998E-4</v>
          </cell>
          <cell r="D78">
            <v>1.6928938000000001E-4</v>
          </cell>
          <cell r="E78">
            <v>1.4220914999999999E-4</v>
          </cell>
          <cell r="F78">
            <v>2.7286695999999999E-4</v>
          </cell>
          <cell r="G78">
            <v>3.8068101999999998E-4</v>
          </cell>
          <cell r="H78">
            <v>3.9456604000000001E-4</v>
          </cell>
          <cell r="I78">
            <v>4.5747555999999998E-4</v>
          </cell>
          <cell r="J78">
            <v>6.1601560000000002E-4</v>
          </cell>
          <cell r="K78">
            <v>9.5746421999999998E-4</v>
          </cell>
          <cell r="L78">
            <v>1.6880535999999999E-3</v>
          </cell>
          <cell r="M78">
            <v>2.8826506999999999E-3</v>
          </cell>
          <cell r="N78">
            <v>5.0342008999999998E-3</v>
          </cell>
          <cell r="O78">
            <v>8.2556613999999993E-3</v>
          </cell>
          <cell r="P78">
            <v>1.4360664E-2</v>
          </cell>
          <cell r="Q78">
            <v>2.5021345E-2</v>
          </cell>
          <cell r="R78">
            <v>4.2697868999999999E-2</v>
          </cell>
          <cell r="S78">
            <v>7.3599087999999993E-2</v>
          </cell>
          <cell r="T78">
            <v>0.12357728</v>
          </cell>
          <cell r="U78">
            <v>0.19208533999999999</v>
          </cell>
          <cell r="V78">
            <v>0.27486813999999998</v>
          </cell>
          <cell r="W78">
            <v>0.40287410385691502</v>
          </cell>
        </row>
        <row r="79">
          <cell r="A79" t="str">
            <v>Guatemala</v>
          </cell>
          <cell r="B79">
            <v>2.1100568E-2</v>
          </cell>
          <cell r="C79">
            <v>1.3732325E-3</v>
          </cell>
          <cell r="D79">
            <v>3.6281135E-4</v>
          </cell>
          <cell r="E79">
            <v>5.2198914000000003E-4</v>
          </cell>
          <cell r="F79">
            <v>1.1124119000000001E-3</v>
          </cell>
          <cell r="G79">
            <v>1.9088193000000001E-3</v>
          </cell>
          <cell r="H79">
            <v>2.538434E-3</v>
          </cell>
          <cell r="I79">
            <v>2.9316845000000001E-3</v>
          </cell>
          <cell r="J79">
            <v>3.2341980999999998E-3</v>
          </cell>
          <cell r="K79">
            <v>3.6759391000000001E-3</v>
          </cell>
          <cell r="L79">
            <v>4.4906216000000004E-3</v>
          </cell>
          <cell r="M79">
            <v>5.9246328999999999E-3</v>
          </cell>
          <cell r="N79">
            <v>8.2837807999999995E-3</v>
          </cell>
          <cell r="O79">
            <v>1.212647E-2</v>
          </cell>
          <cell r="P79">
            <v>1.6524727999999999E-2</v>
          </cell>
          <cell r="Q79">
            <v>2.4212213E-2</v>
          </cell>
          <cell r="R79">
            <v>4.2012334999999998E-2</v>
          </cell>
          <cell r="S79">
            <v>7.3881663E-2</v>
          </cell>
          <cell r="T79">
            <v>0.12279305</v>
          </cell>
          <cell r="U79">
            <v>0.19308275</v>
          </cell>
          <cell r="V79">
            <v>0.28359353999999998</v>
          </cell>
          <cell r="W79">
            <v>0.399514749385396</v>
          </cell>
        </row>
        <row r="80">
          <cell r="A80" t="str">
            <v>Guinea</v>
          </cell>
          <cell r="B80">
            <v>5.3902473999999999E-2</v>
          </cell>
          <cell r="C80">
            <v>7.8203124999999991E-3</v>
          </cell>
          <cell r="D80">
            <v>2.7721979E-3</v>
          </cell>
          <cell r="E80">
            <v>1.6286906999999999E-3</v>
          </cell>
          <cell r="F80">
            <v>2.4872342000000001E-3</v>
          </cell>
          <cell r="G80">
            <v>3.4944225999999998E-3</v>
          </cell>
          <cell r="H80">
            <v>3.7503399E-3</v>
          </cell>
          <cell r="I80">
            <v>4.1423746000000001E-3</v>
          </cell>
          <cell r="J80">
            <v>4.7644597000000002E-3</v>
          </cell>
          <cell r="K80">
            <v>5.8125312999999998E-3</v>
          </cell>
          <cell r="L80">
            <v>7.2321983999999997E-3</v>
          </cell>
          <cell r="M80">
            <v>1.022883E-2</v>
          </cell>
          <cell r="N80">
            <v>1.4737004999999999E-2</v>
          </cell>
          <cell r="O80">
            <v>2.3623972E-2</v>
          </cell>
          <cell r="P80">
            <v>3.7785759000000002E-2</v>
          </cell>
          <cell r="Q80">
            <v>6.4286138000000007E-2</v>
          </cell>
          <cell r="R80">
            <v>0.10874273</v>
          </cell>
          <cell r="S80">
            <v>0.18067308000000001</v>
          </cell>
          <cell r="T80">
            <v>0.28157975000000002</v>
          </cell>
          <cell r="U80">
            <v>0.41064462000000002</v>
          </cell>
          <cell r="V80">
            <v>0.57503764999999996</v>
          </cell>
          <cell r="W80">
            <v>0.70129871404958699</v>
          </cell>
        </row>
        <row r="81">
          <cell r="A81" t="str">
            <v>Guinea-Bissau</v>
          </cell>
          <cell r="B81">
            <v>5.9828579E-2</v>
          </cell>
          <cell r="C81">
            <v>6.8309690000000001E-3</v>
          </cell>
          <cell r="D81">
            <v>2.6597213E-3</v>
          </cell>
          <cell r="E81">
            <v>1.8669299999999999E-3</v>
          </cell>
          <cell r="F81">
            <v>2.7763718E-3</v>
          </cell>
          <cell r="G81">
            <v>4.1070767999999997E-3</v>
          </cell>
          <cell r="H81">
            <v>5.2042848999999999E-3</v>
          </cell>
          <cell r="I81">
            <v>6.3767525999999996E-3</v>
          </cell>
          <cell r="J81">
            <v>7.9973726999999998E-3</v>
          </cell>
          <cell r="K81">
            <v>9.7347006E-3</v>
          </cell>
          <cell r="L81">
            <v>1.1726712E-2</v>
          </cell>
          <cell r="M81">
            <v>1.5397516E-2</v>
          </cell>
          <cell r="N81">
            <v>1.9777626E-2</v>
          </cell>
          <cell r="O81">
            <v>2.8381710000000001E-2</v>
          </cell>
          <cell r="P81">
            <v>4.2840826999999998E-2</v>
          </cell>
          <cell r="Q81">
            <v>6.7331035999999997E-2</v>
          </cell>
          <cell r="R81">
            <v>0.10734575</v>
          </cell>
          <cell r="S81">
            <v>0.17796028</v>
          </cell>
          <cell r="T81">
            <v>0.29358929</v>
          </cell>
          <cell r="U81">
            <v>0.47446808000000001</v>
          </cell>
          <cell r="V81">
            <v>0.66165552999999999</v>
          </cell>
          <cell r="W81">
            <v>0.85233413407284098</v>
          </cell>
        </row>
        <row r="82">
          <cell r="A82" t="str">
            <v>Guyana</v>
          </cell>
          <cell r="B82">
            <v>2.7413630000000001E-2</v>
          </cell>
          <cell r="C82">
            <v>1.4248764E-3</v>
          </cell>
          <cell r="D82">
            <v>9.4790924000000005E-4</v>
          </cell>
          <cell r="E82">
            <v>7.7349053999999995E-4</v>
          </cell>
          <cell r="F82">
            <v>1.7322463999999999E-3</v>
          </cell>
          <cell r="G82">
            <v>2.8326124000000001E-3</v>
          </cell>
          <cell r="H82">
            <v>3.5464547999999999E-3</v>
          </cell>
          <cell r="I82">
            <v>3.8120421999999999E-3</v>
          </cell>
          <cell r="J82">
            <v>4.4381645999999999E-3</v>
          </cell>
          <cell r="K82">
            <v>5.0727181E-3</v>
          </cell>
          <cell r="L82">
            <v>6.0700357000000003E-3</v>
          </cell>
          <cell r="M82">
            <v>1.1247368000000001E-2</v>
          </cell>
          <cell r="N82">
            <v>1.2933470000000001E-2</v>
          </cell>
          <cell r="O82">
            <v>1.8147331999999999E-2</v>
          </cell>
          <cell r="P82">
            <v>2.4312835000000001E-2</v>
          </cell>
          <cell r="Q82">
            <v>3.3364945E-2</v>
          </cell>
          <cell r="R82">
            <v>5.2763767000000003E-2</v>
          </cell>
          <cell r="S82">
            <v>7.0318795000000003E-2</v>
          </cell>
          <cell r="T82">
            <v>9.8649830999999993E-2</v>
          </cell>
          <cell r="U82">
            <v>0.13457548</v>
          </cell>
          <cell r="V82">
            <v>0.17850548999999999</v>
          </cell>
          <cell r="W82">
            <v>0.24988166229177999</v>
          </cell>
        </row>
        <row r="83">
          <cell r="A83" t="str">
            <v>Haiti</v>
          </cell>
          <cell r="B83">
            <v>5.6774908999999998E-2</v>
          </cell>
          <cell r="C83">
            <v>7.1964120999999997E-3</v>
          </cell>
          <cell r="D83">
            <v>2.5306183000000002E-3</v>
          </cell>
          <cell r="E83">
            <v>2.0568750000000001E-3</v>
          </cell>
          <cell r="F83">
            <v>2.5477549E-3</v>
          </cell>
          <cell r="G83">
            <v>3.2243889999999998E-3</v>
          </cell>
          <cell r="H83">
            <v>3.8356634000000001E-3</v>
          </cell>
          <cell r="I83">
            <v>4.3651660000000002E-3</v>
          </cell>
          <cell r="J83">
            <v>4.9048896999999998E-3</v>
          </cell>
          <cell r="K83">
            <v>5.6239169000000004E-3</v>
          </cell>
          <cell r="L83">
            <v>6.7778452999999999E-3</v>
          </cell>
          <cell r="M83">
            <v>8.7553010999999997E-3</v>
          </cell>
          <cell r="N83">
            <v>1.215079E-2</v>
          </cell>
          <cell r="O83">
            <v>1.7918570000000002E-2</v>
          </cell>
          <cell r="P83">
            <v>2.7544185999999998E-2</v>
          </cell>
          <cell r="Q83">
            <v>4.3530928000000003E-2</v>
          </cell>
          <cell r="R83">
            <v>6.9595433999999998E-2</v>
          </cell>
          <cell r="S83">
            <v>0.10346187</v>
          </cell>
          <cell r="T83">
            <v>0.14747545000000001</v>
          </cell>
          <cell r="U83">
            <v>0.20074083000000001</v>
          </cell>
          <cell r="V83">
            <v>0.26157830999999998</v>
          </cell>
          <cell r="W83">
            <v>0.34493656237187797</v>
          </cell>
        </row>
        <row r="84">
          <cell r="A84" t="str">
            <v>Honduras</v>
          </cell>
          <cell r="B84">
            <v>1.5248711999999999E-2</v>
          </cell>
          <cell r="C84">
            <v>1.5983788E-3</v>
          </cell>
          <cell r="D84">
            <v>8.6078973000000005E-4</v>
          </cell>
          <cell r="E84">
            <v>6.9583274000000004E-4</v>
          </cell>
          <cell r="F84">
            <v>1.0000727000000001E-3</v>
          </cell>
          <cell r="G84">
            <v>1.4643028000000001E-3</v>
          </cell>
          <cell r="H84">
            <v>1.9364807E-3</v>
          </cell>
          <cell r="I84">
            <v>2.3865165000000002E-3</v>
          </cell>
          <cell r="J84">
            <v>2.8518337E-3</v>
          </cell>
          <cell r="K84">
            <v>3.4294767000000001E-3</v>
          </cell>
          <cell r="L84">
            <v>4.2675767999999998E-3</v>
          </cell>
          <cell r="M84">
            <v>5.5948941E-3</v>
          </cell>
          <cell r="N84">
            <v>7.7627447E-3</v>
          </cell>
          <cell r="O84">
            <v>1.1327210000000001E-2</v>
          </cell>
          <cell r="P84">
            <v>1.7178609000000001E-2</v>
          </cell>
          <cell r="Q84">
            <v>2.6728814E-2</v>
          </cell>
          <cell r="R84">
            <v>4.2176354999999999E-2</v>
          </cell>
          <cell r="S84">
            <v>6.6839543000000001E-2</v>
          </cell>
          <cell r="T84">
            <v>0.10552781</v>
          </cell>
          <cell r="U84">
            <v>0.16492175000000001</v>
          </cell>
          <cell r="V84">
            <v>0.25998114999999999</v>
          </cell>
          <cell r="W84">
            <v>0.395842106184012</v>
          </cell>
        </row>
        <row r="85">
          <cell r="A85" t="str">
            <v>Hungary</v>
          </cell>
          <cell r="B85">
            <v>4.0685549999999997E-3</v>
          </cell>
          <cell r="C85">
            <v>1.4737438E-4</v>
          </cell>
          <cell r="D85">
            <v>6.9005845000000006E-5</v>
          </cell>
          <cell r="E85">
            <v>1.152681E-4</v>
          </cell>
          <cell r="F85">
            <v>2.4485403000000001E-4</v>
          </cell>
          <cell r="G85">
            <v>3.5455455000000001E-4</v>
          </cell>
          <cell r="H85">
            <v>4.3526430999999999E-4</v>
          </cell>
          <cell r="I85">
            <v>5.3511688000000004E-4</v>
          </cell>
          <cell r="J85">
            <v>8.4618949000000001E-4</v>
          </cell>
          <cell r="K85">
            <v>1.5839580999999999E-3</v>
          </cell>
          <cell r="L85">
            <v>3.538523E-3</v>
          </cell>
          <cell r="M85">
            <v>7.1646317000000001E-3</v>
          </cell>
          <cell r="N85">
            <v>1.1512700000000001E-2</v>
          </cell>
          <cell r="O85">
            <v>1.6488642000000001E-2</v>
          </cell>
          <cell r="P85">
            <v>2.1142310000000001E-2</v>
          </cell>
          <cell r="Q85">
            <v>3.0187375999999998E-2</v>
          </cell>
          <cell r="R85">
            <v>4.7527641000000002E-2</v>
          </cell>
          <cell r="S85">
            <v>8.1036774000000006E-2</v>
          </cell>
          <cell r="T85">
            <v>0.14021042</v>
          </cell>
          <cell r="U85">
            <v>0.21306493000000001</v>
          </cell>
          <cell r="V85">
            <v>0.33246849000000001</v>
          </cell>
          <cell r="W85">
            <v>0.47954535264206699</v>
          </cell>
        </row>
        <row r="86">
          <cell r="A86" t="str">
            <v>Iceland</v>
          </cell>
          <cell r="B86">
            <v>1.2611154000000001E-3</v>
          </cell>
          <cell r="C86">
            <v>1.2794527E-4</v>
          </cell>
          <cell r="D86">
            <v>7.9258391999999998E-5</v>
          </cell>
          <cell r="E86">
            <v>1.2017552E-4</v>
          </cell>
          <cell r="F86">
            <v>1.8507180999999999E-4</v>
          </cell>
          <cell r="G86">
            <v>3.5066009E-4</v>
          </cell>
          <cell r="H86">
            <v>4.0295792999999998E-4</v>
          </cell>
          <cell r="I86">
            <v>5.4188149000000002E-4</v>
          </cell>
          <cell r="J86">
            <v>5.7815356000000002E-4</v>
          </cell>
          <cell r="K86">
            <v>1.0312343999999999E-3</v>
          </cell>
          <cell r="L86">
            <v>1.2503025E-3</v>
          </cell>
          <cell r="M86">
            <v>1.9544356999999998E-3</v>
          </cell>
          <cell r="N86">
            <v>3.3851152999999998E-3</v>
          </cell>
          <cell r="O86">
            <v>6.2105355000000003E-3</v>
          </cell>
          <cell r="P86">
            <v>1.0792609999999999E-2</v>
          </cell>
          <cell r="Q86">
            <v>1.6192542000000001E-2</v>
          </cell>
          <cell r="R86">
            <v>3.0639201000000001E-2</v>
          </cell>
          <cell r="S86">
            <v>5.7319786999999997E-2</v>
          </cell>
          <cell r="T86">
            <v>0.10901226999999999</v>
          </cell>
          <cell r="U86">
            <v>0.19294084</v>
          </cell>
          <cell r="V86">
            <v>0.30379667999999999</v>
          </cell>
          <cell r="W86">
            <v>0.465979858952557</v>
          </cell>
        </row>
        <row r="87">
          <cell r="A87" t="str">
            <v>India</v>
          </cell>
          <cell r="B87">
            <v>3.2905592999999997E-2</v>
          </cell>
          <cell r="C87">
            <v>1.9216846000000001E-3</v>
          </cell>
          <cell r="D87">
            <v>7.1663227000000004E-4</v>
          </cell>
          <cell r="E87">
            <v>6.0249078000000004E-4</v>
          </cell>
          <cell r="F87">
            <v>9.4851435000000003E-4</v>
          </cell>
          <cell r="G87">
            <v>1.377755E-3</v>
          </cell>
          <cell r="H87">
            <v>1.5585326E-3</v>
          </cell>
          <cell r="I87">
            <v>1.9909837999999998E-3</v>
          </cell>
          <cell r="J87">
            <v>2.7617183999999999E-3</v>
          </cell>
          <cell r="K87">
            <v>3.7217993000000001E-3</v>
          </cell>
          <cell r="L87">
            <v>5.3647935999999998E-3</v>
          </cell>
          <cell r="M87">
            <v>8.6497681E-3</v>
          </cell>
          <cell r="N87">
            <v>1.2982907E-2</v>
          </cell>
          <cell r="O87">
            <v>1.9453697999999998E-2</v>
          </cell>
          <cell r="P87">
            <v>2.9876994E-2</v>
          </cell>
          <cell r="Q87">
            <v>4.7802754000000003E-2</v>
          </cell>
          <cell r="R87">
            <v>7.1392497999999999E-2</v>
          </cell>
          <cell r="S87">
            <v>0.11121219</v>
          </cell>
          <cell r="T87">
            <v>0.16845549000000001</v>
          </cell>
          <cell r="U87">
            <v>0.24760963</v>
          </cell>
          <cell r="V87">
            <v>0.2313066</v>
          </cell>
          <cell r="W87">
            <v>0.32729534516632602</v>
          </cell>
        </row>
        <row r="88">
          <cell r="A88" t="str">
            <v>Indonesia</v>
          </cell>
          <cell r="B88">
            <v>1.9250153999999998E-2</v>
          </cell>
          <cell r="C88">
            <v>1.527931E-3</v>
          </cell>
          <cell r="D88">
            <v>5.0708619999999998E-4</v>
          </cell>
          <cell r="E88">
            <v>4.4802216000000003E-4</v>
          </cell>
          <cell r="F88">
            <v>9.4035660000000004E-4</v>
          </cell>
          <cell r="G88">
            <v>1.2366110000000001E-3</v>
          </cell>
          <cell r="H88">
            <v>1.3107454E-3</v>
          </cell>
          <cell r="I88">
            <v>1.5600405999999999E-3</v>
          </cell>
          <cell r="J88">
            <v>2.1014083E-3</v>
          </cell>
          <cell r="K88">
            <v>3.0209855000000001E-3</v>
          </cell>
          <cell r="L88">
            <v>4.6459068999999999E-3</v>
          </cell>
          <cell r="M88">
            <v>7.2270846999999997E-3</v>
          </cell>
          <cell r="N88">
            <v>1.1329814000000001E-2</v>
          </cell>
          <cell r="O88">
            <v>1.7717789000000001E-2</v>
          </cell>
          <cell r="P88">
            <v>2.7471451000000001E-2</v>
          </cell>
          <cell r="Q88">
            <v>4.3598999999999999E-2</v>
          </cell>
          <cell r="R88">
            <v>7.1703180000000005E-2</v>
          </cell>
          <cell r="S88">
            <v>0.11576444</v>
          </cell>
          <cell r="T88">
            <v>0.18385713000000001</v>
          </cell>
          <cell r="U88">
            <v>0.27377820000000003</v>
          </cell>
          <cell r="V88">
            <v>0.38935618999999999</v>
          </cell>
          <cell r="W88">
            <v>0.52602760940072402</v>
          </cell>
        </row>
        <row r="89">
          <cell r="A89" t="str">
            <v>Iran (Islamic Republic of)</v>
          </cell>
          <cell r="B89">
            <v>1.2969764999999999E-2</v>
          </cell>
          <cell r="C89">
            <v>5.3251361000000003E-4</v>
          </cell>
          <cell r="D89">
            <v>1.7599754000000001E-4</v>
          </cell>
          <cell r="E89">
            <v>1.9603451000000001E-4</v>
          </cell>
          <cell r="F89">
            <v>4.2712262000000001E-4</v>
          </cell>
          <cell r="G89">
            <v>7.6081673999999996E-4</v>
          </cell>
          <cell r="H89">
            <v>5.9267396000000001E-4</v>
          </cell>
          <cell r="I89">
            <v>6.4608730000000004E-4</v>
          </cell>
          <cell r="J89">
            <v>7.0703029999999998E-4</v>
          </cell>
          <cell r="K89">
            <v>1.0421781E-3</v>
          </cell>
          <cell r="L89">
            <v>1.7465911000000001E-3</v>
          </cell>
          <cell r="M89">
            <v>3.2633736000000002E-3</v>
          </cell>
          <cell r="N89">
            <v>4.8517519000000004E-3</v>
          </cell>
          <cell r="O89">
            <v>9.0514676999999995E-3</v>
          </cell>
          <cell r="P89">
            <v>1.6774185E-2</v>
          </cell>
          <cell r="Q89">
            <v>3.4748749000000002E-2</v>
          </cell>
          <cell r="R89">
            <v>7.5644959999999997E-2</v>
          </cell>
          <cell r="S89">
            <v>0.12058642999999999</v>
          </cell>
          <cell r="T89">
            <v>0.19038331</v>
          </cell>
          <cell r="U89">
            <v>0.29429443</v>
          </cell>
          <cell r="V89">
            <v>0.42652795999999998</v>
          </cell>
          <cell r="W89">
            <v>0.57712136250504797</v>
          </cell>
        </row>
        <row r="90">
          <cell r="A90" t="str">
            <v>Iraq</v>
          </cell>
          <cell r="B90">
            <v>2.4635428000000001E-2</v>
          </cell>
          <cell r="C90">
            <v>1.0828681000000001E-3</v>
          </cell>
          <cell r="D90">
            <v>6.7936641999999999E-4</v>
          </cell>
          <cell r="E90">
            <v>5.6635400999999999E-4</v>
          </cell>
          <cell r="F90">
            <v>1.0027320999999999E-3</v>
          </cell>
          <cell r="G90">
            <v>1.4199783E-3</v>
          </cell>
          <cell r="H90">
            <v>1.5299426000000001E-3</v>
          </cell>
          <cell r="I90">
            <v>1.755356E-3</v>
          </cell>
          <cell r="J90">
            <v>2.2153839999999999E-3</v>
          </cell>
          <cell r="K90">
            <v>3.1134178000000001E-3</v>
          </cell>
          <cell r="L90">
            <v>4.7443064000000004E-3</v>
          </cell>
          <cell r="M90">
            <v>7.2865326000000003E-3</v>
          </cell>
          <cell r="N90">
            <v>1.1370742E-2</v>
          </cell>
          <cell r="O90">
            <v>1.7938559999999999E-2</v>
          </cell>
          <cell r="P90">
            <v>2.9109152999999999E-2</v>
          </cell>
          <cell r="Q90">
            <v>4.8005051999999999E-2</v>
          </cell>
          <cell r="R90">
            <v>7.8693476999999998E-2</v>
          </cell>
          <cell r="S90">
            <v>0.1295413</v>
          </cell>
          <cell r="T90">
            <v>0.20400732999999999</v>
          </cell>
          <cell r="U90">
            <v>0.30477734000000001</v>
          </cell>
          <cell r="V90">
            <v>0.42581627999999999</v>
          </cell>
          <cell r="W90">
            <v>0.51775340171751205</v>
          </cell>
        </row>
        <row r="91">
          <cell r="A91" t="str">
            <v>Ireland</v>
          </cell>
          <cell r="B91">
            <v>2.7103319000000002E-3</v>
          </cell>
          <cell r="C91">
            <v>1.1872767E-4</v>
          </cell>
          <cell r="D91">
            <v>6.7558061000000006E-5</v>
          </cell>
          <cell r="E91">
            <v>8.2277355999999999E-5</v>
          </cell>
          <cell r="F91">
            <v>2.4414977E-4</v>
          </cell>
          <cell r="G91">
            <v>4.7976559999999999E-4</v>
          </cell>
          <cell r="H91">
            <v>4.8675224999999999E-4</v>
          </cell>
          <cell r="I91">
            <v>5.8717402000000001E-4</v>
          </cell>
          <cell r="J91">
            <v>7.2352676000000005E-4</v>
          </cell>
          <cell r="K91">
            <v>1.0873458E-3</v>
          </cell>
          <cell r="L91">
            <v>1.7854222999999999E-3</v>
          </cell>
          <cell r="M91">
            <v>2.7200340000000001E-3</v>
          </cell>
          <cell r="N91">
            <v>4.2717579999999996E-3</v>
          </cell>
          <cell r="O91">
            <v>6.784521E-3</v>
          </cell>
          <cell r="P91">
            <v>1.0681794E-2</v>
          </cell>
          <cell r="Q91">
            <v>1.7386523000000001E-2</v>
          </cell>
          <cell r="R91">
            <v>3.1049198E-2</v>
          </cell>
          <cell r="S91">
            <v>6.0164843000000003E-2</v>
          </cell>
          <cell r="T91">
            <v>0.10877359</v>
          </cell>
          <cell r="U91">
            <v>0.18390342000000001</v>
          </cell>
          <cell r="V91">
            <v>0.29689254999999998</v>
          </cell>
          <cell r="W91">
            <v>0.45219130550071701</v>
          </cell>
        </row>
        <row r="92">
          <cell r="A92" t="str">
            <v>Israel</v>
          </cell>
          <cell r="B92">
            <v>2.7368522999999998E-3</v>
          </cell>
          <cell r="C92">
            <v>1.5832298999999999E-4</v>
          </cell>
          <cell r="D92">
            <v>8.4325343000000001E-5</v>
          </cell>
          <cell r="E92">
            <v>8.6210292999999998E-5</v>
          </cell>
          <cell r="F92">
            <v>2.2689973999999999E-4</v>
          </cell>
          <cell r="G92">
            <v>3.3490058999999998E-4</v>
          </cell>
          <cell r="H92">
            <v>3.2767133000000001E-4</v>
          </cell>
          <cell r="I92">
            <v>4.1565720000000001E-4</v>
          </cell>
          <cell r="J92">
            <v>5.7166300999999999E-4</v>
          </cell>
          <cell r="K92">
            <v>8.9962048999999995E-4</v>
          </cell>
          <cell r="L92">
            <v>1.4684355999999999E-3</v>
          </cell>
          <cell r="M92">
            <v>2.3889959E-3</v>
          </cell>
          <cell r="N92">
            <v>3.9321581000000003E-3</v>
          </cell>
          <cell r="O92">
            <v>6.3011129999999997E-3</v>
          </cell>
          <cell r="P92">
            <v>1.0382462E-2</v>
          </cell>
          <cell r="Q92">
            <v>1.7699487E-2</v>
          </cell>
          <cell r="R92">
            <v>3.1327094999999999E-2</v>
          </cell>
          <cell r="S92">
            <v>5.5734839000000001E-2</v>
          </cell>
          <cell r="T92">
            <v>0.10032663</v>
          </cell>
          <cell r="U92">
            <v>0.16456290000000001</v>
          </cell>
          <cell r="V92">
            <v>0.27222420000000003</v>
          </cell>
          <cell r="W92">
            <v>0.41890359440648101</v>
          </cell>
        </row>
        <row r="93">
          <cell r="A93" t="str">
            <v>Italy</v>
          </cell>
          <cell r="B93">
            <v>2.6074011000000001E-3</v>
          </cell>
          <cell r="C93">
            <v>1.1329403000000001E-4</v>
          </cell>
          <cell r="D93">
            <v>6.2674929000000005E-5</v>
          </cell>
          <cell r="E93">
            <v>7.4414623E-5</v>
          </cell>
          <cell r="F93">
            <v>1.9553784E-4</v>
          </cell>
          <cell r="G93">
            <v>2.7208171000000001E-4</v>
          </cell>
          <cell r="H93">
            <v>2.8499865999999998E-4</v>
          </cell>
          <cell r="I93">
            <v>3.5867906999999998E-4</v>
          </cell>
          <cell r="J93">
            <v>5.0155645000000005E-4</v>
          </cell>
          <cell r="K93">
            <v>8.3510178999999997E-4</v>
          </cell>
          <cell r="L93">
            <v>1.4697740999999999E-3</v>
          </cell>
          <cell r="M93">
            <v>2.3875809000000001E-3</v>
          </cell>
          <cell r="N93">
            <v>3.7282594E-3</v>
          </cell>
          <cell r="O93">
            <v>5.992069E-3</v>
          </cell>
          <cell r="P93">
            <v>9.4394591999999999E-3</v>
          </cell>
          <cell r="Q93">
            <v>1.4907787E-2</v>
          </cell>
          <cell r="R93">
            <v>2.7216582E-2</v>
          </cell>
          <cell r="S93">
            <v>5.3585407000000002E-2</v>
          </cell>
          <cell r="T93">
            <v>0.10286878000000001</v>
          </cell>
          <cell r="U93">
            <v>0.17801131000000001</v>
          </cell>
          <cell r="V93">
            <v>0.29925619999999997</v>
          </cell>
          <cell r="W93">
            <v>0.46516935164742301</v>
          </cell>
        </row>
        <row r="94">
          <cell r="A94" t="str">
            <v>Jamaica</v>
          </cell>
          <cell r="B94">
            <v>1.1901406E-2</v>
          </cell>
          <cell r="C94">
            <v>8.0959482000000004E-4</v>
          </cell>
          <cell r="D94">
            <v>3.4340366000000001E-4</v>
          </cell>
          <cell r="E94">
            <v>3.274029E-4</v>
          </cell>
          <cell r="F94">
            <v>7.9032715000000001E-4</v>
          </cell>
          <cell r="G94">
            <v>1.0808790000000001E-3</v>
          </cell>
          <cell r="H94">
            <v>1.15127E-3</v>
          </cell>
          <cell r="I94">
            <v>1.3782359000000001E-3</v>
          </cell>
          <cell r="J94">
            <v>1.867023E-3</v>
          </cell>
          <cell r="K94">
            <v>2.7348458999999999E-3</v>
          </cell>
          <cell r="L94">
            <v>4.2585543999999996E-3</v>
          </cell>
          <cell r="M94">
            <v>6.6707028999999996E-3</v>
          </cell>
          <cell r="N94">
            <v>1.0353784E-2</v>
          </cell>
          <cell r="O94">
            <v>1.4655764E-2</v>
          </cell>
          <cell r="P94">
            <v>2.1023297E-2</v>
          </cell>
          <cell r="Q94">
            <v>3.2577999000000003E-2</v>
          </cell>
          <cell r="R94">
            <v>5.4998089E-2</v>
          </cell>
          <cell r="S94">
            <v>9.1971010000000006E-2</v>
          </cell>
          <cell r="T94">
            <v>0.1500176</v>
          </cell>
          <cell r="U94">
            <v>0.22883766999999999</v>
          </cell>
          <cell r="V94">
            <v>0.32691923000000001</v>
          </cell>
          <cell r="W94">
            <v>0.43760282572397402</v>
          </cell>
        </row>
        <row r="95">
          <cell r="A95" t="str">
            <v>Japan</v>
          </cell>
          <cell r="B95">
            <v>1.7670352E-3</v>
          </cell>
          <cell r="C95">
            <v>1.7570252999999999E-4</v>
          </cell>
          <cell r="D95">
            <v>8.1228457000000006E-5</v>
          </cell>
          <cell r="E95">
            <v>8.0011445000000001E-5</v>
          </cell>
          <cell r="F95">
            <v>2.01399E-4</v>
          </cell>
          <cell r="G95">
            <v>3.6127791000000001E-4</v>
          </cell>
          <cell r="H95">
            <v>4.0319340000000001E-4</v>
          </cell>
          <cell r="I95">
            <v>4.7860121000000002E-4</v>
          </cell>
          <cell r="J95">
            <v>6.4810460999999999E-4</v>
          </cell>
          <cell r="K95">
            <v>1.0036674999999999E-3</v>
          </cell>
          <cell r="L95">
            <v>1.5676772E-3</v>
          </cell>
          <cell r="M95">
            <v>2.4709415000000001E-3</v>
          </cell>
          <cell r="N95">
            <v>3.7216348E-3</v>
          </cell>
          <cell r="O95">
            <v>5.7612449000000003E-3</v>
          </cell>
          <cell r="P95">
            <v>8.6794132999999992E-3</v>
          </cell>
          <cell r="Q95">
            <v>1.3341789E-2</v>
          </cell>
          <cell r="R95">
            <v>2.3022299E-2</v>
          </cell>
          <cell r="S95">
            <v>4.2743296E-2</v>
          </cell>
          <cell r="T95">
            <v>7.9447824E-2</v>
          </cell>
          <cell r="U95">
            <v>0.14309586999999999</v>
          </cell>
          <cell r="V95">
            <v>0.24357735999999999</v>
          </cell>
          <cell r="W95">
            <v>0.40077750836623</v>
          </cell>
        </row>
        <row r="96">
          <cell r="A96" t="str">
            <v>Jordan</v>
          </cell>
          <cell r="B96">
            <v>1.4830437E-2</v>
          </cell>
          <cell r="C96">
            <v>6.1055954E-4</v>
          </cell>
          <cell r="D96">
            <v>3.2855490999999999E-4</v>
          </cell>
          <cell r="E96">
            <v>2.7595562E-4</v>
          </cell>
          <cell r="F96">
            <v>5.1262479999999999E-4</v>
          </cell>
          <cell r="G96">
            <v>7.1736133E-4</v>
          </cell>
          <cell r="H96">
            <v>7.7324589999999997E-4</v>
          </cell>
          <cell r="I96">
            <v>9.1262627000000005E-4</v>
          </cell>
          <cell r="J96">
            <v>1.2259897000000001E-3</v>
          </cell>
          <cell r="K96">
            <v>1.8592203000000001E-3</v>
          </cell>
          <cell r="L96">
            <v>3.1346363000000002E-3</v>
          </cell>
          <cell r="M96">
            <v>5.1328703999999996E-3</v>
          </cell>
          <cell r="N96">
            <v>8.5350900000000004E-3</v>
          </cell>
          <cell r="O96">
            <v>1.3821190000000001E-2</v>
          </cell>
          <cell r="P96">
            <v>2.3326461E-2</v>
          </cell>
          <cell r="Q96">
            <v>3.9570833999999999E-2</v>
          </cell>
          <cell r="R96">
            <v>6.6974896000000006E-2</v>
          </cell>
          <cell r="S96">
            <v>0.11460426</v>
          </cell>
          <cell r="T96">
            <v>0.18476210000000001</v>
          </cell>
          <cell r="U96">
            <v>0.28240272999999999</v>
          </cell>
          <cell r="V96">
            <v>0.40063808000000001</v>
          </cell>
          <cell r="W96">
            <v>0.55497890164458596</v>
          </cell>
        </row>
        <row r="97">
          <cell r="A97" t="str">
            <v>Kazakhstan</v>
          </cell>
          <cell r="B97">
            <v>7.7288879999999997E-3</v>
          </cell>
          <cell r="C97">
            <v>5.5953120999999997E-4</v>
          </cell>
          <cell r="D97">
            <v>2.7372688999999998E-4</v>
          </cell>
          <cell r="E97">
            <v>2.9309212999999997E-4</v>
          </cell>
          <cell r="F97">
            <v>5.9136889000000002E-4</v>
          </cell>
          <cell r="G97">
            <v>8.6980911000000003E-4</v>
          </cell>
          <cell r="H97">
            <v>1.1352812E-3</v>
          </cell>
          <cell r="I97">
            <v>1.7432176E-3</v>
          </cell>
          <cell r="J97">
            <v>2.7831562999999998E-3</v>
          </cell>
          <cell r="K97">
            <v>3.8465075E-3</v>
          </cell>
          <cell r="L97">
            <v>5.1737381000000002E-3</v>
          </cell>
          <cell r="M97">
            <v>7.2727210999999998E-3</v>
          </cell>
          <cell r="N97">
            <v>1.1002101E-2</v>
          </cell>
          <cell r="O97">
            <v>1.7208781999999999E-2</v>
          </cell>
          <cell r="P97">
            <v>2.6282600999999999E-2</v>
          </cell>
          <cell r="Q97">
            <v>3.7711517E-2</v>
          </cell>
          <cell r="R97">
            <v>6.2512025999999998E-2</v>
          </cell>
          <cell r="S97">
            <v>9.9659063000000006E-2</v>
          </cell>
          <cell r="T97">
            <v>0.15727260000000001</v>
          </cell>
          <cell r="U97">
            <v>0.24327615999999999</v>
          </cell>
          <cell r="V97">
            <v>0.35379930999999998</v>
          </cell>
          <cell r="W97">
            <v>0.49623223271505301</v>
          </cell>
        </row>
        <row r="98">
          <cell r="A98" t="str">
            <v>Kenya</v>
          </cell>
          <cell r="B98">
            <v>3.7529791999999999E-2</v>
          </cell>
          <cell r="C98">
            <v>2.8986910000000001E-3</v>
          </cell>
          <cell r="D98">
            <v>8.9076089999999997E-4</v>
          </cell>
          <cell r="E98">
            <v>7.2318827000000005E-4</v>
          </cell>
          <cell r="F98">
            <v>1.257174E-3</v>
          </cell>
          <cell r="G98">
            <v>2.024648E-3</v>
          </cell>
          <cell r="H98">
            <v>2.7928033000000001E-3</v>
          </cell>
          <cell r="I98">
            <v>3.6486813000000001E-3</v>
          </cell>
          <cell r="J98">
            <v>4.8917763999999997E-3</v>
          </cell>
          <cell r="K98">
            <v>6.1679812000000004E-3</v>
          </cell>
          <cell r="L98">
            <v>7.7831864000000002E-3</v>
          </cell>
          <cell r="M98">
            <v>1.0546425999999999E-2</v>
          </cell>
          <cell r="N98">
            <v>1.3756066000000001E-2</v>
          </cell>
          <cell r="O98">
            <v>1.9917523999999999E-2</v>
          </cell>
          <cell r="P98">
            <v>3.0378365000000001E-2</v>
          </cell>
          <cell r="Q98">
            <v>4.7756075000000002E-2</v>
          </cell>
          <cell r="R98">
            <v>7.6853871000000004E-2</v>
          </cell>
          <cell r="S98">
            <v>0.12928423</v>
          </cell>
          <cell r="T98">
            <v>0.21881972</v>
          </cell>
          <cell r="U98">
            <v>0.36676449999999999</v>
          </cell>
          <cell r="V98">
            <v>0.52990086000000003</v>
          </cell>
          <cell r="W98">
            <v>0.705950406560369</v>
          </cell>
        </row>
        <row r="99">
          <cell r="A99" t="str">
            <v>Kiribati</v>
          </cell>
          <cell r="B99">
            <v>4.4384838000000003E-2</v>
          </cell>
          <cell r="C99">
            <v>2.9958557999999998E-3</v>
          </cell>
          <cell r="D99">
            <v>1.0128241999999999E-3</v>
          </cell>
          <cell r="E99">
            <v>7.7173243000000003E-4</v>
          </cell>
          <cell r="F99">
            <v>1.3654617999999999E-3</v>
          </cell>
          <cell r="G99">
            <v>1.8167158000000001E-3</v>
          </cell>
          <cell r="H99">
            <v>1.9412619E-3</v>
          </cell>
          <cell r="I99">
            <v>2.2772661E-3</v>
          </cell>
          <cell r="J99">
            <v>2.9875346999999998E-3</v>
          </cell>
          <cell r="K99">
            <v>4.1302138E-3</v>
          </cell>
          <cell r="L99">
            <v>6.0296665999999997E-3</v>
          </cell>
          <cell r="M99">
            <v>9.0777190999999993E-3</v>
          </cell>
          <cell r="N99">
            <v>1.3780414E-2</v>
          </cell>
          <cell r="O99">
            <v>1.9522999999999999E-2</v>
          </cell>
          <cell r="P99">
            <v>2.7496525000000001E-2</v>
          </cell>
          <cell r="Q99">
            <v>4.0930187E-2</v>
          </cell>
          <cell r="R99">
            <v>6.5207473000000002E-2</v>
          </cell>
          <cell r="S99">
            <v>0.10302943000000001</v>
          </cell>
          <cell r="T99">
            <v>0.15319373</v>
          </cell>
          <cell r="U99">
            <v>0.20799517000000001</v>
          </cell>
          <cell r="V99">
            <v>0.28025011999999999</v>
          </cell>
          <cell r="W99">
            <v>0.36926090546540502</v>
          </cell>
        </row>
        <row r="100">
          <cell r="A100" t="str">
            <v>Kuwait</v>
          </cell>
          <cell r="B100">
            <v>7.1672714000000004E-3</v>
          </cell>
          <cell r="C100">
            <v>2.9626590000000002E-4</v>
          </cell>
          <cell r="D100">
            <v>1.7207493E-4</v>
          </cell>
          <cell r="E100">
            <v>2.1437556000000001E-4</v>
          </cell>
          <cell r="F100">
            <v>5.1450683999999997E-4</v>
          </cell>
          <cell r="G100">
            <v>6.0125076E-4</v>
          </cell>
          <cell r="H100">
            <v>5.4257847999999997E-4</v>
          </cell>
          <cell r="I100">
            <v>4.7426097999999999E-4</v>
          </cell>
          <cell r="J100">
            <v>6.6664744999999997E-4</v>
          </cell>
          <cell r="K100">
            <v>9.3556881000000003E-4</v>
          </cell>
          <cell r="L100">
            <v>1.5268238999999999E-3</v>
          </cell>
          <cell r="M100">
            <v>2.6764398999999999E-3</v>
          </cell>
          <cell r="N100">
            <v>4.2780980999999997E-3</v>
          </cell>
          <cell r="O100">
            <v>1.1424971000000001E-2</v>
          </cell>
          <cell r="P100">
            <v>2.5152573000000001E-2</v>
          </cell>
          <cell r="Q100">
            <v>4.7921651000000003E-2</v>
          </cell>
          <cell r="R100">
            <v>8.8931547E-2</v>
          </cell>
          <cell r="S100">
            <v>0.15683580999999999</v>
          </cell>
          <cell r="T100">
            <v>0.25903672</v>
          </cell>
          <cell r="U100">
            <v>0.40478019999999998</v>
          </cell>
          <cell r="V100">
            <v>0.56653547000000004</v>
          </cell>
          <cell r="W100">
            <v>0.68935813037251303</v>
          </cell>
        </row>
        <row r="101">
          <cell r="A101" t="str">
            <v>Kyrgyzstan</v>
          </cell>
          <cell r="B101">
            <v>1.5727785000000001E-2</v>
          </cell>
          <cell r="C101">
            <v>7.1811705999999997E-4</v>
          </cell>
          <cell r="D101">
            <v>3.0060545E-4</v>
          </cell>
          <cell r="E101">
            <v>3.6132355000000001E-4</v>
          </cell>
          <cell r="F101">
            <v>5.6747291999999997E-4</v>
          </cell>
          <cell r="G101">
            <v>7.7501877E-4</v>
          </cell>
          <cell r="H101">
            <v>9.959079200000001E-4</v>
          </cell>
          <cell r="I101">
            <v>1.6006384000000001E-3</v>
          </cell>
          <cell r="J101">
            <v>2.3872924999999998E-3</v>
          </cell>
          <cell r="K101">
            <v>3.6333010999999998E-3</v>
          </cell>
          <cell r="L101">
            <v>5.0741264000000001E-3</v>
          </cell>
          <cell r="M101">
            <v>7.3526902000000003E-3</v>
          </cell>
          <cell r="N101">
            <v>1.0857634999999999E-2</v>
          </cell>
          <cell r="O101">
            <v>1.7382872000000001E-2</v>
          </cell>
          <cell r="P101">
            <v>2.5685850999999999E-2</v>
          </cell>
          <cell r="Q101">
            <v>5.4997487999999997E-2</v>
          </cell>
          <cell r="R101">
            <v>0.10414904</v>
          </cell>
          <cell r="S101">
            <v>0.14897086000000001</v>
          </cell>
          <cell r="T101">
            <v>0.19453814999999999</v>
          </cell>
          <cell r="U101">
            <v>0.23881168</v>
          </cell>
          <cell r="V101">
            <v>0.29880145000000002</v>
          </cell>
          <cell r="W101">
            <v>0.43965534713889198</v>
          </cell>
        </row>
        <row r="102">
          <cell r="A102" t="str">
            <v>Lao People's Democratic Republic</v>
          </cell>
          <cell r="B102">
            <v>4.0084636999999999E-2</v>
          </cell>
          <cell r="C102">
            <v>2.5027103000000001E-3</v>
          </cell>
          <cell r="D102">
            <v>9.0206374000000001E-4</v>
          </cell>
          <cell r="E102">
            <v>7.2194062999999999E-4</v>
          </cell>
          <cell r="F102">
            <v>1.2225072999999999E-3</v>
          </cell>
          <cell r="G102">
            <v>1.7204778E-3</v>
          </cell>
          <cell r="H102">
            <v>1.8670282E-3</v>
          </cell>
          <cell r="I102">
            <v>2.1551163E-3</v>
          </cell>
          <cell r="J102">
            <v>2.7507741000000001E-3</v>
          </cell>
          <cell r="K102">
            <v>3.8021356000000001E-3</v>
          </cell>
          <cell r="L102">
            <v>5.6399557999999997E-3</v>
          </cell>
          <cell r="M102">
            <v>8.5390819000000003E-3</v>
          </cell>
          <cell r="N102">
            <v>1.3140208E-2</v>
          </cell>
          <cell r="O102">
            <v>2.0478934000000001E-2</v>
          </cell>
          <cell r="P102">
            <v>3.2299906000000003E-2</v>
          </cell>
          <cell r="Q102">
            <v>5.2244034000000002E-2</v>
          </cell>
          <cell r="R102">
            <v>8.5093748999999996E-2</v>
          </cell>
          <cell r="S102">
            <v>0.13841328999999999</v>
          </cell>
          <cell r="T102">
            <v>0.21655833999999999</v>
          </cell>
          <cell r="U102">
            <v>0.31746930000000001</v>
          </cell>
          <cell r="V102">
            <v>0.44016483000000001</v>
          </cell>
          <cell r="W102">
            <v>0.57808848106673505</v>
          </cell>
        </row>
        <row r="103">
          <cell r="A103" t="str">
            <v>Latvia</v>
          </cell>
          <cell r="B103">
            <v>3.3542595999999998E-3</v>
          </cell>
          <cell r="C103">
            <v>5.3342728000000002E-4</v>
          </cell>
          <cell r="D103">
            <v>1.4805062000000001E-4</v>
          </cell>
          <cell r="E103">
            <v>1.7660127E-4</v>
          </cell>
          <cell r="F103">
            <v>4.4356541999999999E-4</v>
          </cell>
          <cell r="G103">
            <v>8.0231539000000002E-4</v>
          </cell>
          <cell r="H103">
            <v>1.2384698999999999E-3</v>
          </cell>
          <cell r="I103">
            <v>1.6938649000000001E-3</v>
          </cell>
          <cell r="J103">
            <v>2.5519619E-3</v>
          </cell>
          <cell r="K103">
            <v>3.7293782999999999E-3</v>
          </cell>
          <cell r="L103">
            <v>5.1716760000000001E-3</v>
          </cell>
          <cell r="M103">
            <v>7.5171780999999998E-3</v>
          </cell>
          <cell r="N103">
            <v>1.1427886E-2</v>
          </cell>
          <cell r="O103">
            <v>1.6585707000000002E-2</v>
          </cell>
          <cell r="P103">
            <v>2.3548299000000002E-2</v>
          </cell>
          <cell r="Q103">
            <v>3.3958969999999998E-2</v>
          </cell>
          <cell r="R103">
            <v>4.9441624000000003E-2</v>
          </cell>
          <cell r="S103">
            <v>8.0133614000000006E-2</v>
          </cell>
          <cell r="T103">
            <v>0.10509319</v>
          </cell>
          <cell r="U103">
            <v>0.15307171</v>
          </cell>
          <cell r="V103">
            <v>0.22464514999999999</v>
          </cell>
          <cell r="W103">
            <v>0.33510088999780502</v>
          </cell>
        </row>
        <row r="104">
          <cell r="A104" t="str">
            <v>Lebanon</v>
          </cell>
          <cell r="B104">
            <v>9.4973889000000006E-3</v>
          </cell>
          <cell r="C104">
            <v>3.7689074999999999E-4</v>
          </cell>
          <cell r="D104">
            <v>1.8330494999999999E-4</v>
          </cell>
          <cell r="E104">
            <v>1.5352084000000001E-4</v>
          </cell>
          <cell r="F104">
            <v>2.8791188999999998E-4</v>
          </cell>
          <cell r="G104">
            <v>4.015038E-4</v>
          </cell>
          <cell r="H104">
            <v>4.2982863999999998E-4</v>
          </cell>
          <cell r="I104">
            <v>5.0618403000000001E-4</v>
          </cell>
          <cell r="J104">
            <v>6.8165252000000002E-4</v>
          </cell>
          <cell r="K104">
            <v>1.0491518E-3</v>
          </cell>
          <cell r="L104">
            <v>1.8330981000000001E-3</v>
          </cell>
          <cell r="M104">
            <v>3.1418199E-3</v>
          </cell>
          <cell r="N104">
            <v>5.5091706999999997E-3</v>
          </cell>
          <cell r="O104">
            <v>8.8176650000000006E-3</v>
          </cell>
          <cell r="P104">
            <v>1.5250466000000001E-2</v>
          </cell>
          <cell r="Q104">
            <v>2.7110341999999999E-2</v>
          </cell>
          <cell r="R104">
            <v>4.6846836000000003E-2</v>
          </cell>
          <cell r="S104">
            <v>8.1742856000000003E-2</v>
          </cell>
          <cell r="T104">
            <v>0.13838106</v>
          </cell>
          <cell r="U104">
            <v>0.21852083</v>
          </cell>
          <cell r="V104">
            <v>0.32014574000000001</v>
          </cell>
          <cell r="W104">
            <v>0.45605566214083099</v>
          </cell>
        </row>
        <row r="105">
          <cell r="A105" t="str">
            <v>Lesotho</v>
          </cell>
          <cell r="B105">
            <v>6.5402233000000004E-2</v>
          </cell>
          <cell r="C105">
            <v>6.7270358000000004E-3</v>
          </cell>
          <cell r="D105">
            <v>1.7341584000000001E-3</v>
          </cell>
          <cell r="E105">
            <v>1.4334841000000001E-3</v>
          </cell>
          <cell r="F105">
            <v>2.2050885999999998E-3</v>
          </cell>
          <cell r="G105">
            <v>4.0617129999999998E-3</v>
          </cell>
          <cell r="H105">
            <v>7.5659187000000003E-3</v>
          </cell>
          <cell r="I105">
            <v>1.1525636000000001E-2</v>
          </cell>
          <cell r="J105">
            <v>1.7141900000000002E-2</v>
          </cell>
          <cell r="K105">
            <v>1.9470863000000001E-2</v>
          </cell>
          <cell r="L105">
            <v>2.1738829000000001E-2</v>
          </cell>
          <cell r="M105">
            <v>2.3503962999999999E-2</v>
          </cell>
          <cell r="N105">
            <v>2.6624188999999999E-2</v>
          </cell>
          <cell r="O105">
            <v>3.2655306000000002E-2</v>
          </cell>
          <cell r="P105">
            <v>4.3915050999999997E-2</v>
          </cell>
          <cell r="Q105">
            <v>6.2965795000000005E-2</v>
          </cell>
          <cell r="R105">
            <v>9.1826706999999994E-2</v>
          </cell>
          <cell r="S105">
            <v>0.14595126999999999</v>
          </cell>
          <cell r="T105">
            <v>0.23821381</v>
          </cell>
          <cell r="U105">
            <v>0.36529415999999998</v>
          </cell>
          <cell r="V105">
            <v>0.48052257999999998</v>
          </cell>
          <cell r="W105">
            <v>0.584810300988996</v>
          </cell>
        </row>
        <row r="106">
          <cell r="A106" t="str">
            <v>Liberia</v>
          </cell>
          <cell r="B106">
            <v>5.6507960000000003E-2</v>
          </cell>
          <cell r="C106">
            <v>5.3679430999999996E-3</v>
          </cell>
          <cell r="D106">
            <v>1.5302909E-3</v>
          </cell>
          <cell r="E106">
            <v>1.0860201000000001E-3</v>
          </cell>
          <cell r="F106">
            <v>1.7091764999999999E-3</v>
          </cell>
          <cell r="G106">
            <v>2.5201724999999999E-3</v>
          </cell>
          <cell r="H106">
            <v>3.0672944000000001E-3</v>
          </cell>
          <cell r="I106">
            <v>3.6989191999999998E-3</v>
          </cell>
          <cell r="J106">
            <v>4.6183780999999998E-3</v>
          </cell>
          <cell r="K106">
            <v>5.8068152E-3</v>
          </cell>
          <cell r="L106">
            <v>7.2483950000000004E-3</v>
          </cell>
          <cell r="M106">
            <v>1.0086743E-2</v>
          </cell>
          <cell r="N106">
            <v>1.3482156E-2</v>
          </cell>
          <cell r="O106">
            <v>2.0323371E-2</v>
          </cell>
          <cell r="P106">
            <v>3.2033071000000003E-2</v>
          </cell>
          <cell r="Q106">
            <v>5.2055210999999997E-2</v>
          </cell>
          <cell r="R106">
            <v>8.5776371000000004E-2</v>
          </cell>
          <cell r="S106">
            <v>0.14552051999999999</v>
          </cell>
          <cell r="T106">
            <v>0.24555515</v>
          </cell>
          <cell r="U106">
            <v>0.41108940999999999</v>
          </cell>
          <cell r="V106">
            <v>0.59078889000000001</v>
          </cell>
          <cell r="W106">
            <v>0.78073099687090797</v>
          </cell>
        </row>
        <row r="107">
          <cell r="A107" t="str">
            <v>Libya</v>
          </cell>
          <cell r="B107">
            <v>1.0633502E-2</v>
          </cell>
          <cell r="C107">
            <v>5.4941444E-4</v>
          </cell>
          <cell r="D107">
            <v>3.8662974000000001E-4</v>
          </cell>
          <cell r="E107">
            <v>3.9366004E-4</v>
          </cell>
          <cell r="F107">
            <v>9.9262403999999995E-4</v>
          </cell>
          <cell r="G107">
            <v>1.3446048E-3</v>
          </cell>
          <cell r="H107">
            <v>1.4292258E-3</v>
          </cell>
          <cell r="I107">
            <v>1.5755864000000001E-3</v>
          </cell>
          <cell r="J107">
            <v>1.9796494000000001E-3</v>
          </cell>
          <cell r="K107">
            <v>2.7943691000000001E-3</v>
          </cell>
          <cell r="L107">
            <v>3.9943310999999999E-3</v>
          </cell>
          <cell r="M107">
            <v>6.3095495999999996E-3</v>
          </cell>
          <cell r="N107">
            <v>1.0162084E-2</v>
          </cell>
          <cell r="O107">
            <v>1.6242993000000001E-2</v>
          </cell>
          <cell r="P107">
            <v>2.6793818E-2</v>
          </cell>
          <cell r="Q107">
            <v>4.2814637000000003E-2</v>
          </cell>
          <cell r="R107">
            <v>7.1553538999999999E-2</v>
          </cell>
          <cell r="S107">
            <v>0.12044613999999999</v>
          </cell>
          <cell r="T107">
            <v>0.19366718999999999</v>
          </cell>
          <cell r="U107">
            <v>0.29487291999999998</v>
          </cell>
          <cell r="V107">
            <v>0.40946238000000001</v>
          </cell>
          <cell r="W107">
            <v>0.567231994652591</v>
          </cell>
        </row>
        <row r="108">
          <cell r="A108" t="str">
            <v>Lithuania</v>
          </cell>
          <cell r="B108">
            <v>4.0572268999999996E-3</v>
          </cell>
          <cell r="C108">
            <v>2.0967292E-4</v>
          </cell>
          <cell r="D108">
            <v>9.2799150999999997E-5</v>
          </cell>
          <cell r="E108">
            <v>1.9663063E-4</v>
          </cell>
          <cell r="F108">
            <v>4.2034412000000002E-4</v>
          </cell>
          <cell r="G108">
            <v>6.6710281000000005E-4</v>
          </cell>
          <cell r="H108">
            <v>1.1256278E-3</v>
          </cell>
          <cell r="I108">
            <v>1.8405520000000001E-3</v>
          </cell>
          <cell r="J108">
            <v>2.6708560000000001E-3</v>
          </cell>
          <cell r="K108">
            <v>3.7974453000000001E-3</v>
          </cell>
          <cell r="L108">
            <v>5.5226620999999998E-3</v>
          </cell>
          <cell r="M108">
            <v>7.6645621999999998E-3</v>
          </cell>
          <cell r="N108">
            <v>1.1045266999999999E-2</v>
          </cell>
          <cell r="O108">
            <v>1.6510876000000001E-2</v>
          </cell>
          <cell r="P108">
            <v>2.2540457E-2</v>
          </cell>
          <cell r="Q108">
            <v>3.106018E-2</v>
          </cell>
          <cell r="R108">
            <v>4.4658710999999997E-2</v>
          </cell>
          <cell r="S108">
            <v>7.5285900000000003E-2</v>
          </cell>
          <cell r="T108">
            <v>9.5332129000000002E-2</v>
          </cell>
          <cell r="U108">
            <v>0.13974270999999999</v>
          </cell>
          <cell r="V108">
            <v>0.20336660000000001</v>
          </cell>
          <cell r="W108">
            <v>0.30661519210821597</v>
          </cell>
        </row>
        <row r="109">
          <cell r="A109" t="str">
            <v>Luxembourg</v>
          </cell>
          <cell r="B109">
            <v>2.8797104999999999E-3</v>
          </cell>
          <cell r="C109">
            <v>1.6056352E-4</v>
          </cell>
          <cell r="D109">
            <v>5.0229297000000002E-5</v>
          </cell>
          <cell r="E109">
            <v>7.0209432E-5</v>
          </cell>
          <cell r="F109">
            <v>1.7106795000000001E-4</v>
          </cell>
          <cell r="G109">
            <v>3.2300735E-4</v>
          </cell>
          <cell r="H109">
            <v>4.0783643999999999E-4</v>
          </cell>
          <cell r="I109">
            <v>4.7979254E-4</v>
          </cell>
          <cell r="J109">
            <v>6.1621771000000005E-4</v>
          </cell>
          <cell r="K109">
            <v>9.2083512999999997E-4</v>
          </cell>
          <cell r="L109">
            <v>1.6680484E-3</v>
          </cell>
          <cell r="M109">
            <v>3.0044912999999999E-3</v>
          </cell>
          <cell r="N109">
            <v>4.8910263000000002E-3</v>
          </cell>
          <cell r="O109">
            <v>7.5558036999999996E-3</v>
          </cell>
          <cell r="P109">
            <v>1.1560953000000001E-2</v>
          </cell>
          <cell r="Q109">
            <v>1.7867010999999999E-2</v>
          </cell>
          <cell r="R109">
            <v>3.0182976E-2</v>
          </cell>
          <cell r="S109">
            <v>5.6494253000000001E-2</v>
          </cell>
          <cell r="T109">
            <v>0.10678578</v>
          </cell>
          <cell r="U109">
            <v>0.19377632</v>
          </cell>
          <cell r="V109">
            <v>0.34197113000000001</v>
          </cell>
          <cell r="W109">
            <v>0.501732482261248</v>
          </cell>
        </row>
        <row r="110">
          <cell r="A110" t="str">
            <v>Madagascar</v>
          </cell>
          <cell r="B110">
            <v>2.9794632000000001E-2</v>
          </cell>
          <cell r="C110">
            <v>3.6771850999999999E-3</v>
          </cell>
          <cell r="D110">
            <v>1.6905665000000001E-3</v>
          </cell>
          <cell r="E110">
            <v>1.3279164000000001E-3</v>
          </cell>
          <cell r="F110">
            <v>1.848737E-3</v>
          </cell>
          <cell r="G110">
            <v>2.1408898999999999E-3</v>
          </cell>
          <cell r="H110">
            <v>2.3733652000000002E-3</v>
          </cell>
          <cell r="I110">
            <v>3.0687179999999998E-3</v>
          </cell>
          <cell r="J110">
            <v>3.9530136999999998E-3</v>
          </cell>
          <cell r="K110">
            <v>5.1181643000000002E-3</v>
          </cell>
          <cell r="L110">
            <v>6.7688907999999999E-3</v>
          </cell>
          <cell r="M110">
            <v>9.1024993000000005E-3</v>
          </cell>
          <cell r="N110">
            <v>1.2922749000000001E-2</v>
          </cell>
          <cell r="O110">
            <v>2.0065366000000001E-2</v>
          </cell>
          <cell r="P110">
            <v>3.3301007000000001E-2</v>
          </cell>
          <cell r="Q110">
            <v>5.3231340000000002E-2</v>
          </cell>
          <cell r="R110">
            <v>8.2747205000000004E-2</v>
          </cell>
          <cell r="S110">
            <v>0.12599365000000001</v>
          </cell>
          <cell r="T110">
            <v>0.18650884000000001</v>
          </cell>
          <cell r="U110">
            <v>0.26628594999999999</v>
          </cell>
          <cell r="V110">
            <v>0.36397926000000003</v>
          </cell>
          <cell r="W110">
            <v>0.46469189649359799</v>
          </cell>
        </row>
        <row r="111">
          <cell r="A111" t="str">
            <v>Malawi</v>
          </cell>
          <cell r="B111">
            <v>4.2811245999999997E-2</v>
          </cell>
          <cell r="C111">
            <v>3.7157572000000002E-3</v>
          </cell>
          <cell r="D111">
            <v>1.2508653E-3</v>
          </cell>
          <cell r="E111">
            <v>9.7496102000000002E-4</v>
          </cell>
          <cell r="F111">
            <v>1.6053027999999999E-3</v>
          </cell>
          <cell r="G111">
            <v>2.5425773E-3</v>
          </cell>
          <cell r="H111">
            <v>3.5004199000000001E-3</v>
          </cell>
          <cell r="I111">
            <v>4.5757287000000001E-3</v>
          </cell>
          <cell r="J111">
            <v>6.1272332999999998E-3</v>
          </cell>
          <cell r="K111">
            <v>7.6369424E-3</v>
          </cell>
          <cell r="L111">
            <v>9.4454185000000003E-3</v>
          </cell>
          <cell r="M111">
            <v>1.2465039000000001E-2</v>
          </cell>
          <cell r="N111">
            <v>1.6058030000000001E-2</v>
          </cell>
          <cell r="O111">
            <v>2.2996717E-2</v>
          </cell>
          <cell r="P111">
            <v>3.4665253E-2</v>
          </cell>
          <cell r="Q111">
            <v>5.4034497000000001E-2</v>
          </cell>
          <cell r="R111">
            <v>8.6188047000000004E-2</v>
          </cell>
          <cell r="S111">
            <v>0.14431994000000001</v>
          </cell>
          <cell r="T111">
            <v>0.24254856999999999</v>
          </cell>
          <cell r="U111">
            <v>0.40175656999999998</v>
          </cell>
          <cell r="V111">
            <v>0.57511011000000001</v>
          </cell>
          <cell r="W111">
            <v>0.75913958512110702</v>
          </cell>
        </row>
        <row r="112">
          <cell r="A112" t="str">
            <v>Malaysia</v>
          </cell>
          <cell r="B112">
            <v>5.9307283999999998E-3</v>
          </cell>
          <cell r="C112">
            <v>2.6927302000000002E-4</v>
          </cell>
          <cell r="D112">
            <v>1.7408437000000001E-4</v>
          </cell>
          <cell r="E112">
            <v>2.4167024E-4</v>
          </cell>
          <cell r="F112">
            <v>5.6535991000000003E-4</v>
          </cell>
          <cell r="G112">
            <v>5.9290065000000005E-4</v>
          </cell>
          <cell r="H112">
            <v>6.2334768999999996E-4</v>
          </cell>
          <cell r="I112">
            <v>1.0789250999999999E-3</v>
          </cell>
          <cell r="J112">
            <v>1.6083642E-3</v>
          </cell>
          <cell r="K112">
            <v>2.3934461000000001E-3</v>
          </cell>
          <cell r="L112">
            <v>4.1970050999999998E-3</v>
          </cell>
          <cell r="M112">
            <v>6.3957772999999997E-3</v>
          </cell>
          <cell r="N112">
            <v>9.3744764999999994E-3</v>
          </cell>
          <cell r="O112">
            <v>1.3013995E-2</v>
          </cell>
          <cell r="P112">
            <v>2.1280139E-2</v>
          </cell>
          <cell r="Q112">
            <v>3.7078991999999998E-2</v>
          </cell>
          <cell r="R112">
            <v>5.4851868999999998E-2</v>
          </cell>
          <cell r="S112">
            <v>8.5358191E-2</v>
          </cell>
          <cell r="T112">
            <v>0.12818539000000001</v>
          </cell>
          <cell r="U112">
            <v>0.18209918999999999</v>
          </cell>
          <cell r="V112">
            <v>0.23688722000000001</v>
          </cell>
          <cell r="W112">
            <v>0.30697249026122098</v>
          </cell>
        </row>
        <row r="113">
          <cell r="A113" t="str">
            <v>Maldives</v>
          </cell>
          <cell r="B113">
            <v>6.8079344999999996E-3</v>
          </cell>
          <cell r="C113">
            <v>2.914374E-4</v>
          </cell>
          <cell r="D113">
            <v>2.5276326999999998E-4</v>
          </cell>
          <cell r="E113">
            <v>3.3945421000000002E-4</v>
          </cell>
          <cell r="F113">
            <v>3.4664420000000002E-4</v>
          </cell>
          <cell r="G113">
            <v>5.0744178E-4</v>
          </cell>
          <cell r="H113">
            <v>4.7114983000000002E-4</v>
          </cell>
          <cell r="I113">
            <v>5.2682086999999999E-4</v>
          </cell>
          <cell r="J113">
            <v>5.8680513000000005E-4</v>
          </cell>
          <cell r="K113">
            <v>9.3597839000000003E-4</v>
          </cell>
          <cell r="L113">
            <v>1.651418E-3</v>
          </cell>
          <cell r="M113">
            <v>2.4051560999999999E-3</v>
          </cell>
          <cell r="N113">
            <v>4.6543225000000004E-3</v>
          </cell>
          <cell r="O113">
            <v>8.7700704999999993E-3</v>
          </cell>
          <cell r="P113">
            <v>1.6718212999999999E-2</v>
          </cell>
          <cell r="Q113">
            <v>3.1887067999999998E-2</v>
          </cell>
          <cell r="R113">
            <v>6.1026348000000001E-2</v>
          </cell>
          <cell r="S113">
            <v>8.8699718999999996E-2</v>
          </cell>
          <cell r="T113">
            <v>0.13225489000000001</v>
          </cell>
          <cell r="U113">
            <v>0.18909703</v>
          </cell>
          <cell r="V113">
            <v>0.25758950000000003</v>
          </cell>
          <cell r="W113">
            <v>0.36025341377936199</v>
          </cell>
        </row>
        <row r="114">
          <cell r="A114" t="str">
            <v>Mali</v>
          </cell>
          <cell r="B114">
            <v>6.9285285000000002E-2</v>
          </cell>
          <cell r="C114">
            <v>1.0904367E-2</v>
          </cell>
          <cell r="D114">
            <v>3.5006729000000001E-3</v>
          </cell>
          <cell r="E114">
            <v>1.9752348E-3</v>
          </cell>
          <cell r="F114">
            <v>2.9901288000000002E-3</v>
          </cell>
          <cell r="G114">
            <v>3.8600000000000001E-3</v>
          </cell>
          <cell r="H114">
            <v>4.3399657000000001E-3</v>
          </cell>
          <cell r="I114">
            <v>4.6100070999999998E-3</v>
          </cell>
          <cell r="J114">
            <v>5.1801305000000004E-3</v>
          </cell>
          <cell r="K114">
            <v>6.1710510999999999E-3</v>
          </cell>
          <cell r="L114">
            <v>7.2301713000000002E-3</v>
          </cell>
          <cell r="M114">
            <v>1.0255790000000001E-2</v>
          </cell>
          <cell r="N114">
            <v>1.4802391E-2</v>
          </cell>
          <cell r="O114">
            <v>2.3630588000000001E-2</v>
          </cell>
          <cell r="P114">
            <v>3.7708633999999998E-2</v>
          </cell>
          <cell r="Q114">
            <v>6.4090099999999997E-2</v>
          </cell>
          <cell r="R114">
            <v>0.10855007</v>
          </cell>
          <cell r="S114">
            <v>0.18044673</v>
          </cell>
          <cell r="T114">
            <v>0.28201369999999998</v>
          </cell>
          <cell r="U114">
            <v>0.41225268999999998</v>
          </cell>
          <cell r="V114">
            <v>0.57833018999999997</v>
          </cell>
          <cell r="W114">
            <v>0.725519976539586</v>
          </cell>
        </row>
        <row r="115">
          <cell r="A115" t="str">
            <v>Malta</v>
          </cell>
          <cell r="B115">
            <v>4.9937059999999997E-3</v>
          </cell>
          <cell r="C115">
            <v>1.566347E-4</v>
          </cell>
          <cell r="D115">
            <v>1.3470267000000001E-4</v>
          </cell>
          <cell r="E115">
            <v>1.2877063000000001E-4</v>
          </cell>
          <cell r="F115">
            <v>1.539205E-4</v>
          </cell>
          <cell r="G115">
            <v>3.5345370000000001E-4</v>
          </cell>
          <cell r="H115">
            <v>3.1553393999999999E-4</v>
          </cell>
          <cell r="I115">
            <v>6.0903457000000005E-4</v>
          </cell>
          <cell r="J115">
            <v>6.5014868000000002E-4</v>
          </cell>
          <cell r="K115">
            <v>9.5771248999999999E-4</v>
          </cell>
          <cell r="L115">
            <v>1.1826591E-3</v>
          </cell>
          <cell r="M115">
            <v>2.4056711999999999E-3</v>
          </cell>
          <cell r="N115">
            <v>3.7533737999999998E-3</v>
          </cell>
          <cell r="O115">
            <v>5.9628906000000004E-3</v>
          </cell>
          <cell r="P115">
            <v>9.5852387000000001E-3</v>
          </cell>
          <cell r="Q115">
            <v>1.7095121000000001E-2</v>
          </cell>
          <cell r="R115">
            <v>3.3103687E-2</v>
          </cell>
          <cell r="S115">
            <v>6.0323683000000003E-2</v>
          </cell>
          <cell r="T115">
            <v>0.10958764</v>
          </cell>
          <cell r="U115">
            <v>0.18378472000000001</v>
          </cell>
          <cell r="V115">
            <v>0.28578323</v>
          </cell>
          <cell r="W115">
            <v>0.42522727121964898</v>
          </cell>
        </row>
        <row r="116">
          <cell r="A116" t="str">
            <v>Martinique</v>
          </cell>
          <cell r="B116">
            <v>5.5948016999999997E-3</v>
          </cell>
          <cell r="C116">
            <v>2.2110279999999999E-4</v>
          </cell>
          <cell r="D116">
            <v>1.5551372E-4</v>
          </cell>
          <cell r="E116">
            <v>2.1559332E-4</v>
          </cell>
          <cell r="F116">
            <v>4.0649190000000002E-4</v>
          </cell>
          <cell r="G116">
            <v>6.6889602999999998E-4</v>
          </cell>
          <cell r="H116">
            <v>8.3059957000000001E-4</v>
          </cell>
          <cell r="I116">
            <v>9.1607825000000005E-4</v>
          </cell>
          <cell r="J116">
            <v>1.0570130999999999E-3</v>
          </cell>
          <cell r="K116">
            <v>1.2373944000000001E-3</v>
          </cell>
          <cell r="L116">
            <v>1.7138905E-3</v>
          </cell>
          <cell r="M116">
            <v>2.5842301999999999E-3</v>
          </cell>
          <cell r="N116">
            <v>3.6024776E-3</v>
          </cell>
          <cell r="O116">
            <v>5.9911395999999997E-3</v>
          </cell>
          <cell r="P116">
            <v>1.0407928E-2</v>
          </cell>
          <cell r="Q116">
            <v>1.7874788999999999E-2</v>
          </cell>
          <cell r="R116">
            <v>3.0931237E-2</v>
          </cell>
          <cell r="S116">
            <v>5.2627612999999997E-2</v>
          </cell>
          <cell r="T116">
            <v>8.7803197999999999E-2</v>
          </cell>
          <cell r="U116">
            <v>0.14148229000000001</v>
          </cell>
          <cell r="V116">
            <v>0.21976146999999999</v>
          </cell>
          <cell r="W116">
            <v>0.34100693277324501</v>
          </cell>
        </row>
        <row r="117">
          <cell r="A117" t="str">
            <v>Mauritania</v>
          </cell>
          <cell r="B117">
            <v>5.5841769999999999E-2</v>
          </cell>
          <cell r="C117">
            <v>6.8215636000000003E-3</v>
          </cell>
          <cell r="D117">
            <v>1.0882108999999999E-3</v>
          </cell>
          <cell r="E117">
            <v>8.5811024000000005E-4</v>
          </cell>
          <cell r="F117">
            <v>1.4149504E-3</v>
          </cell>
          <cell r="G117">
            <v>1.9838843000000001E-3</v>
          </cell>
          <cell r="H117">
            <v>2.1537700000000002E-3</v>
          </cell>
          <cell r="I117">
            <v>2.473065E-3</v>
          </cell>
          <cell r="J117">
            <v>3.1135453000000002E-3</v>
          </cell>
          <cell r="K117">
            <v>4.2108652999999999E-3</v>
          </cell>
          <cell r="L117">
            <v>6.0922872000000001E-3</v>
          </cell>
          <cell r="M117">
            <v>9.0769808000000004E-3</v>
          </cell>
          <cell r="N117">
            <v>1.3741487E-2</v>
          </cell>
          <cell r="O117">
            <v>2.1278012999999998E-2</v>
          </cell>
          <cell r="P117">
            <v>3.3399090999999999E-2</v>
          </cell>
          <cell r="Q117">
            <v>5.3755099000000001E-2</v>
          </cell>
          <cell r="R117">
            <v>8.6954587E-2</v>
          </cell>
          <cell r="S117">
            <v>0.14060258</v>
          </cell>
          <cell r="T117">
            <v>0.21882815999999999</v>
          </cell>
          <cell r="U117">
            <v>0.31982532000000002</v>
          </cell>
          <cell r="V117">
            <v>0.43420660999999999</v>
          </cell>
          <cell r="W117">
            <v>0.57568585053410704</v>
          </cell>
        </row>
        <row r="118">
          <cell r="A118" t="str">
            <v>Mauritius</v>
          </cell>
          <cell r="B118">
            <v>1.1336888E-2</v>
          </cell>
          <cell r="C118">
            <v>4.9611152000000002E-4</v>
          </cell>
          <cell r="D118">
            <v>1.4389277E-4</v>
          </cell>
          <cell r="E118">
            <v>1.9383382E-4</v>
          </cell>
          <cell r="F118">
            <v>5.5170328999999999E-4</v>
          </cell>
          <cell r="G118">
            <v>8.8551337999999999E-4</v>
          </cell>
          <cell r="H118">
            <v>1.2200583000000001E-3</v>
          </cell>
          <cell r="I118">
            <v>1.5156658999999999E-3</v>
          </cell>
          <cell r="J118">
            <v>2.2372070000000002E-3</v>
          </cell>
          <cell r="K118">
            <v>3.2061462000000001E-3</v>
          </cell>
          <cell r="L118">
            <v>4.6792090000000001E-3</v>
          </cell>
          <cell r="M118">
            <v>6.9471380999999999E-3</v>
          </cell>
          <cell r="N118">
            <v>9.7278098000000007E-3</v>
          </cell>
          <cell r="O118">
            <v>1.5282791E-2</v>
          </cell>
          <cell r="P118">
            <v>2.2240790999999999E-2</v>
          </cell>
          <cell r="Q118">
            <v>3.4568253E-2</v>
          </cell>
          <cell r="R118">
            <v>5.0770963000000002E-2</v>
          </cell>
          <cell r="S118">
            <v>8.1172785999999997E-2</v>
          </cell>
          <cell r="T118">
            <v>0.12537619</v>
          </cell>
          <cell r="U118">
            <v>0.18351693999999999</v>
          </cell>
          <cell r="V118">
            <v>0.25691184</v>
          </cell>
          <cell r="W118">
            <v>0.36155735624777802</v>
          </cell>
        </row>
        <row r="119">
          <cell r="A119" t="str">
            <v>Mayotte</v>
          </cell>
          <cell r="B119">
            <v>4.2115060000000003E-3</v>
          </cell>
          <cell r="C119">
            <v>1.5480250999999999E-4</v>
          </cell>
          <cell r="D119">
            <v>1.0498878000000001E-4</v>
          </cell>
          <cell r="E119">
            <v>1.0509651999999999E-4</v>
          </cell>
          <cell r="F119">
            <v>3.7973982000000001E-4</v>
          </cell>
          <cell r="G119">
            <v>6.6007708000000002E-4</v>
          </cell>
          <cell r="H119">
            <v>6.2405982999999999E-4</v>
          </cell>
          <cell r="I119">
            <v>8.1550068999999999E-4</v>
          </cell>
          <cell r="J119">
            <v>1.3594007E-3</v>
          </cell>
          <cell r="K119">
            <v>2.1893400000000001E-3</v>
          </cell>
          <cell r="L119">
            <v>3.6509979999999999E-3</v>
          </cell>
          <cell r="M119">
            <v>4.5522504E-3</v>
          </cell>
          <cell r="N119">
            <v>6.7615399999999999E-3</v>
          </cell>
          <cell r="O119">
            <v>1.0010234E-2</v>
          </cell>
          <cell r="P119">
            <v>1.6217063E-2</v>
          </cell>
          <cell r="Q119">
            <v>2.388682E-2</v>
          </cell>
          <cell r="R119">
            <v>3.7533246999999999E-2</v>
          </cell>
          <cell r="S119">
            <v>6.4072933999999998E-2</v>
          </cell>
          <cell r="T119">
            <v>9.9695637000000004E-2</v>
          </cell>
          <cell r="U119">
            <v>0.15126275</v>
          </cell>
          <cell r="V119">
            <v>0.23989261000000001</v>
          </cell>
          <cell r="W119">
            <v>0.31994678133218002</v>
          </cell>
        </row>
        <row r="120">
          <cell r="A120" t="str">
            <v>Mexico</v>
          </cell>
          <cell r="B120">
            <v>1.3675331000000001E-2</v>
          </cell>
          <cell r="C120">
            <v>5.2116757000000001E-4</v>
          </cell>
          <cell r="D120">
            <v>2.5528668999999998E-4</v>
          </cell>
          <cell r="E120">
            <v>3.6268306999999997E-4</v>
          </cell>
          <cell r="F120">
            <v>7.6787160000000004E-4</v>
          </cell>
          <cell r="G120">
            <v>1.2519237000000001E-3</v>
          </cell>
          <cell r="H120">
            <v>1.5734901999999999E-3</v>
          </cell>
          <cell r="I120">
            <v>1.8138586E-3</v>
          </cell>
          <cell r="J120">
            <v>2.1983553E-3</v>
          </cell>
          <cell r="K120">
            <v>2.9210206000000001E-3</v>
          </cell>
          <cell r="L120">
            <v>4.1629763000000002E-3</v>
          </cell>
          <cell r="M120">
            <v>6.1664082E-3</v>
          </cell>
          <cell r="N120">
            <v>9.2869411999999991E-3</v>
          </cell>
          <cell r="O120">
            <v>1.4052927999999999E-2</v>
          </cell>
          <cell r="P120">
            <v>2.1315153999999999E-2</v>
          </cell>
          <cell r="Q120">
            <v>3.2311217000000003E-2</v>
          </cell>
          <cell r="R120">
            <v>4.8808923999999997E-2</v>
          </cell>
          <cell r="S120">
            <v>7.3397570999999995E-2</v>
          </cell>
          <cell r="T120">
            <v>0.11072121</v>
          </cell>
          <cell r="U120">
            <v>0.16984748</v>
          </cell>
          <cell r="V120">
            <v>0.26417943999999999</v>
          </cell>
          <cell r="W120">
            <v>0.43174158987890598</v>
          </cell>
        </row>
        <row r="121">
          <cell r="A121" t="str">
            <v>Micronesia (Federated States of)</v>
          </cell>
          <cell r="B121">
            <v>2.3937607999999999E-2</v>
          </cell>
          <cell r="C121">
            <v>2.1765084999999999E-3</v>
          </cell>
          <cell r="D121">
            <v>6.4121112999999995E-4</v>
          </cell>
          <cell r="E121">
            <v>5.4815284E-4</v>
          </cell>
          <cell r="F121">
            <v>1.0773943000000001E-3</v>
          </cell>
          <cell r="G121">
            <v>1.3954583999999999E-3</v>
          </cell>
          <cell r="H121">
            <v>1.4820623E-3</v>
          </cell>
          <cell r="I121">
            <v>1.7456685000000001E-3</v>
          </cell>
          <cell r="J121">
            <v>2.3141108000000001E-3</v>
          </cell>
          <cell r="K121">
            <v>3.2572043999999998E-3</v>
          </cell>
          <cell r="L121">
            <v>4.9136459000000002E-3</v>
          </cell>
          <cell r="M121">
            <v>7.5800334999999996E-3</v>
          </cell>
          <cell r="N121">
            <v>1.1860900000000001E-2</v>
          </cell>
          <cell r="O121">
            <v>2.3046229000000001E-2</v>
          </cell>
          <cell r="P121">
            <v>4.4734369000000003E-2</v>
          </cell>
          <cell r="Q121">
            <v>7.5974070000000005E-2</v>
          </cell>
          <cell r="R121">
            <v>0.11927093</v>
          </cell>
          <cell r="S121">
            <v>0.18764405000000001</v>
          </cell>
          <cell r="T121">
            <v>0.29302043</v>
          </cell>
          <cell r="U121">
            <v>0.42703175999999998</v>
          </cell>
          <cell r="V121">
            <v>0.60030335000000001</v>
          </cell>
          <cell r="W121">
            <v>0.79832377553498501</v>
          </cell>
        </row>
        <row r="122">
          <cell r="A122" t="str">
            <v>Mongolia</v>
          </cell>
          <cell r="B122">
            <v>1.8391451999999999E-2</v>
          </cell>
          <cell r="C122">
            <v>1.0920551E-3</v>
          </cell>
          <cell r="D122">
            <v>3.6105436E-4</v>
          </cell>
          <cell r="E122">
            <v>3.3617153000000001E-4</v>
          </cell>
          <cell r="F122">
            <v>5.2161326000000003E-4</v>
          </cell>
          <cell r="G122">
            <v>9.0314053999999999E-4</v>
          </cell>
          <cell r="H122">
            <v>1.2924254E-3</v>
          </cell>
          <cell r="I122">
            <v>1.956083E-3</v>
          </cell>
          <cell r="J122">
            <v>2.8538693999999999E-3</v>
          </cell>
          <cell r="K122">
            <v>4.3894787000000003E-3</v>
          </cell>
          <cell r="L122">
            <v>7.6067175000000004E-3</v>
          </cell>
          <cell r="M122">
            <v>1.1481323999999999E-2</v>
          </cell>
          <cell r="N122">
            <v>1.5725696000000001E-2</v>
          </cell>
          <cell r="O122">
            <v>2.2428037000000001E-2</v>
          </cell>
          <cell r="P122">
            <v>3.1178014E-2</v>
          </cell>
          <cell r="Q122">
            <v>5.1942293E-2</v>
          </cell>
          <cell r="R122">
            <v>7.8840612000000004E-2</v>
          </cell>
          <cell r="S122">
            <v>0.11728566999999999</v>
          </cell>
          <cell r="T122">
            <v>0.17170224000000001</v>
          </cell>
          <cell r="U122">
            <v>0.24399900999999999</v>
          </cell>
          <cell r="V122">
            <v>0.33252199999999998</v>
          </cell>
          <cell r="W122">
            <v>0.454902490968707</v>
          </cell>
        </row>
        <row r="123">
          <cell r="A123" t="str">
            <v>Montenegro</v>
          </cell>
          <cell r="B123">
            <v>2.7662110000000002E-3</v>
          </cell>
          <cell r="C123">
            <v>1.0981186E-4</v>
          </cell>
          <cell r="D123">
            <v>1.2967149999999999E-4</v>
          </cell>
          <cell r="E123">
            <v>1.4095414999999999E-4</v>
          </cell>
          <cell r="F123">
            <v>2.5999999999999998E-4</v>
          </cell>
          <cell r="G123">
            <v>3.8546408000000003E-4</v>
          </cell>
          <cell r="H123">
            <v>5.8677100000000004E-4</v>
          </cell>
          <cell r="I123">
            <v>5.8426550999999996E-4</v>
          </cell>
          <cell r="J123">
            <v>9.7314815000000001E-4</v>
          </cell>
          <cell r="K123">
            <v>1.5122349E-3</v>
          </cell>
          <cell r="L123">
            <v>2.5759642000000001E-3</v>
          </cell>
          <cell r="M123">
            <v>4.8342808000000001E-3</v>
          </cell>
          <cell r="N123">
            <v>8.7022239000000001E-3</v>
          </cell>
          <cell r="O123">
            <v>1.3188511E-2</v>
          </cell>
          <cell r="P123">
            <v>2.2297567000000001E-2</v>
          </cell>
          <cell r="Q123">
            <v>3.3427355999999998E-2</v>
          </cell>
          <cell r="R123">
            <v>5.8667272999999999E-2</v>
          </cell>
          <cell r="S123">
            <v>0.10164260999999999</v>
          </cell>
          <cell r="T123">
            <v>0.17087996999999999</v>
          </cell>
          <cell r="U123">
            <v>0.28442210000000001</v>
          </cell>
          <cell r="V123">
            <v>0.42342821000000003</v>
          </cell>
          <cell r="W123">
            <v>0.58451451539508903</v>
          </cell>
        </row>
        <row r="124">
          <cell r="A124" t="str">
            <v>Morocco</v>
          </cell>
          <cell r="B124">
            <v>2.022871E-2</v>
          </cell>
          <cell r="C124">
            <v>9.0358677000000002E-4</v>
          </cell>
          <cell r="D124">
            <v>4.2133494999999999E-4</v>
          </cell>
          <cell r="E124">
            <v>2.5591436000000001E-4</v>
          </cell>
          <cell r="F124">
            <v>4.1535371000000001E-4</v>
          </cell>
          <cell r="G124">
            <v>6.0543558000000005E-4</v>
          </cell>
          <cell r="H124">
            <v>6.7007407000000004E-4</v>
          </cell>
          <cell r="I124">
            <v>7.4422688000000002E-4</v>
          </cell>
          <cell r="J124">
            <v>1.0038378000000001E-3</v>
          </cell>
          <cell r="K124">
            <v>1.3350065000000001E-3</v>
          </cell>
          <cell r="L124">
            <v>1.9089210000000001E-3</v>
          </cell>
          <cell r="M124">
            <v>2.9226598E-3</v>
          </cell>
          <cell r="N124">
            <v>4.5565935E-3</v>
          </cell>
          <cell r="O124">
            <v>7.9651510999999998E-3</v>
          </cell>
          <cell r="P124">
            <v>1.4359490000000001E-2</v>
          </cell>
          <cell r="Q124">
            <v>2.96108E-2</v>
          </cell>
          <cell r="R124">
            <v>5.2781624999999999E-2</v>
          </cell>
          <cell r="S124">
            <v>0.11870912</v>
          </cell>
          <cell r="T124">
            <v>0.22448203</v>
          </cell>
          <cell r="U124">
            <v>0.37776873</v>
          </cell>
          <cell r="V124">
            <v>0.47924042</v>
          </cell>
          <cell r="W124">
            <v>0.599943941238131</v>
          </cell>
        </row>
        <row r="125">
          <cell r="A125" t="str">
            <v>Mozambique</v>
          </cell>
          <cell r="B125">
            <v>5.6336077999999998E-2</v>
          </cell>
          <cell r="C125">
            <v>5.1791646999999998E-3</v>
          </cell>
          <cell r="D125">
            <v>1.4062116999999999E-3</v>
          </cell>
          <cell r="E125">
            <v>1.0978578999999999E-3</v>
          </cell>
          <cell r="F125">
            <v>1.7332039999999999E-3</v>
          </cell>
          <cell r="G125">
            <v>2.8845515000000001E-3</v>
          </cell>
          <cell r="H125">
            <v>4.4360307999999999E-3</v>
          </cell>
          <cell r="I125">
            <v>6.1564478999999997E-3</v>
          </cell>
          <cell r="J125">
            <v>8.5899530000000009E-3</v>
          </cell>
          <cell r="K125">
            <v>1.0337483999999999E-2</v>
          </cell>
          <cell r="L125">
            <v>1.221796E-2</v>
          </cell>
          <cell r="M125">
            <v>1.5052225000000001E-2</v>
          </cell>
          <cell r="N125">
            <v>1.8775831999999999E-2</v>
          </cell>
          <cell r="O125">
            <v>2.5708446999999999E-2</v>
          </cell>
          <cell r="P125">
            <v>3.7444529999999997E-2</v>
          </cell>
          <cell r="Q125">
            <v>5.7292759999999998E-2</v>
          </cell>
          <cell r="R125">
            <v>9.0017476999999999E-2</v>
          </cell>
          <cell r="S125">
            <v>0.15074603</v>
          </cell>
          <cell r="T125">
            <v>0.25384992000000001</v>
          </cell>
          <cell r="U125">
            <v>0.4122403</v>
          </cell>
          <cell r="V125">
            <v>0.57469583999999996</v>
          </cell>
          <cell r="W125">
            <v>0.73549270067624095</v>
          </cell>
        </row>
        <row r="126">
          <cell r="A126" t="str">
            <v>Myanmar</v>
          </cell>
          <cell r="B126">
            <v>3.9703889999999999E-2</v>
          </cell>
          <cell r="C126">
            <v>2.5280085000000002E-3</v>
          </cell>
          <cell r="D126">
            <v>1.0758286E-3</v>
          </cell>
          <cell r="E126">
            <v>8.7298252999999995E-4</v>
          </cell>
          <cell r="F126">
            <v>1.4165717E-3</v>
          </cell>
          <cell r="G126">
            <v>2.0049069000000002E-3</v>
          </cell>
          <cell r="H126">
            <v>2.1732853000000002E-3</v>
          </cell>
          <cell r="I126">
            <v>2.5033976999999999E-3</v>
          </cell>
          <cell r="J126">
            <v>3.169411E-3</v>
          </cell>
          <cell r="K126">
            <v>4.2891203999999997E-3</v>
          </cell>
          <cell r="L126">
            <v>6.1574480000000003E-3</v>
          </cell>
          <cell r="M126">
            <v>9.0870881999999993E-3</v>
          </cell>
          <cell r="N126">
            <v>1.3602105E-2</v>
          </cell>
          <cell r="O126">
            <v>2.0891752E-2</v>
          </cell>
          <cell r="P126">
            <v>3.2898747999999998E-2</v>
          </cell>
          <cell r="Q126">
            <v>5.3234761999999998E-2</v>
          </cell>
          <cell r="R126">
            <v>8.6057529999999993E-2</v>
          </cell>
          <cell r="S126">
            <v>0.13902987</v>
          </cell>
          <cell r="T126">
            <v>0.21647015</v>
          </cell>
          <cell r="U126">
            <v>0.31694612999999999</v>
          </cell>
          <cell r="V126">
            <v>0.43120182000000001</v>
          </cell>
          <cell r="W126">
            <v>0.58714013960666001</v>
          </cell>
        </row>
        <row r="127">
          <cell r="A127" t="str">
            <v>Namibia</v>
          </cell>
          <cell r="B127">
            <v>3.4377681E-2</v>
          </cell>
          <cell r="C127">
            <v>2.9099013E-3</v>
          </cell>
          <cell r="D127">
            <v>1.2285111000000001E-3</v>
          </cell>
          <cell r="E127">
            <v>9.9083799999999996E-4</v>
          </cell>
          <cell r="F127">
            <v>1.6716044000000001E-3</v>
          </cell>
          <cell r="G127">
            <v>2.7393644999999999E-3</v>
          </cell>
          <cell r="H127">
            <v>3.9588619999999996E-3</v>
          </cell>
          <cell r="I127">
            <v>5.2867195999999998E-3</v>
          </cell>
          <cell r="J127">
            <v>7.1688393999999999E-3</v>
          </cell>
          <cell r="K127">
            <v>8.8100721E-3</v>
          </cell>
          <cell r="L127">
            <v>1.0793336000000001E-2</v>
          </cell>
          <cell r="M127">
            <v>1.3913755999999999E-2</v>
          </cell>
          <cell r="N127">
            <v>1.7548792000000001E-2</v>
          </cell>
          <cell r="O127">
            <v>2.4419335E-2</v>
          </cell>
          <cell r="P127">
            <v>3.6367178E-2</v>
          </cell>
          <cell r="Q127">
            <v>5.6585254000000001E-2</v>
          </cell>
          <cell r="R127">
            <v>8.9494286000000006E-2</v>
          </cell>
          <cell r="S127">
            <v>0.14881496999999999</v>
          </cell>
          <cell r="T127">
            <v>0.24959838000000001</v>
          </cell>
          <cell r="U127">
            <v>0.40919012999999999</v>
          </cell>
          <cell r="V127">
            <v>0.57870319999999997</v>
          </cell>
          <cell r="W127">
            <v>0.75565119412913395</v>
          </cell>
        </row>
        <row r="128">
          <cell r="A128" t="str">
            <v>Nepal</v>
          </cell>
          <cell r="B128">
            <v>2.8640247000000001E-2</v>
          </cell>
          <cell r="C128">
            <v>1.4695314E-3</v>
          </cell>
          <cell r="D128">
            <v>5.9831827000000003E-4</v>
          </cell>
          <cell r="E128">
            <v>4.9007130000000001E-4</v>
          </cell>
          <cell r="F128">
            <v>8.6118459E-4</v>
          </cell>
          <cell r="G128">
            <v>1.1906973E-3</v>
          </cell>
          <cell r="H128">
            <v>1.2941898999999999E-3</v>
          </cell>
          <cell r="I128">
            <v>1.5244251999999999E-3</v>
          </cell>
          <cell r="J128">
            <v>1.9933232E-3</v>
          </cell>
          <cell r="K128">
            <v>2.8693618999999998E-3</v>
          </cell>
          <cell r="L128">
            <v>4.5009300000000002E-3</v>
          </cell>
          <cell r="M128">
            <v>7.0663938000000001E-3</v>
          </cell>
          <cell r="N128">
            <v>1.1238351000000001E-2</v>
          </cell>
          <cell r="O128">
            <v>1.7900197999999999E-2</v>
          </cell>
          <cell r="P128">
            <v>2.9130886000000002E-2</v>
          </cell>
          <cell r="Q128">
            <v>4.8186037000000001E-2</v>
          </cell>
          <cell r="R128">
            <v>7.9872377999999994E-2</v>
          </cell>
          <cell r="S128">
            <v>0.13220203999999999</v>
          </cell>
          <cell r="T128">
            <v>0.21001893999999999</v>
          </cell>
          <cell r="U128">
            <v>0.31161787000000002</v>
          </cell>
          <cell r="V128">
            <v>0.43556268999999997</v>
          </cell>
          <cell r="W128">
            <v>0.57605773849755304</v>
          </cell>
        </row>
        <row r="129">
          <cell r="A129" t="str">
            <v>Netherlands</v>
          </cell>
          <cell r="B129">
            <v>2.5187437000000002E-3</v>
          </cell>
          <cell r="C129">
            <v>1.1513139000000001E-4</v>
          </cell>
          <cell r="D129">
            <v>5.5135920000000003E-5</v>
          </cell>
          <cell r="E129">
            <v>8.0273717000000003E-5</v>
          </cell>
          <cell r="F129">
            <v>1.9154134000000001E-4</v>
          </cell>
          <cell r="G129">
            <v>2.7216129999999998E-4</v>
          </cell>
          <cell r="H129">
            <v>2.9129477000000001E-4</v>
          </cell>
          <cell r="I129">
            <v>3.8575219E-4</v>
          </cell>
          <cell r="J129">
            <v>5.7051064000000003E-4</v>
          </cell>
          <cell r="K129">
            <v>9.5511765000000002E-4</v>
          </cell>
          <cell r="L129">
            <v>1.6606704000000001E-3</v>
          </cell>
          <cell r="M129">
            <v>2.7497215999999999E-3</v>
          </cell>
          <cell r="N129">
            <v>4.3536227000000004E-3</v>
          </cell>
          <cell r="O129">
            <v>6.9669095999999996E-3</v>
          </cell>
          <cell r="P129">
            <v>1.1002109E-2</v>
          </cell>
          <cell r="Q129">
            <v>1.8536730000000001E-2</v>
          </cell>
          <cell r="R129">
            <v>3.2788480000000002E-2</v>
          </cell>
          <cell r="S129">
            <v>6.0266640000000003E-2</v>
          </cell>
          <cell r="T129">
            <v>0.11045318</v>
          </cell>
          <cell r="U129">
            <v>0.19600266999999999</v>
          </cell>
          <cell r="V129">
            <v>0.31404490000000002</v>
          </cell>
          <cell r="W129">
            <v>0.46961671433511099</v>
          </cell>
        </row>
        <row r="130">
          <cell r="A130" t="str">
            <v>New Caledonia</v>
          </cell>
          <cell r="B130">
            <v>1.1637972999999999E-2</v>
          </cell>
          <cell r="C130">
            <v>4.5943948E-4</v>
          </cell>
          <cell r="D130">
            <v>2.2545012000000001E-4</v>
          </cell>
          <cell r="E130">
            <v>1.8979256E-4</v>
          </cell>
          <cell r="F130">
            <v>3.6019528000000002E-4</v>
          </cell>
          <cell r="G130">
            <v>5.0512105999999995E-4</v>
          </cell>
          <cell r="H130">
            <v>5.3223561999999995E-4</v>
          </cell>
          <cell r="I130">
            <v>6.2024707000000003E-4</v>
          </cell>
          <cell r="J130">
            <v>8.3168735000000002E-4</v>
          </cell>
          <cell r="K130">
            <v>1.2817385000000001E-3</v>
          </cell>
          <cell r="L130">
            <v>2.2190978E-3</v>
          </cell>
          <cell r="M130">
            <v>3.7123682999999998E-3</v>
          </cell>
          <cell r="N130">
            <v>6.3572867E-3</v>
          </cell>
          <cell r="O130">
            <v>1.0474288999999999E-2</v>
          </cell>
          <cell r="P130">
            <v>1.8251638000000001E-2</v>
          </cell>
          <cell r="Q130">
            <v>3.1589170999999999E-2</v>
          </cell>
          <cell r="R130">
            <v>5.3078787000000002E-2</v>
          </cell>
          <cell r="S130">
            <v>9.0179700000000002E-2</v>
          </cell>
          <cell r="T130">
            <v>0.14866807000000001</v>
          </cell>
          <cell r="U130">
            <v>0.22507743999999999</v>
          </cell>
          <cell r="V130">
            <v>0.32429851999999998</v>
          </cell>
          <cell r="W130">
            <v>0.46844296491418402</v>
          </cell>
        </row>
        <row r="131">
          <cell r="A131" t="str">
            <v>New Zealand</v>
          </cell>
          <cell r="B131">
            <v>3.8124193000000002E-3</v>
          </cell>
          <cell r="C131">
            <v>1.9430686E-4</v>
          </cell>
          <cell r="D131">
            <v>6.5707437000000002E-5</v>
          </cell>
          <cell r="E131">
            <v>1.1601438E-4</v>
          </cell>
          <cell r="F131">
            <v>4.8887968999999996E-4</v>
          </cell>
          <cell r="G131">
            <v>5.8477416000000005E-4</v>
          </cell>
          <cell r="H131">
            <v>5.1621117000000001E-4</v>
          </cell>
          <cell r="I131">
            <v>6.1739149000000001E-4</v>
          </cell>
          <cell r="J131">
            <v>7.8748608999999997E-4</v>
          </cell>
          <cell r="K131">
            <v>1.2222125E-3</v>
          </cell>
          <cell r="L131">
            <v>1.8247974000000001E-3</v>
          </cell>
          <cell r="M131">
            <v>2.7520078000000002E-3</v>
          </cell>
          <cell r="N131">
            <v>4.0590590999999999E-3</v>
          </cell>
          <cell r="O131">
            <v>6.2881775000000004E-3</v>
          </cell>
          <cell r="P131">
            <v>1.0377117999999999E-2</v>
          </cell>
          <cell r="Q131">
            <v>1.7147033999999998E-2</v>
          </cell>
          <cell r="R131">
            <v>2.9563273000000001E-2</v>
          </cell>
          <cell r="S131">
            <v>5.4258965999999999E-2</v>
          </cell>
          <cell r="T131">
            <v>0.10531105</v>
          </cell>
          <cell r="U131">
            <v>0.18849157</v>
          </cell>
          <cell r="V131">
            <v>0.31414136999999998</v>
          </cell>
          <cell r="W131">
            <v>0.48777625391056301</v>
          </cell>
        </row>
        <row r="132">
          <cell r="A132" t="str">
            <v>Nicaragua</v>
          </cell>
          <cell r="B132">
            <v>1.7042821E-2</v>
          </cell>
          <cell r="C132">
            <v>8.8338659999999999E-4</v>
          </cell>
          <cell r="D132">
            <v>4.6150675000000002E-4</v>
          </cell>
          <cell r="E132">
            <v>4.6118101999999999E-4</v>
          </cell>
          <cell r="F132">
            <v>1.1341954999999999E-3</v>
          </cell>
          <cell r="G132">
            <v>1.5131984E-3</v>
          </cell>
          <cell r="H132">
            <v>1.7766008E-3</v>
          </cell>
          <cell r="I132">
            <v>2.1383892000000002E-3</v>
          </cell>
          <cell r="J132">
            <v>2.7168524999999998E-3</v>
          </cell>
          <cell r="K132">
            <v>3.4635730000000002E-3</v>
          </cell>
          <cell r="L132">
            <v>4.5667345999999996E-3</v>
          </cell>
          <cell r="M132">
            <v>6.4528666999999996E-3</v>
          </cell>
          <cell r="N132">
            <v>9.2405486000000005E-3</v>
          </cell>
          <cell r="O132">
            <v>1.3440168000000001E-2</v>
          </cell>
          <cell r="P132">
            <v>1.9926938000000002E-2</v>
          </cell>
          <cell r="Q132">
            <v>2.9473168000000001E-2</v>
          </cell>
          <cell r="R132">
            <v>4.4702077999999999E-2</v>
          </cell>
          <cell r="S132">
            <v>7.8409147999999998E-2</v>
          </cell>
          <cell r="T132">
            <v>0.12177716</v>
          </cell>
          <cell r="U132">
            <v>0.18044484</v>
          </cell>
          <cell r="V132">
            <v>0.24915957999999999</v>
          </cell>
          <cell r="W132">
            <v>0.35221857726870798</v>
          </cell>
        </row>
        <row r="133">
          <cell r="A133" t="str">
            <v>Niger</v>
          </cell>
          <cell r="B133">
            <v>4.8142409999999997E-2</v>
          </cell>
          <cell r="C133">
            <v>1.0311216999999999E-2</v>
          </cell>
          <cell r="D133">
            <v>2.2365847E-3</v>
          </cell>
          <cell r="E133">
            <v>1.3354136999999999E-3</v>
          </cell>
          <cell r="F133">
            <v>2.2307064E-3</v>
          </cell>
          <cell r="G133">
            <v>2.9209370000000002E-3</v>
          </cell>
          <cell r="H133">
            <v>3.6701931E-3</v>
          </cell>
          <cell r="I133">
            <v>3.9286212999999999E-3</v>
          </cell>
          <cell r="J133">
            <v>4.5225298999999998E-3</v>
          </cell>
          <cell r="K133">
            <v>5.4843788000000001E-3</v>
          </cell>
          <cell r="L133">
            <v>7.0803526999999996E-3</v>
          </cell>
          <cell r="M133">
            <v>1.0302041E-2</v>
          </cell>
          <cell r="N133">
            <v>1.4996595999999999E-2</v>
          </cell>
          <cell r="O133">
            <v>2.1574461E-2</v>
          </cell>
          <cell r="P133">
            <v>3.3495599000000001E-2</v>
          </cell>
          <cell r="Q133">
            <v>5.7432080000000003E-2</v>
          </cell>
          <cell r="R133">
            <v>9.8878618000000001E-2</v>
          </cell>
          <cell r="S133">
            <v>0.1677091</v>
          </cell>
          <cell r="T133">
            <v>0.26746328000000003</v>
          </cell>
          <cell r="U133">
            <v>0.39706806</v>
          </cell>
          <cell r="V133">
            <v>0.51937774000000003</v>
          </cell>
          <cell r="W133">
            <v>0.69961391106703896</v>
          </cell>
        </row>
        <row r="134">
          <cell r="A134" t="str">
            <v>Nigeria</v>
          </cell>
          <cell r="B134">
            <v>6.5294819000000004E-2</v>
          </cell>
          <cell r="C134">
            <v>1.0848392E-2</v>
          </cell>
          <cell r="D134">
            <v>5.9987900000000004E-3</v>
          </cell>
          <cell r="E134">
            <v>3.2423768999999998E-3</v>
          </cell>
          <cell r="F134">
            <v>5.1242719000000004E-3</v>
          </cell>
          <cell r="G134">
            <v>6.1989758999999997E-3</v>
          </cell>
          <cell r="H134">
            <v>6.8285647999999999E-3</v>
          </cell>
          <cell r="I134">
            <v>7.1595560000000001E-3</v>
          </cell>
          <cell r="J134">
            <v>7.8513038000000007E-3</v>
          </cell>
          <cell r="K134">
            <v>8.9428237999999993E-3</v>
          </cell>
          <cell r="L134">
            <v>1.0388102E-2</v>
          </cell>
          <cell r="M134">
            <v>1.3824947000000001E-2</v>
          </cell>
          <cell r="N134">
            <v>1.9146876E-2</v>
          </cell>
          <cell r="O134">
            <v>3.0204992E-2</v>
          </cell>
          <cell r="P134">
            <v>4.7216862999999998E-2</v>
          </cell>
          <cell r="Q134">
            <v>7.8340722000000002E-2</v>
          </cell>
          <cell r="R134">
            <v>0.12895117</v>
          </cell>
          <cell r="S134">
            <v>0.20864909000000001</v>
          </cell>
          <cell r="T134">
            <v>0.31698614000000003</v>
          </cell>
          <cell r="U134">
            <v>0.45581286999999998</v>
          </cell>
          <cell r="V134">
            <v>0.55065103999999998</v>
          </cell>
          <cell r="W134">
            <v>0.66444043683503595</v>
          </cell>
        </row>
        <row r="135">
          <cell r="A135" t="str">
            <v>The former Yugoslav Republic of Macedonia</v>
          </cell>
          <cell r="B135">
            <v>1.079575E-2</v>
          </cell>
          <cell r="C135">
            <v>2.8490589999999999E-4</v>
          </cell>
          <cell r="D135">
            <v>1.3952435000000001E-4</v>
          </cell>
          <cell r="E135">
            <v>1.8527794999999999E-4</v>
          </cell>
          <cell r="F135">
            <v>2.9174696000000002E-4</v>
          </cell>
          <cell r="G135">
            <v>3.1394585000000001E-4</v>
          </cell>
          <cell r="H135">
            <v>4.6821371999999998E-4</v>
          </cell>
          <cell r="I135">
            <v>5.5946596000000005E-4</v>
          </cell>
          <cell r="J135">
            <v>8.928861E-4</v>
          </cell>
          <cell r="K135">
            <v>1.6335216E-3</v>
          </cell>
          <cell r="L135">
            <v>2.5281460000000002E-3</v>
          </cell>
          <cell r="M135">
            <v>4.7393223000000003E-3</v>
          </cell>
          <cell r="N135">
            <v>8.1192898000000003E-3</v>
          </cell>
          <cell r="O135">
            <v>1.3586753E-2</v>
          </cell>
          <cell r="P135">
            <v>2.1408777E-2</v>
          </cell>
          <cell r="Q135">
            <v>3.4609589000000003E-2</v>
          </cell>
          <cell r="R135">
            <v>6.5700938E-2</v>
          </cell>
          <cell r="S135">
            <v>0.11891127</v>
          </cell>
          <cell r="T135">
            <v>0.19994326000000001</v>
          </cell>
          <cell r="U135">
            <v>0.33394143999999998</v>
          </cell>
          <cell r="V135">
            <v>0.49029510999999998</v>
          </cell>
          <cell r="W135">
            <v>0.65437685851207505</v>
          </cell>
        </row>
        <row r="136">
          <cell r="A136" t="str">
            <v>Norway</v>
          </cell>
          <cell r="B136">
            <v>2.0702513000000001E-3</v>
          </cell>
          <cell r="C136">
            <v>1.0357009000000001E-4</v>
          </cell>
          <cell r="D136">
            <v>6.4313764999999998E-5</v>
          </cell>
          <cell r="E136">
            <v>7.8396562000000004E-5</v>
          </cell>
          <cell r="F136">
            <v>2.7168431999999998E-4</v>
          </cell>
          <cell r="G136">
            <v>4.2595027999999999E-4</v>
          </cell>
          <cell r="H136">
            <v>4.6549944E-4</v>
          </cell>
          <cell r="I136">
            <v>5.5599266000000002E-4</v>
          </cell>
          <cell r="J136">
            <v>6.8353209999999997E-4</v>
          </cell>
          <cell r="K136">
            <v>9.3517396000000004E-4</v>
          </cell>
          <cell r="L136">
            <v>1.5594595E-3</v>
          </cell>
          <cell r="M136">
            <v>2.6529905000000002E-3</v>
          </cell>
          <cell r="N136">
            <v>4.2520908000000003E-3</v>
          </cell>
          <cell r="O136">
            <v>6.8031499000000004E-3</v>
          </cell>
          <cell r="P136">
            <v>1.1112413999999999E-2</v>
          </cell>
          <cell r="Q136">
            <v>1.7557413000000001E-2</v>
          </cell>
          <cell r="R136">
            <v>3.1181543999999999E-2</v>
          </cell>
          <cell r="S136">
            <v>5.777583E-2</v>
          </cell>
          <cell r="T136">
            <v>0.10663995</v>
          </cell>
          <cell r="U136">
            <v>0.19638844</v>
          </cell>
          <cell r="V136">
            <v>0.32231333000000001</v>
          </cell>
          <cell r="W136">
            <v>0.48918007060825103</v>
          </cell>
        </row>
        <row r="137">
          <cell r="A137" t="str">
            <v>Oman</v>
          </cell>
          <cell r="B137">
            <v>7.3269965999999999E-3</v>
          </cell>
          <cell r="C137">
            <v>2.8333212999999999E-4</v>
          </cell>
          <cell r="D137">
            <v>2.1572192E-4</v>
          </cell>
          <cell r="E137">
            <v>2.3969654999999999E-4</v>
          </cell>
          <cell r="F137">
            <v>4.7763377E-4</v>
          </cell>
          <cell r="G137">
            <v>7.6316388000000003E-4</v>
          </cell>
          <cell r="H137">
            <v>8.0965848000000003E-4</v>
          </cell>
          <cell r="I137">
            <v>8.5966996000000004E-4</v>
          </cell>
          <cell r="J137">
            <v>9.5732987999999999E-4</v>
          </cell>
          <cell r="K137">
            <v>1.4366042E-3</v>
          </cell>
          <cell r="L137">
            <v>2.3609529999999998E-3</v>
          </cell>
          <cell r="M137">
            <v>4.1048018000000002E-3</v>
          </cell>
          <cell r="N137">
            <v>7.3508634999999998E-3</v>
          </cell>
          <cell r="O137">
            <v>1.1928869999999999E-2</v>
          </cell>
          <cell r="P137">
            <v>2.4168321E-2</v>
          </cell>
          <cell r="Q137">
            <v>2.9659853999999999E-2</v>
          </cell>
          <cell r="R137">
            <v>5.2475174999999999E-2</v>
          </cell>
          <cell r="S137">
            <v>7.9152258000000003E-2</v>
          </cell>
          <cell r="T137">
            <v>0.11085808</v>
          </cell>
          <cell r="U137">
            <v>0.14624925999999999</v>
          </cell>
          <cell r="V137">
            <v>0.19097700000000001</v>
          </cell>
          <cell r="W137">
            <v>0.25874695370742701</v>
          </cell>
        </row>
        <row r="138">
          <cell r="A138" t="str">
            <v>Pakistan</v>
          </cell>
          <cell r="B138">
            <v>6.4391113E-2</v>
          </cell>
          <cell r="C138">
            <v>3.6466287000000001E-3</v>
          </cell>
          <cell r="D138">
            <v>1.0647982999999999E-3</v>
          </cell>
          <cell r="E138">
            <v>6.8539918999999995E-4</v>
          </cell>
          <cell r="F138">
            <v>9.0329755000000003E-4</v>
          </cell>
          <cell r="G138">
            <v>1.2112449999999999E-3</v>
          </cell>
          <cell r="H138">
            <v>1.3521341999999999E-3</v>
          </cell>
          <cell r="I138">
            <v>1.7005716000000001E-3</v>
          </cell>
          <cell r="J138">
            <v>2.2712367000000001E-3</v>
          </cell>
          <cell r="K138">
            <v>3.2081938000000001E-3</v>
          </cell>
          <cell r="L138">
            <v>4.7470332000000004E-3</v>
          </cell>
          <cell r="M138">
            <v>7.2764717000000003E-3</v>
          </cell>
          <cell r="N138">
            <v>1.1376625E-2</v>
          </cell>
          <cell r="O138">
            <v>1.8509729999999999E-2</v>
          </cell>
          <cell r="P138">
            <v>2.9574797999999999E-2</v>
          </cell>
          <cell r="Q138">
            <v>4.6921771000000001E-2</v>
          </cell>
          <cell r="R138">
            <v>7.5738558999999997E-2</v>
          </cell>
          <cell r="S138">
            <v>0.12436061</v>
          </cell>
          <cell r="T138">
            <v>0.20651971999999999</v>
          </cell>
          <cell r="U138">
            <v>0.32143327999999999</v>
          </cell>
          <cell r="V138">
            <v>0.45851394000000001</v>
          </cell>
          <cell r="W138">
            <v>0.55588596799842305</v>
          </cell>
        </row>
        <row r="139">
          <cell r="A139" t="str">
            <v>Panama</v>
          </cell>
          <cell r="B139">
            <v>1.4316863000000001E-2</v>
          </cell>
          <cell r="C139">
            <v>1.1168910000000001E-3</v>
          </cell>
          <cell r="D139">
            <v>3.0663007E-4</v>
          </cell>
          <cell r="E139">
            <v>3.8203605E-4</v>
          </cell>
          <cell r="F139">
            <v>9.7342136999999996E-4</v>
          </cell>
          <cell r="G139">
            <v>1.6672996999999999E-3</v>
          </cell>
          <cell r="H139">
            <v>1.8989256999999999E-3</v>
          </cell>
          <cell r="I139">
            <v>1.8455957E-3</v>
          </cell>
          <cell r="J139">
            <v>1.8930301E-3</v>
          </cell>
          <cell r="K139">
            <v>2.2506380000000001E-3</v>
          </cell>
          <cell r="L139">
            <v>3.0129906999999999E-3</v>
          </cell>
          <cell r="M139">
            <v>4.3259865999999998E-3</v>
          </cell>
          <cell r="N139">
            <v>6.4119004E-3</v>
          </cell>
          <cell r="O139">
            <v>9.6462936999999992E-3</v>
          </cell>
          <cell r="P139">
            <v>1.4640630999999999E-2</v>
          </cell>
          <cell r="Q139">
            <v>2.2341037000000001E-2</v>
          </cell>
          <cell r="R139">
            <v>3.4147505000000002E-2</v>
          </cell>
          <cell r="S139">
            <v>5.2188312000000001E-2</v>
          </cell>
          <cell r="T139">
            <v>7.9706316999999999E-2</v>
          </cell>
          <cell r="U139">
            <v>0.12119497999999999</v>
          </cell>
          <cell r="V139">
            <v>0.18664743</v>
          </cell>
          <cell r="W139">
            <v>0.29132941038860299</v>
          </cell>
        </row>
        <row r="140">
          <cell r="A140" t="str">
            <v>Papua New Guinea</v>
          </cell>
          <cell r="B140">
            <v>4.3476411E-2</v>
          </cell>
          <cell r="C140">
            <v>2.9079266000000001E-3</v>
          </cell>
          <cell r="D140">
            <v>1.1746701000000001E-3</v>
          </cell>
          <cell r="E140">
            <v>9.2688373999999995E-4</v>
          </cell>
          <cell r="F140">
            <v>1.6822899999999999E-3</v>
          </cell>
          <cell r="G140">
            <v>2.2730177999999998E-3</v>
          </cell>
          <cell r="H140">
            <v>2.4715621000000001E-3</v>
          </cell>
          <cell r="I140">
            <v>2.8759676999999999E-3</v>
          </cell>
          <cell r="J140">
            <v>3.6746067000000002E-3</v>
          </cell>
          <cell r="K140">
            <v>4.9171900999999997E-3</v>
          </cell>
          <cell r="L140">
            <v>6.9776673000000004E-3</v>
          </cell>
          <cell r="M140">
            <v>1.0231395000000001E-2</v>
          </cell>
          <cell r="N140">
            <v>1.5188722999999999E-2</v>
          </cell>
          <cell r="O140">
            <v>2.573133E-2</v>
          </cell>
          <cell r="P140">
            <v>4.4059527000000001E-2</v>
          </cell>
          <cell r="Q140">
            <v>7.3067984000000002E-2</v>
          </cell>
          <cell r="R140">
            <v>0.11621322000000001</v>
          </cell>
          <cell r="S140">
            <v>0.18128772000000001</v>
          </cell>
          <cell r="T140">
            <v>0.27647423999999998</v>
          </cell>
          <cell r="U140">
            <v>0.39408220999999999</v>
          </cell>
          <cell r="V140">
            <v>0.53360748999999996</v>
          </cell>
          <cell r="W140">
            <v>0.69123285180900795</v>
          </cell>
        </row>
        <row r="141">
          <cell r="A141" t="str">
            <v>Paraguay</v>
          </cell>
          <cell r="B141">
            <v>1.9355603999999998E-2</v>
          </cell>
          <cell r="C141">
            <v>6.2881761999999996E-4</v>
          </cell>
          <cell r="D141">
            <v>5.5234958000000001E-4</v>
          </cell>
          <cell r="E141">
            <v>4.4948789000000001E-4</v>
          </cell>
          <cell r="F141">
            <v>1.0542913000000001E-3</v>
          </cell>
          <cell r="G141">
            <v>1.6059035000000001E-3</v>
          </cell>
          <cell r="H141">
            <v>1.9587977999999998E-3</v>
          </cell>
          <cell r="I141">
            <v>1.9953162000000001E-3</v>
          </cell>
          <cell r="J141">
            <v>2.3646519E-3</v>
          </cell>
          <cell r="K141">
            <v>2.8979647000000001E-3</v>
          </cell>
          <cell r="L141">
            <v>4.2436922000000004E-3</v>
          </cell>
          <cell r="M141">
            <v>6.1885048999999999E-3</v>
          </cell>
          <cell r="N141">
            <v>8.7090715999999999E-3</v>
          </cell>
          <cell r="O141">
            <v>1.3643486E-2</v>
          </cell>
          <cell r="P141">
            <v>2.0194107999999999E-2</v>
          </cell>
          <cell r="Q141">
            <v>2.9681827000000001E-2</v>
          </cell>
          <cell r="R141">
            <v>4.2919825000000002E-2</v>
          </cell>
          <cell r="S141">
            <v>8.4247589999999997E-2</v>
          </cell>
          <cell r="T141">
            <v>0.134908</v>
          </cell>
          <cell r="U141">
            <v>0.20061775000000001</v>
          </cell>
          <cell r="V141">
            <v>0.27725865999999999</v>
          </cell>
          <cell r="W141">
            <v>0.38506899589254601</v>
          </cell>
        </row>
        <row r="142">
          <cell r="A142" t="str">
            <v>Peru</v>
          </cell>
          <cell r="B142">
            <v>1.2939015999999999E-2</v>
          </cell>
          <cell r="C142">
            <v>8.7709691999999996E-4</v>
          </cell>
          <cell r="D142">
            <v>4.9556572000000005E-4</v>
          </cell>
          <cell r="E142">
            <v>3.3616119999999998E-4</v>
          </cell>
          <cell r="F142">
            <v>7.9592344000000001E-4</v>
          </cell>
          <cell r="G142">
            <v>1.1835925E-3</v>
          </cell>
          <cell r="H142">
            <v>1.5371274E-3</v>
          </cell>
          <cell r="I142">
            <v>1.6903962999999999E-3</v>
          </cell>
          <cell r="J142">
            <v>2.0229324E-3</v>
          </cell>
          <cell r="K142">
            <v>2.5814811000000001E-3</v>
          </cell>
          <cell r="L142">
            <v>3.4505136999999999E-3</v>
          </cell>
          <cell r="M142">
            <v>4.8137229000000002E-3</v>
          </cell>
          <cell r="N142">
            <v>6.9027120999999997E-3</v>
          </cell>
          <cell r="O142">
            <v>1.0495192E-2</v>
          </cell>
          <cell r="P142">
            <v>1.5838555000000001E-2</v>
          </cell>
          <cell r="Q142">
            <v>2.7426079999999999E-2</v>
          </cell>
          <cell r="R142">
            <v>4.4070781000000003E-2</v>
          </cell>
          <cell r="S142">
            <v>7.3844919999999994E-2</v>
          </cell>
          <cell r="T142">
            <v>0.12225401</v>
          </cell>
          <cell r="U142">
            <v>0.18637312</v>
          </cell>
          <cell r="V142">
            <v>0.26399128999999999</v>
          </cell>
          <cell r="W142">
            <v>0.37807237681475703</v>
          </cell>
        </row>
        <row r="143">
          <cell r="A143" t="str">
            <v>Philippines</v>
          </cell>
          <cell r="B143">
            <v>2.0008061000000001E-2</v>
          </cell>
          <cell r="C143">
            <v>2.0546607000000001E-3</v>
          </cell>
          <cell r="D143">
            <v>6.1392798999999995E-4</v>
          </cell>
          <cell r="E143">
            <v>5.3274137999999999E-4</v>
          </cell>
          <cell r="F143">
            <v>1.1410983E-3</v>
          </cell>
          <cell r="G143">
            <v>1.598159E-3</v>
          </cell>
          <cell r="H143">
            <v>1.747333E-3</v>
          </cell>
          <cell r="I143">
            <v>2.0867637E-3</v>
          </cell>
          <cell r="J143">
            <v>2.7738117E-3</v>
          </cell>
          <cell r="K143">
            <v>3.9041178000000002E-3</v>
          </cell>
          <cell r="L143">
            <v>5.8097141999999997E-3</v>
          </cell>
          <cell r="M143">
            <v>8.7515739000000002E-3</v>
          </cell>
          <cell r="N143">
            <v>1.3195676999999999E-2</v>
          </cell>
          <cell r="O143">
            <v>1.8202122000000001E-2</v>
          </cell>
          <cell r="P143">
            <v>2.4944500000000001E-2</v>
          </cell>
          <cell r="Q143">
            <v>3.6728228000000002E-2</v>
          </cell>
          <cell r="R143">
            <v>5.9166007E-2</v>
          </cell>
          <cell r="S143">
            <v>9.3905343000000002E-2</v>
          </cell>
          <cell r="T143">
            <v>0.14436562999999999</v>
          </cell>
          <cell r="U143">
            <v>0.20891223</v>
          </cell>
          <cell r="V143">
            <v>0.29338666000000002</v>
          </cell>
          <cell r="W143">
            <v>0.39832271086328003</v>
          </cell>
        </row>
        <row r="144">
          <cell r="A144" t="str">
            <v>Poland</v>
          </cell>
          <cell r="B144">
            <v>3.2868499E-3</v>
          </cell>
          <cell r="C144">
            <v>1.4441934000000001E-4</v>
          </cell>
          <cell r="D144">
            <v>8.0743470999999998E-5</v>
          </cell>
          <cell r="E144">
            <v>1.1545408E-4</v>
          </cell>
          <cell r="F144">
            <v>3.4240079999999998E-4</v>
          </cell>
          <cell r="G144">
            <v>5.4388965999999995E-4</v>
          </cell>
          <cell r="H144">
            <v>6.0641749000000004E-4</v>
          </cell>
          <cell r="I144">
            <v>7.9691007999999996E-4</v>
          </cell>
          <cell r="J144">
            <v>1.1931641000000001E-3</v>
          </cell>
          <cell r="K144">
            <v>1.9504971000000001E-3</v>
          </cell>
          <cell r="L144">
            <v>3.3166645000000002E-3</v>
          </cell>
          <cell r="M144">
            <v>5.5350829000000001E-3</v>
          </cell>
          <cell r="N144">
            <v>8.7180399999999998E-3</v>
          </cell>
          <cell r="O144">
            <v>1.2937382000000001E-2</v>
          </cell>
          <cell r="P144">
            <v>1.815172E-2</v>
          </cell>
          <cell r="Q144">
            <v>2.5476608000000001E-2</v>
          </cell>
          <cell r="R144">
            <v>3.9213273E-2</v>
          </cell>
          <cell r="S144">
            <v>6.5766910999999997E-2</v>
          </cell>
          <cell r="T144">
            <v>0.10937877</v>
          </cell>
          <cell r="U144">
            <v>0.17670791999999999</v>
          </cell>
          <cell r="V144">
            <v>0.26991391999999997</v>
          </cell>
          <cell r="W144">
            <v>0.40399169651626698</v>
          </cell>
        </row>
        <row r="145">
          <cell r="A145" t="str">
            <v>Portugal</v>
          </cell>
          <cell r="B145">
            <v>2.9666393999999998E-3</v>
          </cell>
          <cell r="C145">
            <v>1.0960131E-4</v>
          </cell>
          <cell r="D145">
            <v>7.0560045999999994E-5</v>
          </cell>
          <cell r="E145">
            <v>7.9355163000000001E-5</v>
          </cell>
          <cell r="F145">
            <v>1.8615221999999999E-4</v>
          </cell>
          <cell r="G145">
            <v>3.0231341000000001E-4</v>
          </cell>
          <cell r="H145">
            <v>3.4686317000000001E-4</v>
          </cell>
          <cell r="I145">
            <v>5.1529707E-4</v>
          </cell>
          <cell r="J145">
            <v>7.7312823000000004E-4</v>
          </cell>
          <cell r="K145">
            <v>1.3379662E-3</v>
          </cell>
          <cell r="L145">
            <v>2.2904767999999999E-3</v>
          </cell>
          <cell r="M145">
            <v>3.7044911999999999E-3</v>
          </cell>
          <cell r="N145">
            <v>4.9671406999999999E-3</v>
          </cell>
          <cell r="O145">
            <v>7.1671445999999996E-3</v>
          </cell>
          <cell r="P145">
            <v>1.0232377000000001E-2</v>
          </cell>
          <cell r="Q145">
            <v>1.6763373000000002E-2</v>
          </cell>
          <cell r="R145">
            <v>3.0060641999999999E-2</v>
          </cell>
          <cell r="S145">
            <v>5.9494907999999999E-2</v>
          </cell>
          <cell r="T145">
            <v>0.11374388000000001</v>
          </cell>
          <cell r="U145">
            <v>0.19497239999999999</v>
          </cell>
          <cell r="V145">
            <v>0.31335319</v>
          </cell>
          <cell r="W145">
            <v>0.47105436852994997</v>
          </cell>
        </row>
        <row r="146">
          <cell r="A146" t="str">
            <v>Puerto Rico</v>
          </cell>
          <cell r="B146">
            <v>5.4736105E-3</v>
          </cell>
          <cell r="C146">
            <v>1.1152433999999999E-4</v>
          </cell>
          <cell r="D146">
            <v>6.6325443000000005E-5</v>
          </cell>
          <cell r="E146">
            <v>9.1132344000000002E-5</v>
          </cell>
          <cell r="F146">
            <v>5.0342938999999997E-4</v>
          </cell>
          <cell r="G146">
            <v>1.1226443E-3</v>
          </cell>
          <cell r="H146">
            <v>1.2596485999999999E-3</v>
          </cell>
          <cell r="I146">
            <v>1.4240628999999999E-3</v>
          </cell>
          <cell r="J146">
            <v>1.6882999E-3</v>
          </cell>
          <cell r="K146">
            <v>2.1094942E-3</v>
          </cell>
          <cell r="L146">
            <v>3.0566177E-3</v>
          </cell>
          <cell r="M146">
            <v>4.4595974000000002E-3</v>
          </cell>
          <cell r="N146">
            <v>6.5240233999999996E-3</v>
          </cell>
          <cell r="O146">
            <v>9.3058050999999999E-3</v>
          </cell>
          <cell r="P146">
            <v>1.3053811E-2</v>
          </cell>
          <cell r="Q146">
            <v>1.9836746999999998E-2</v>
          </cell>
          <cell r="R146">
            <v>3.2967928000000001E-2</v>
          </cell>
          <cell r="S146">
            <v>5.5185457E-2</v>
          </cell>
          <cell r="T146">
            <v>9.1879177000000006E-2</v>
          </cell>
          <cell r="U146">
            <v>0.14943981000000001</v>
          </cell>
          <cell r="V146">
            <v>0.23930621999999999</v>
          </cell>
          <cell r="W146">
            <v>0.37698922606260699</v>
          </cell>
        </row>
        <row r="147">
          <cell r="A147" t="str">
            <v>Qatar</v>
          </cell>
          <cell r="B147">
            <v>6.3255604000000002E-3</v>
          </cell>
          <cell r="C147">
            <v>3.2014465999999998E-4</v>
          </cell>
          <cell r="D147">
            <v>1.8425658000000001E-4</v>
          </cell>
          <cell r="E147">
            <v>1.8342806E-4</v>
          </cell>
          <cell r="F147">
            <v>3.7802164999999998E-4</v>
          </cell>
          <cell r="G147">
            <v>4.4146757000000002E-4</v>
          </cell>
          <cell r="H147">
            <v>3.9062599000000002E-4</v>
          </cell>
          <cell r="I147">
            <v>4.1452566999999999E-4</v>
          </cell>
          <cell r="J147">
            <v>4.7835339000000001E-4</v>
          </cell>
          <cell r="K147">
            <v>6.4188159999999995E-4</v>
          </cell>
          <cell r="L147">
            <v>1.0079031999999999E-3</v>
          </cell>
          <cell r="M147">
            <v>1.5528612000000001E-3</v>
          </cell>
          <cell r="N147">
            <v>2.8176884000000002E-3</v>
          </cell>
          <cell r="O147">
            <v>5.1827158000000003E-3</v>
          </cell>
          <cell r="P147">
            <v>2.3650461000000001E-2</v>
          </cell>
          <cell r="Q147">
            <v>4.2412170999999999E-2</v>
          </cell>
          <cell r="R147">
            <v>5.0153741000000002E-2</v>
          </cell>
          <cell r="S147">
            <v>7.1487710999999995E-2</v>
          </cell>
          <cell r="T147">
            <v>8.6034737999999999E-2</v>
          </cell>
          <cell r="U147">
            <v>0.11860568</v>
          </cell>
          <cell r="V147">
            <v>0.15691179</v>
          </cell>
          <cell r="W147">
            <v>0.21732732507312699</v>
          </cell>
        </row>
        <row r="148">
          <cell r="A148" t="str">
            <v>Republic of Korea</v>
          </cell>
          <cell r="B148">
            <v>2.1108488000000001E-3</v>
          </cell>
          <cell r="C148">
            <v>1.2721904999999999E-4</v>
          </cell>
          <cell r="D148">
            <v>7.0104950000000004E-5</v>
          </cell>
          <cell r="E148">
            <v>7.6186736000000005E-5</v>
          </cell>
          <cell r="F148">
            <v>1.942987E-4</v>
          </cell>
          <cell r="G148">
            <v>2.9824696999999998E-4</v>
          </cell>
          <cell r="H148">
            <v>4.1832342999999998E-4</v>
          </cell>
          <cell r="I148">
            <v>5.5543884000000001E-4</v>
          </cell>
          <cell r="J148">
            <v>7.4561245999999999E-4</v>
          </cell>
          <cell r="K148">
            <v>1.1482713000000001E-3</v>
          </cell>
          <cell r="L148">
            <v>1.8248663E-3</v>
          </cell>
          <cell r="M148">
            <v>2.7369803000000001E-3</v>
          </cell>
          <cell r="N148">
            <v>3.8686596999999998E-3</v>
          </cell>
          <cell r="O148">
            <v>5.6378089999999997E-3</v>
          </cell>
          <cell r="P148">
            <v>8.8808813000000007E-3</v>
          </cell>
          <cell r="Q148">
            <v>1.6377685999999999E-2</v>
          </cell>
          <cell r="R148">
            <v>3.0525514E-2</v>
          </cell>
          <cell r="S148">
            <v>5.7129930000000002E-2</v>
          </cell>
          <cell r="T148">
            <v>0.10283521</v>
          </cell>
          <cell r="U148">
            <v>0.17527654000000001</v>
          </cell>
          <cell r="V148">
            <v>0.27737387000000002</v>
          </cell>
          <cell r="W148">
            <v>0.42712427052513702</v>
          </cell>
        </row>
        <row r="149">
          <cell r="A149" t="str">
            <v>Republic of Moldova</v>
          </cell>
          <cell r="B149">
            <v>1.2497780999999999E-2</v>
          </cell>
          <cell r="C149">
            <v>5.1718494999999996E-4</v>
          </cell>
          <cell r="D149">
            <v>2.2586022E-4</v>
          </cell>
          <cell r="E149">
            <v>1.7657189000000001E-4</v>
          </cell>
          <cell r="F149">
            <v>4.1260755000000003E-4</v>
          </cell>
          <cell r="G149">
            <v>5.5911975999999996E-4</v>
          </cell>
          <cell r="H149">
            <v>8.4142677999999996E-4</v>
          </cell>
          <cell r="I149">
            <v>1.2949722E-3</v>
          </cell>
          <cell r="J149">
            <v>2.3213779000000002E-3</v>
          </cell>
          <cell r="K149">
            <v>3.2717982999999999E-3</v>
          </cell>
          <cell r="L149">
            <v>5.8364449000000004E-3</v>
          </cell>
          <cell r="M149">
            <v>8.7272137E-3</v>
          </cell>
          <cell r="N149">
            <v>1.3217298000000001E-2</v>
          </cell>
          <cell r="O149">
            <v>2.2206703000000001E-2</v>
          </cell>
          <cell r="P149">
            <v>2.9300192999999999E-2</v>
          </cell>
          <cell r="Q149">
            <v>4.7245299999999997E-2</v>
          </cell>
          <cell r="R149">
            <v>7.5620133000000006E-2</v>
          </cell>
          <cell r="S149">
            <v>0.12060365000000001</v>
          </cell>
          <cell r="T149">
            <v>0.18658807999999999</v>
          </cell>
          <cell r="U149">
            <v>0.26555773999999999</v>
          </cell>
          <cell r="V149">
            <v>0.37921319999999997</v>
          </cell>
          <cell r="W149">
            <v>0.53613418409250202</v>
          </cell>
        </row>
        <row r="150">
          <cell r="A150" t="str">
            <v>Réunion</v>
          </cell>
          <cell r="B150">
            <v>2.6717415999999998E-3</v>
          </cell>
          <cell r="C150">
            <v>8.5204763000000007E-5</v>
          </cell>
          <cell r="D150">
            <v>6.9632987E-5</v>
          </cell>
          <cell r="E150">
            <v>7.4100976999999998E-5</v>
          </cell>
          <cell r="F150">
            <v>3.0639306E-4</v>
          </cell>
          <cell r="G150">
            <v>5.4390983999999998E-4</v>
          </cell>
          <cell r="H150">
            <v>4.8765355000000003E-4</v>
          </cell>
          <cell r="I150">
            <v>6.3056799999999997E-4</v>
          </cell>
          <cell r="J150">
            <v>1.0642754000000001E-3</v>
          </cell>
          <cell r="K150">
            <v>1.7387237E-3</v>
          </cell>
          <cell r="L150">
            <v>3.0316873E-3</v>
          </cell>
          <cell r="M150">
            <v>3.7709972E-3</v>
          </cell>
          <cell r="N150">
            <v>5.6254903E-3</v>
          </cell>
          <cell r="O150">
            <v>8.3888563000000006E-3</v>
          </cell>
          <cell r="P150">
            <v>1.3799415000000001E-2</v>
          </cell>
          <cell r="Q150">
            <v>2.0399318E-2</v>
          </cell>
          <cell r="R150">
            <v>3.2023164999999999E-2</v>
          </cell>
          <cell r="S150">
            <v>5.6173097999999998E-2</v>
          </cell>
          <cell r="T150">
            <v>8.9661332999999996E-2</v>
          </cell>
          <cell r="U150">
            <v>0.13319243</v>
          </cell>
          <cell r="V150">
            <v>0.21619669999999999</v>
          </cell>
          <cell r="W150">
            <v>0.301723383622575</v>
          </cell>
        </row>
        <row r="151">
          <cell r="A151" t="str">
            <v>Romania</v>
          </cell>
          <cell r="B151">
            <v>6.7261932999999998E-3</v>
          </cell>
          <cell r="C151">
            <v>3.0340724999999998E-4</v>
          </cell>
          <cell r="D151">
            <v>1.4255436E-4</v>
          </cell>
          <cell r="E151">
            <v>1.9492794E-4</v>
          </cell>
          <cell r="F151">
            <v>3.6145421999999997E-4</v>
          </cell>
          <cell r="G151">
            <v>4.6977742E-4</v>
          </cell>
          <cell r="H151">
            <v>6.5225114000000005E-4</v>
          </cell>
          <cell r="I151">
            <v>7.4660329999999997E-4</v>
          </cell>
          <cell r="J151">
            <v>1.2057799E-3</v>
          </cell>
          <cell r="K151">
            <v>2.2559578000000001E-3</v>
          </cell>
          <cell r="L151">
            <v>3.5659852999999999E-3</v>
          </cell>
          <cell r="M151">
            <v>6.4333741999999996E-3</v>
          </cell>
          <cell r="N151">
            <v>1.0907198E-2</v>
          </cell>
          <cell r="O151">
            <v>1.5947491000000001E-2</v>
          </cell>
          <cell r="P151">
            <v>2.0975173E-2</v>
          </cell>
          <cell r="Q151">
            <v>3.1056001E-2</v>
          </cell>
          <cell r="R151">
            <v>5.1986715000000003E-2</v>
          </cell>
          <cell r="S151">
            <v>8.9787669000000001E-2</v>
          </cell>
          <cell r="T151">
            <v>0.15165044</v>
          </cell>
          <cell r="U151">
            <v>0.23939450000000001</v>
          </cell>
          <cell r="V151">
            <v>0.34927784000000001</v>
          </cell>
          <cell r="W151">
            <v>0.490322624932366</v>
          </cell>
        </row>
        <row r="152">
          <cell r="A152" t="str">
            <v>Russian Federation</v>
          </cell>
          <cell r="B152">
            <v>5.7897723E-3</v>
          </cell>
          <cell r="C152">
            <v>3.4099009999999998E-4</v>
          </cell>
          <cell r="D152">
            <v>1.9724649000000001E-4</v>
          </cell>
          <cell r="E152">
            <v>2.6013388000000002E-4</v>
          </cell>
          <cell r="F152">
            <v>6.2719060000000001E-4</v>
          </cell>
          <cell r="G152">
            <v>1.113476E-3</v>
          </cell>
          <cell r="H152">
            <v>1.7910211999999999E-3</v>
          </cell>
          <cell r="I152">
            <v>3.0143118999999999E-3</v>
          </cell>
          <cell r="J152">
            <v>4.4363613000000003E-3</v>
          </cell>
          <cell r="K152">
            <v>5.3360504999999999E-3</v>
          </cell>
          <cell r="L152">
            <v>6.5753735000000004E-3</v>
          </cell>
          <cell r="M152">
            <v>9.0223766999999993E-3</v>
          </cell>
          <cell r="N152">
            <v>1.2703552E-2</v>
          </cell>
          <cell r="O152">
            <v>1.8522239999999999E-2</v>
          </cell>
          <cell r="P152">
            <v>2.5452905000000001E-2</v>
          </cell>
          <cell r="Q152">
            <v>3.5942321999999999E-2</v>
          </cell>
          <cell r="R152">
            <v>5.6476540999999998E-2</v>
          </cell>
          <cell r="S152">
            <v>9.1954353000000003E-2</v>
          </cell>
          <cell r="T152">
            <v>0.13639747999999999</v>
          </cell>
          <cell r="U152">
            <v>0.20671281</v>
          </cell>
          <cell r="V152">
            <v>0.29838428</v>
          </cell>
          <cell r="W152">
            <v>0.42473476906427299</v>
          </cell>
        </row>
        <row r="153">
          <cell r="A153" t="str">
            <v>Rwanda</v>
          </cell>
          <cell r="B153">
            <v>2.9954709E-2</v>
          </cell>
          <cell r="C153">
            <v>2.3863735E-3</v>
          </cell>
          <cell r="D153">
            <v>9.5066290999999995E-4</v>
          </cell>
          <cell r="E153">
            <v>7.3551564999999996E-4</v>
          </cell>
          <cell r="F153">
            <v>1.2867931000000001E-3</v>
          </cell>
          <cell r="G153">
            <v>1.9402588999999999E-3</v>
          </cell>
          <cell r="H153">
            <v>2.3448914000000001E-3</v>
          </cell>
          <cell r="I153">
            <v>2.8246602000000002E-3</v>
          </cell>
          <cell r="J153">
            <v>3.5480882000000001E-3</v>
          </cell>
          <cell r="K153">
            <v>4.5664147000000002E-3</v>
          </cell>
          <cell r="L153">
            <v>5.9046825999999998E-3</v>
          </cell>
          <cell r="M153">
            <v>8.5881515000000002E-3</v>
          </cell>
          <cell r="N153">
            <v>1.1652312999999999E-2</v>
          </cell>
          <cell r="O153">
            <v>1.7655196000000001E-2</v>
          </cell>
          <cell r="P153">
            <v>2.7792724000000001E-2</v>
          </cell>
          <cell r="Q153">
            <v>4.4643474000000002E-2</v>
          </cell>
          <cell r="R153">
            <v>7.3626358000000003E-2</v>
          </cell>
          <cell r="S153">
            <v>0.12529543000000001</v>
          </cell>
          <cell r="T153">
            <v>0.21214658</v>
          </cell>
          <cell r="U153">
            <v>0.36240097999999998</v>
          </cell>
          <cell r="V153">
            <v>0.53210800999999996</v>
          </cell>
          <cell r="W153">
            <v>0.72019190521583099</v>
          </cell>
        </row>
        <row r="154">
          <cell r="A154" t="str">
            <v>Saint Lucia</v>
          </cell>
          <cell r="B154">
            <v>1.2635176E-2</v>
          </cell>
          <cell r="C154">
            <v>9.2521200000000002E-4</v>
          </cell>
          <cell r="D154">
            <v>3.3770734999999998E-4</v>
          </cell>
          <cell r="E154">
            <v>3.1369895E-4</v>
          </cell>
          <cell r="F154">
            <v>7.4183444E-4</v>
          </cell>
          <cell r="G154">
            <v>1.0129577999999999E-3</v>
          </cell>
          <cell r="H154">
            <v>1.0756056999999999E-3</v>
          </cell>
          <cell r="I154">
            <v>1.2922591000000001E-3</v>
          </cell>
          <cell r="J154">
            <v>1.7795374E-3</v>
          </cell>
          <cell r="K154">
            <v>2.6343921999999998E-3</v>
          </cell>
          <cell r="L154">
            <v>4.1353350000000004E-3</v>
          </cell>
          <cell r="M154">
            <v>6.5300319000000003E-3</v>
          </cell>
          <cell r="N154">
            <v>1.0217173E-2</v>
          </cell>
          <cell r="O154">
            <v>1.2982967E-2</v>
          </cell>
          <cell r="P154">
            <v>1.6715843000000001E-2</v>
          </cell>
          <cell r="Q154">
            <v>2.4874704000000001E-2</v>
          </cell>
          <cell r="R154">
            <v>4.3315355E-2</v>
          </cell>
          <cell r="S154">
            <v>7.3372701999999998E-2</v>
          </cell>
          <cell r="T154">
            <v>0.12041904</v>
          </cell>
          <cell r="U154">
            <v>0.18248128</v>
          </cell>
          <cell r="V154">
            <v>0.25413714999999998</v>
          </cell>
          <cell r="W154">
            <v>0.33605463656934498</v>
          </cell>
        </row>
        <row r="155">
          <cell r="A155" t="str">
            <v>Saint Vincent and the Grenadines</v>
          </cell>
          <cell r="B155">
            <v>1.4862032000000001E-2</v>
          </cell>
          <cell r="C155">
            <v>3.404956E-4</v>
          </cell>
          <cell r="D155">
            <v>4.2683378999999999E-4</v>
          </cell>
          <cell r="E155">
            <v>4.1188520999999999E-4</v>
          </cell>
          <cell r="F155">
            <v>1.0006774999999999E-3</v>
          </cell>
          <cell r="G155">
            <v>1.4096149000000001E-3</v>
          </cell>
          <cell r="H155">
            <v>1.536681E-3</v>
          </cell>
          <cell r="I155">
            <v>1.8326064E-3</v>
          </cell>
          <cell r="J155">
            <v>2.4444193999999999E-3</v>
          </cell>
          <cell r="K155">
            <v>3.5001016E-3</v>
          </cell>
          <cell r="L155">
            <v>5.2736989000000001E-3</v>
          </cell>
          <cell r="M155">
            <v>7.9972917000000008E-3</v>
          </cell>
          <cell r="N155">
            <v>1.2145157E-2</v>
          </cell>
          <cell r="O155">
            <v>1.7280294000000002E-2</v>
          </cell>
          <cell r="P155">
            <v>2.4563299E-2</v>
          </cell>
          <cell r="Q155">
            <v>3.7452007000000002E-2</v>
          </cell>
          <cell r="R155">
            <v>6.1087258999999998E-2</v>
          </cell>
          <cell r="S155">
            <v>9.9393161999999993E-2</v>
          </cell>
          <cell r="T155">
            <v>0.15928957999999999</v>
          </cell>
          <cell r="U155">
            <v>0.24279701000000001</v>
          </cell>
          <cell r="V155">
            <v>0.35271546999999998</v>
          </cell>
          <cell r="W155">
            <v>0.48479397637666799</v>
          </cell>
        </row>
        <row r="156">
          <cell r="A156" t="str">
            <v>Samoa</v>
          </cell>
          <cell r="B156">
            <v>1.3619459E-2</v>
          </cell>
          <cell r="C156">
            <v>6.9369883999999998E-4</v>
          </cell>
          <cell r="D156">
            <v>2.7290753999999998E-4</v>
          </cell>
          <cell r="E156">
            <v>2.4881863000000002E-4</v>
          </cell>
          <cell r="F156">
            <v>5.7707774999999999E-4</v>
          </cell>
          <cell r="G156">
            <v>7.5020697999999999E-4</v>
          </cell>
          <cell r="H156">
            <v>7.6786260999999996E-4</v>
          </cell>
          <cell r="I156">
            <v>9.2014482999999995E-4</v>
          </cell>
          <cell r="J156">
            <v>1.2895789000000001E-3</v>
          </cell>
          <cell r="K156">
            <v>1.9906466000000002E-3</v>
          </cell>
          <cell r="L156">
            <v>3.2896677999999999E-3</v>
          </cell>
          <cell r="M156">
            <v>5.3850284000000002E-3</v>
          </cell>
          <cell r="N156">
            <v>8.7768015000000005E-3</v>
          </cell>
          <cell r="O156">
            <v>1.5764291E-2</v>
          </cell>
          <cell r="P156">
            <v>2.8201343E-2</v>
          </cell>
          <cell r="Q156">
            <v>4.8257095E-2</v>
          </cell>
          <cell r="R156">
            <v>8.0932924000000003E-2</v>
          </cell>
          <cell r="S156">
            <v>0.13405503999999999</v>
          </cell>
          <cell r="T156">
            <v>0.21751577</v>
          </cell>
          <cell r="U156">
            <v>0.33408251</v>
          </cell>
          <cell r="V156">
            <v>0.48425148000000001</v>
          </cell>
          <cell r="W156">
            <v>0.66030855558493895</v>
          </cell>
        </row>
        <row r="157">
          <cell r="A157" t="str">
            <v>Sao Tome and Principe</v>
          </cell>
          <cell r="B157">
            <v>2.7059248000000001E-2</v>
          </cell>
          <cell r="C157">
            <v>1.5256554E-3</v>
          </cell>
          <cell r="D157">
            <v>5.9281853999999996E-4</v>
          </cell>
          <cell r="E157">
            <v>4.9451753999999999E-4</v>
          </cell>
          <cell r="F157">
            <v>9.7242830999999996E-4</v>
          </cell>
          <cell r="G157">
            <v>1.2764427E-3</v>
          </cell>
          <cell r="H157">
            <v>1.3534716E-3</v>
          </cell>
          <cell r="I157">
            <v>1.6131747E-3</v>
          </cell>
          <cell r="J157">
            <v>2.1734437E-3</v>
          </cell>
          <cell r="K157">
            <v>3.1177086000000001E-3</v>
          </cell>
          <cell r="L157">
            <v>4.7895207999999996E-3</v>
          </cell>
          <cell r="M157">
            <v>7.4343227E-3</v>
          </cell>
          <cell r="N157">
            <v>1.1605492E-2</v>
          </cell>
          <cell r="O157">
            <v>1.8499109999999999E-2</v>
          </cell>
          <cell r="P157">
            <v>2.9826255999999999E-2</v>
          </cell>
          <cell r="Q157">
            <v>4.8686436E-2</v>
          </cell>
          <cell r="R157">
            <v>7.9508494999999998E-2</v>
          </cell>
          <cell r="S157">
            <v>0.12702053999999999</v>
          </cell>
          <cell r="T157">
            <v>0.19783127</v>
          </cell>
          <cell r="U157">
            <v>0.29238006999999999</v>
          </cell>
          <cell r="V157">
            <v>0.41454090999999998</v>
          </cell>
          <cell r="W157">
            <v>0.55323917387007104</v>
          </cell>
        </row>
        <row r="158">
          <cell r="A158" t="str">
            <v>Saudi Arabia</v>
          </cell>
          <cell r="B158">
            <v>6.3419968999999998E-3</v>
          </cell>
          <cell r="C158">
            <v>2.6451985000000003E-4</v>
          </cell>
          <cell r="D158">
            <v>5.4277182999999999E-4</v>
          </cell>
          <cell r="E158">
            <v>5.6212410000000003E-4</v>
          </cell>
          <cell r="F158">
            <v>8.9592507000000004E-4</v>
          </cell>
          <cell r="G158">
            <v>9.8567514999999993E-4</v>
          </cell>
          <cell r="H158">
            <v>6.0824421E-4</v>
          </cell>
          <cell r="I158">
            <v>5.2892651000000001E-4</v>
          </cell>
          <cell r="J158">
            <v>9.4709446999999996E-4</v>
          </cell>
          <cell r="K158">
            <v>1.7079094E-3</v>
          </cell>
          <cell r="L158">
            <v>2.1528374E-3</v>
          </cell>
          <cell r="M158">
            <v>3.9719137999999999E-3</v>
          </cell>
          <cell r="N158">
            <v>6.2684940999999999E-3</v>
          </cell>
          <cell r="O158">
            <v>1.6787277999999999E-2</v>
          </cell>
          <cell r="P158">
            <v>2.4004711000000001E-2</v>
          </cell>
          <cell r="Q158">
            <v>4.9622014999999998E-2</v>
          </cell>
          <cell r="R158">
            <v>6.6967876999999995E-2</v>
          </cell>
          <cell r="S158">
            <v>0.11426190999999999</v>
          </cell>
          <cell r="T158">
            <v>0.16728042000000001</v>
          </cell>
          <cell r="U158">
            <v>0.2357051</v>
          </cell>
          <cell r="V158">
            <v>0.33073139000000001</v>
          </cell>
          <cell r="W158">
            <v>0.46075220562080799</v>
          </cell>
        </row>
        <row r="159">
          <cell r="A159" t="str">
            <v>Senegal</v>
          </cell>
          <cell r="B159">
            <v>3.3701546999999998E-2</v>
          </cell>
          <cell r="C159">
            <v>3.0930983E-3</v>
          </cell>
          <cell r="D159">
            <v>1.2407778E-3</v>
          </cell>
          <cell r="E159">
            <v>8.6711961999999998E-4</v>
          </cell>
          <cell r="F159">
            <v>1.3511974999999999E-3</v>
          </cell>
          <cell r="G159">
            <v>1.9678428999999999E-3</v>
          </cell>
          <cell r="H159">
            <v>2.1377251000000001E-3</v>
          </cell>
          <cell r="I159">
            <v>2.4965353999999999E-3</v>
          </cell>
          <cell r="J159">
            <v>2.9943255000000001E-3</v>
          </cell>
          <cell r="K159">
            <v>3.967089E-3</v>
          </cell>
          <cell r="L159">
            <v>5.3099808999999996E-3</v>
          </cell>
          <cell r="M159">
            <v>7.8618781000000006E-3</v>
          </cell>
          <cell r="N159">
            <v>1.1597504999999999E-2</v>
          </cell>
          <cell r="O159">
            <v>1.8480442999999999E-2</v>
          </cell>
          <cell r="P159">
            <v>2.9956621999999999E-2</v>
          </cell>
          <cell r="Q159">
            <v>5.2323379000000003E-2</v>
          </cell>
          <cell r="R159">
            <v>9.1602731000000007E-2</v>
          </cell>
          <cell r="S159">
            <v>0.15743705</v>
          </cell>
          <cell r="T159">
            <v>0.25368640999999997</v>
          </cell>
          <cell r="U159">
            <v>0.38221699999999997</v>
          </cell>
          <cell r="V159">
            <v>0.51628342999999999</v>
          </cell>
          <cell r="W159">
            <v>0.84393733562738005</v>
          </cell>
        </row>
        <row r="160">
          <cell r="A160" t="str">
            <v>Serbia</v>
          </cell>
          <cell r="B160">
            <v>4.9221930999999997E-3</v>
          </cell>
          <cell r="C160">
            <v>1.7090831999999999E-4</v>
          </cell>
          <cell r="D160">
            <v>1.001962E-4</v>
          </cell>
          <cell r="E160">
            <v>1.1701983E-4</v>
          </cell>
          <cell r="F160">
            <v>3.0197189000000002E-4</v>
          </cell>
          <cell r="G160">
            <v>4.1570139E-4</v>
          </cell>
          <cell r="H160">
            <v>5.3445480999999998E-4</v>
          </cell>
          <cell r="I160">
            <v>7.7293010000000005E-4</v>
          </cell>
          <cell r="J160">
            <v>1.08146E-3</v>
          </cell>
          <cell r="K160">
            <v>1.8249662E-3</v>
          </cell>
          <cell r="L160">
            <v>3.2135388E-3</v>
          </cell>
          <cell r="M160">
            <v>5.6877192E-3</v>
          </cell>
          <cell r="N160">
            <v>9.3617712000000006E-3</v>
          </cell>
          <cell r="O160">
            <v>1.4681603999999999E-2</v>
          </cell>
          <cell r="P160">
            <v>2.1968331000000001E-2</v>
          </cell>
          <cell r="Q160">
            <v>3.439673E-2</v>
          </cell>
          <cell r="R160">
            <v>6.1329293999999999E-2</v>
          </cell>
          <cell r="S160">
            <v>0.10924265</v>
          </cell>
          <cell r="T160">
            <v>0.18164354999999999</v>
          </cell>
          <cell r="U160">
            <v>0.30283760999999998</v>
          </cell>
          <cell r="V160">
            <v>0.44857567999999998</v>
          </cell>
          <cell r="W160">
            <v>0.61089433525624504</v>
          </cell>
        </row>
        <row r="161">
          <cell r="A161" t="str">
            <v>Seychelles</v>
          </cell>
          <cell r="B161">
            <v>1.0983855000000001E-2</v>
          </cell>
          <cell r="C161">
            <v>7.4946199000000004E-4</v>
          </cell>
          <cell r="D161">
            <v>3.3198705000000002E-4</v>
          </cell>
          <cell r="E161">
            <v>3.1725337999999998E-4</v>
          </cell>
          <cell r="F161">
            <v>8.1078488999999996E-4</v>
          </cell>
          <cell r="G161">
            <v>1.1831374E-3</v>
          </cell>
          <cell r="H161">
            <v>1.3087878999999999E-3</v>
          </cell>
          <cell r="I161">
            <v>1.5996134000000001E-3</v>
          </cell>
          <cell r="J161">
            <v>2.1708414999999999E-3</v>
          </cell>
          <cell r="K161">
            <v>3.1424388999999999E-3</v>
          </cell>
          <cell r="L161">
            <v>4.7761705999999999E-3</v>
          </cell>
          <cell r="M161">
            <v>7.2788896000000004E-3</v>
          </cell>
          <cell r="N161">
            <v>1.1065886E-2</v>
          </cell>
          <cell r="O161">
            <v>1.6527305999999999E-2</v>
          </cell>
          <cell r="P161">
            <v>2.4555975000000001E-2</v>
          </cell>
          <cell r="Q161">
            <v>3.7669215999999998E-2</v>
          </cell>
          <cell r="R161">
            <v>5.9531967999999998E-2</v>
          </cell>
          <cell r="S161">
            <v>9.5749103000000002E-2</v>
          </cell>
          <cell r="T161">
            <v>0.15336752000000001</v>
          </cell>
          <cell r="U161">
            <v>0.23427697</v>
          </cell>
          <cell r="V161">
            <v>0.34262757999999999</v>
          </cell>
          <cell r="W161">
            <v>0.47382895779141099</v>
          </cell>
        </row>
        <row r="162">
          <cell r="A162" t="str">
            <v>Sierra Leone</v>
          </cell>
          <cell r="B162">
            <v>8.5754638999999994E-2</v>
          </cell>
          <cell r="C162">
            <v>8.2215147999999995E-3</v>
          </cell>
          <cell r="D162">
            <v>3.5928784E-3</v>
          </cell>
          <cell r="E162">
            <v>2.6331943999999999E-3</v>
          </cell>
          <cell r="F162">
            <v>4.3489514000000003E-3</v>
          </cell>
          <cell r="G162">
            <v>6.0803122000000001E-3</v>
          </cell>
          <cell r="H162">
            <v>6.6875366000000002E-3</v>
          </cell>
          <cell r="I162">
            <v>7.3661012E-3</v>
          </cell>
          <cell r="J162">
            <v>8.5249733000000005E-3</v>
          </cell>
          <cell r="K162">
            <v>1.0129334E-2</v>
          </cell>
          <cell r="L162">
            <v>1.2491432E-2</v>
          </cell>
          <cell r="M162">
            <v>1.6501821E-2</v>
          </cell>
          <cell r="N162">
            <v>2.2236571E-2</v>
          </cell>
          <cell r="O162">
            <v>3.2018854999999999E-2</v>
          </cell>
          <cell r="P162">
            <v>4.6838433999999998E-2</v>
          </cell>
          <cell r="Q162">
            <v>7.1225826000000006E-2</v>
          </cell>
          <cell r="R162">
            <v>0.10785986</v>
          </cell>
          <cell r="S162">
            <v>0.16141699000000001</v>
          </cell>
          <cell r="T162">
            <v>0.23598997999999999</v>
          </cell>
          <cell r="U162">
            <v>0.32729246000000001</v>
          </cell>
          <cell r="V162">
            <v>0.44617088999999999</v>
          </cell>
          <cell r="W162">
            <v>0.57380803860305096</v>
          </cell>
        </row>
        <row r="163">
          <cell r="A163" t="str">
            <v>Singapore</v>
          </cell>
          <cell r="B163">
            <v>1.6287012E-3</v>
          </cell>
          <cell r="C163">
            <v>9.6266465000000002E-5</v>
          </cell>
          <cell r="D163">
            <v>5.0164112999999999E-5</v>
          </cell>
          <cell r="E163">
            <v>8.4780918999999999E-5</v>
          </cell>
          <cell r="F163">
            <v>1.7056022000000001E-4</v>
          </cell>
          <cell r="G163">
            <v>2.4347765999999999E-4</v>
          </cell>
          <cell r="H163">
            <v>2.4186183E-4</v>
          </cell>
          <cell r="I163">
            <v>3.3466261E-4</v>
          </cell>
          <cell r="J163">
            <v>4.7361772000000001E-4</v>
          </cell>
          <cell r="K163">
            <v>8.1786450000000002E-4</v>
          </cell>
          <cell r="L163">
            <v>1.3931085000000001E-3</v>
          </cell>
          <cell r="M163">
            <v>2.3650362000000001E-3</v>
          </cell>
          <cell r="N163">
            <v>4.0252837E-3</v>
          </cell>
          <cell r="O163">
            <v>6.3489942999999998E-3</v>
          </cell>
          <cell r="P163">
            <v>1.0301708E-2</v>
          </cell>
          <cell r="Q163">
            <v>1.7772102000000001E-2</v>
          </cell>
          <cell r="R163">
            <v>3.0992674000000001E-2</v>
          </cell>
          <cell r="S163">
            <v>5.1998493999999999E-2</v>
          </cell>
          <cell r="T163">
            <v>8.8777318999999993E-2</v>
          </cell>
          <cell r="U163">
            <v>0.14882137000000001</v>
          </cell>
          <cell r="V163">
            <v>0.24117959999999999</v>
          </cell>
          <cell r="W163">
            <v>0.37845102870180197</v>
          </cell>
        </row>
        <row r="164">
          <cell r="A164" t="str">
            <v>Slovakia</v>
          </cell>
          <cell r="B164">
            <v>4.7810960999999999E-3</v>
          </cell>
          <cell r="C164">
            <v>2.3301611999999999E-4</v>
          </cell>
          <cell r="D164">
            <v>1.1320912E-4</v>
          </cell>
          <cell r="E164">
            <v>1.2963436E-4</v>
          </cell>
          <cell r="F164">
            <v>3.468419E-4</v>
          </cell>
          <cell r="G164">
            <v>4.9431408000000004E-4</v>
          </cell>
          <cell r="H164">
            <v>5.5980380000000005E-4</v>
          </cell>
          <cell r="I164">
            <v>7.2783338E-4</v>
          </cell>
          <cell r="J164">
            <v>1.0861054999999999E-3</v>
          </cell>
          <cell r="K164">
            <v>1.8135708999999999E-3</v>
          </cell>
          <cell r="L164">
            <v>3.1116971000000001E-3</v>
          </cell>
          <cell r="M164">
            <v>5.422362E-3</v>
          </cell>
          <cell r="N164">
            <v>8.4119841000000004E-3</v>
          </cell>
          <cell r="O164">
            <v>1.3451371E-2</v>
          </cell>
          <cell r="P164">
            <v>1.8940954999999999E-2</v>
          </cell>
          <cell r="Q164">
            <v>2.8285491999999999E-2</v>
          </cell>
          <cell r="R164">
            <v>4.5669538000000003E-2</v>
          </cell>
          <cell r="S164">
            <v>8.2348149999999995E-2</v>
          </cell>
          <cell r="T164">
            <v>0.14435397</v>
          </cell>
          <cell r="U164">
            <v>0.25274701999999999</v>
          </cell>
          <cell r="V164">
            <v>0.39711840999999998</v>
          </cell>
          <cell r="W164">
            <v>0.53873023223690597</v>
          </cell>
        </row>
        <row r="165">
          <cell r="A165" t="str">
            <v>Slovenia</v>
          </cell>
          <cell r="B165">
            <v>1.8700863000000001E-3</v>
          </cell>
          <cell r="C165">
            <v>8.4054300999999995E-5</v>
          </cell>
          <cell r="D165">
            <v>5.8374130000000003E-5</v>
          </cell>
          <cell r="E165">
            <v>9.5429529999999994E-5</v>
          </cell>
          <cell r="F165">
            <v>2.6062958999999999E-4</v>
          </cell>
          <cell r="G165">
            <v>4.2652614999999999E-4</v>
          </cell>
          <cell r="H165">
            <v>4.2649414000000001E-4</v>
          </cell>
          <cell r="I165">
            <v>5.2553506000000002E-4</v>
          </cell>
          <cell r="J165">
            <v>6.4192942000000002E-4</v>
          </cell>
          <cell r="K165">
            <v>9.7403694999999995E-4</v>
          </cell>
          <cell r="L165">
            <v>1.7875339000000001E-3</v>
          </cell>
          <cell r="M165">
            <v>3.3697901000000001E-3</v>
          </cell>
          <cell r="N165">
            <v>5.6447659000000002E-3</v>
          </cell>
          <cell r="O165">
            <v>9.1496052000000008E-3</v>
          </cell>
          <cell r="P165">
            <v>1.322489E-2</v>
          </cell>
          <cell r="Q165">
            <v>2.0150971E-2</v>
          </cell>
          <cell r="R165">
            <v>3.2707060000000003E-2</v>
          </cell>
          <cell r="S165">
            <v>6.2118070999999997E-2</v>
          </cell>
          <cell r="T165">
            <v>0.11493216000000001</v>
          </cell>
          <cell r="U165">
            <v>0.20436292</v>
          </cell>
          <cell r="V165">
            <v>0.33505691999999998</v>
          </cell>
          <cell r="W165">
            <v>0.49468473618092001</v>
          </cell>
        </row>
        <row r="166">
          <cell r="A166" t="str">
            <v>Solomon Islands</v>
          </cell>
          <cell r="B166">
            <v>1.5676563000000001E-2</v>
          </cell>
          <cell r="C166">
            <v>1.1885070000000001E-3</v>
          </cell>
          <cell r="D166">
            <v>4.3504211000000001E-4</v>
          </cell>
          <cell r="E166">
            <v>4.0059477000000001E-4</v>
          </cell>
          <cell r="F166">
            <v>8.8013375E-4</v>
          </cell>
          <cell r="G166">
            <v>1.1545195000000001E-3</v>
          </cell>
          <cell r="H166">
            <v>1.2182426E-3</v>
          </cell>
          <cell r="I166">
            <v>1.4485531E-3</v>
          </cell>
          <cell r="J166">
            <v>1.9529415000000001E-3</v>
          </cell>
          <cell r="K166">
            <v>2.8183841000000002E-3</v>
          </cell>
          <cell r="L166">
            <v>4.3580193999999996E-3</v>
          </cell>
          <cell r="M166">
            <v>6.8130214E-3</v>
          </cell>
          <cell r="N166">
            <v>1.0731584000000001E-2</v>
          </cell>
          <cell r="O166">
            <v>1.6194627999999999E-2</v>
          </cell>
          <cell r="P166">
            <v>2.4325448999999999E-2</v>
          </cell>
          <cell r="Q166">
            <v>3.8457981000000002E-2</v>
          </cell>
          <cell r="R166">
            <v>6.4409590000000003E-2</v>
          </cell>
          <cell r="S166">
            <v>0.10541418</v>
          </cell>
          <cell r="T166">
            <v>0.16893850999999999</v>
          </cell>
          <cell r="U166">
            <v>0.25410733000000002</v>
          </cell>
          <cell r="V166">
            <v>0.36252000000000001</v>
          </cell>
          <cell r="W166">
            <v>0.49190680491084299</v>
          </cell>
        </row>
        <row r="167">
          <cell r="A167" t="str">
            <v>Somalia</v>
          </cell>
          <cell r="B167">
            <v>7.3125238999999995E-2</v>
          </cell>
          <cell r="C167">
            <v>1.2694178E-2</v>
          </cell>
          <cell r="D167">
            <v>4.0955938999999997E-3</v>
          </cell>
          <cell r="E167">
            <v>2.9352803999999999E-3</v>
          </cell>
          <cell r="F167">
            <v>3.1212481000000001E-3</v>
          </cell>
          <cell r="G167">
            <v>4.1151557000000004E-3</v>
          </cell>
          <cell r="H167">
            <v>4.9872513000000004E-3</v>
          </cell>
          <cell r="I167">
            <v>5.8857952999999998E-3</v>
          </cell>
          <cell r="J167">
            <v>7.2656203999999997E-3</v>
          </cell>
          <cell r="K167">
            <v>8.2658595000000001E-3</v>
          </cell>
          <cell r="L167">
            <v>9.5494933999999993E-3</v>
          </cell>
          <cell r="M167">
            <v>1.1925677000000001E-2</v>
          </cell>
          <cell r="N167">
            <v>1.6128118E-2</v>
          </cell>
          <cell r="O167">
            <v>2.3677421000000001E-2</v>
          </cell>
          <cell r="P167">
            <v>3.6483201999999999E-2</v>
          </cell>
          <cell r="Q167">
            <v>5.7470052000000001E-2</v>
          </cell>
          <cell r="R167">
            <v>9.0395739000000003E-2</v>
          </cell>
          <cell r="S167">
            <v>0.13973501999999999</v>
          </cell>
          <cell r="T167">
            <v>0.20860641999999999</v>
          </cell>
          <cell r="U167">
            <v>0.29863645999999999</v>
          </cell>
          <cell r="V167">
            <v>0.40705142999999999</v>
          </cell>
          <cell r="W167">
            <v>0.51264781623052202</v>
          </cell>
        </row>
        <row r="168">
          <cell r="A168" t="str">
            <v>South Africa</v>
          </cell>
          <cell r="B168">
            <v>2.7909070000000001E-2</v>
          </cell>
          <cell r="C168">
            <v>2.1218449000000002E-3</v>
          </cell>
          <cell r="D168">
            <v>9.0383431999999997E-4</v>
          </cell>
          <cell r="E168">
            <v>7.5496861000000001E-4</v>
          </cell>
          <cell r="F168">
            <v>1.2856090000000001E-3</v>
          </cell>
          <cell r="G168">
            <v>2.298259E-3</v>
          </cell>
          <cell r="H168">
            <v>3.8612385000000001E-3</v>
          </cell>
          <cell r="I168">
            <v>5.6595014000000001E-3</v>
          </cell>
          <cell r="J168">
            <v>8.2823536000000003E-3</v>
          </cell>
          <cell r="K168">
            <v>1.0016407999999999E-2</v>
          </cell>
          <cell r="L168">
            <v>1.2063865E-2</v>
          </cell>
          <cell r="M168">
            <v>1.4736122000000001E-2</v>
          </cell>
          <cell r="N168">
            <v>1.8084685E-2</v>
          </cell>
          <cell r="O168">
            <v>2.4283699999999998E-2</v>
          </cell>
          <cell r="P168">
            <v>3.4975309000000003E-2</v>
          </cell>
          <cell r="Q168">
            <v>5.3042563000000001E-2</v>
          </cell>
          <cell r="R168">
            <v>8.2962307999999998E-2</v>
          </cell>
          <cell r="S168">
            <v>0.13974455999999999</v>
          </cell>
          <cell r="T168">
            <v>0.23894778999999999</v>
          </cell>
          <cell r="U168">
            <v>0.39206336000000003</v>
          </cell>
          <cell r="V168">
            <v>0.55045809999999995</v>
          </cell>
          <cell r="W168">
            <v>0.71037610863071499</v>
          </cell>
        </row>
        <row r="169">
          <cell r="A169" t="str">
            <v>South Sudan</v>
          </cell>
          <cell r="B169">
            <v>6.7728423999999995E-2</v>
          </cell>
          <cell r="C169">
            <v>9.3465102999999994E-3</v>
          </cell>
          <cell r="D169">
            <v>3.8002976E-3</v>
          </cell>
          <cell r="E169">
            <v>2.3006838999999999E-3</v>
          </cell>
          <cell r="F169">
            <v>2.9704152000000002E-3</v>
          </cell>
          <cell r="G169">
            <v>4.1192366999999999E-3</v>
          </cell>
          <cell r="H169">
            <v>5.5669517999999999E-3</v>
          </cell>
          <cell r="I169">
            <v>7.1044489000000001E-3</v>
          </cell>
          <cell r="J169">
            <v>9.1361527000000005E-3</v>
          </cell>
          <cell r="K169">
            <v>1.0016008E-2</v>
          </cell>
          <cell r="L169">
            <v>1.1137097E-2</v>
          </cell>
          <cell r="M169">
            <v>1.3203001000000001E-2</v>
          </cell>
          <cell r="N169">
            <v>1.6425408999999998E-2</v>
          </cell>
          <cell r="O169">
            <v>2.3767119E-2</v>
          </cell>
          <cell r="P169">
            <v>3.4531913999999997E-2</v>
          </cell>
          <cell r="Q169">
            <v>5.4631733000000002E-2</v>
          </cell>
          <cell r="R169">
            <v>8.6265019999999998E-2</v>
          </cell>
          <cell r="S169">
            <v>0.13691693999999999</v>
          </cell>
          <cell r="T169">
            <v>0.20671392</v>
          </cell>
          <cell r="U169">
            <v>0.29585280000000003</v>
          </cell>
          <cell r="V169">
            <v>0.39914906</v>
          </cell>
          <cell r="W169">
            <v>0.544192632001814</v>
          </cell>
        </row>
        <row r="170">
          <cell r="A170" t="str">
            <v>Spain</v>
          </cell>
          <cell r="B170">
            <v>2.3541669999999999E-3</v>
          </cell>
          <cell r="C170">
            <v>1.2515546000000001E-4</v>
          </cell>
          <cell r="D170">
            <v>7.0322032000000003E-5</v>
          </cell>
          <cell r="E170">
            <v>8.0313309E-5</v>
          </cell>
          <cell r="F170">
            <v>1.5620785E-4</v>
          </cell>
          <cell r="G170">
            <v>2.3224319999999999E-4</v>
          </cell>
          <cell r="H170">
            <v>2.6123793000000002E-4</v>
          </cell>
          <cell r="I170">
            <v>3.4509708E-4</v>
          </cell>
          <cell r="J170">
            <v>5.2584034999999998E-4</v>
          </cell>
          <cell r="K170">
            <v>9.5501137999999997E-4</v>
          </cell>
          <cell r="L170">
            <v>1.7393104999999999E-3</v>
          </cell>
          <cell r="M170">
            <v>2.8552792000000001E-3</v>
          </cell>
          <cell r="N170">
            <v>4.3428831999999997E-3</v>
          </cell>
          <cell r="O170">
            <v>6.3267039000000002E-3</v>
          </cell>
          <cell r="P170">
            <v>9.286318E-3</v>
          </cell>
          <cell r="Q170">
            <v>1.4799305E-2</v>
          </cell>
          <cell r="R170">
            <v>2.6100290000000002E-2</v>
          </cell>
          <cell r="S170">
            <v>4.9685239999999999E-2</v>
          </cell>
          <cell r="T170">
            <v>9.5264937999999993E-2</v>
          </cell>
          <cell r="U170">
            <v>0.17307997</v>
          </cell>
          <cell r="V170">
            <v>0.29031034</v>
          </cell>
          <cell r="W170">
            <v>0.45217210592782697</v>
          </cell>
        </row>
        <row r="171">
          <cell r="A171" t="str">
            <v>Sri Lanka</v>
          </cell>
          <cell r="B171">
            <v>7.6270091000000002E-3</v>
          </cell>
          <cell r="C171">
            <v>2.5716748000000002E-4</v>
          </cell>
          <cell r="D171">
            <v>2.9727486999999998E-4</v>
          </cell>
          <cell r="E171">
            <v>2.9060316000000002E-4</v>
          </cell>
          <cell r="F171">
            <v>5.5561759999999999E-4</v>
          </cell>
          <cell r="G171">
            <v>7.9042489999999995E-4</v>
          </cell>
          <cell r="H171">
            <v>8.6472074999999996E-4</v>
          </cell>
          <cell r="I171">
            <v>9.899798899999999E-4</v>
          </cell>
          <cell r="J171">
            <v>1.4254521E-3</v>
          </cell>
          <cell r="K171">
            <v>2.0901359000000002E-3</v>
          </cell>
          <cell r="L171">
            <v>3.2315922000000002E-3</v>
          </cell>
          <cell r="M171">
            <v>4.9696093000000004E-3</v>
          </cell>
          <cell r="N171">
            <v>7.092793E-3</v>
          </cell>
          <cell r="O171">
            <v>1.0232006E-2</v>
          </cell>
          <cell r="P171">
            <v>1.8234389E-2</v>
          </cell>
          <cell r="Q171">
            <v>3.3990567999999999E-2</v>
          </cell>
          <cell r="R171">
            <v>4.8132476E-2</v>
          </cell>
          <cell r="S171">
            <v>8.4353692999999993E-2</v>
          </cell>
          <cell r="T171">
            <v>0.14723432</v>
          </cell>
          <cell r="U171">
            <v>0.24261126</v>
          </cell>
          <cell r="V171">
            <v>0.36747946999999997</v>
          </cell>
          <cell r="W171">
            <v>0.51173343355120904</v>
          </cell>
        </row>
        <row r="172">
          <cell r="A172" t="str">
            <v>State of Palestine</v>
          </cell>
          <cell r="B172">
            <v>1.7739806E-2</v>
          </cell>
          <cell r="C172">
            <v>7.4208884999999998E-4</v>
          </cell>
          <cell r="D172">
            <v>3.4607582000000003E-4</v>
          </cell>
          <cell r="E172">
            <v>2.900957E-4</v>
          </cell>
          <cell r="F172">
            <v>5.3609087000000002E-4</v>
          </cell>
          <cell r="G172">
            <v>7.4980863E-4</v>
          </cell>
          <cell r="H172">
            <v>8.0842904999999996E-4</v>
          </cell>
          <cell r="I172">
            <v>9.5392271000000004E-4</v>
          </cell>
          <cell r="J172">
            <v>1.2759182999999999E-3</v>
          </cell>
          <cell r="K172">
            <v>1.9332555E-3</v>
          </cell>
          <cell r="L172">
            <v>3.2368478E-3</v>
          </cell>
          <cell r="M172">
            <v>5.2825034999999998E-3</v>
          </cell>
          <cell r="N172">
            <v>8.7739393999999998E-3</v>
          </cell>
          <cell r="O172">
            <v>1.4189469999999999E-2</v>
          </cell>
          <cell r="P172">
            <v>2.3990213999999999E-2</v>
          </cell>
          <cell r="Q172">
            <v>4.0719097000000003E-2</v>
          </cell>
          <cell r="R172">
            <v>6.8170927000000006E-2</v>
          </cell>
          <cell r="S172">
            <v>0.11552165</v>
          </cell>
          <cell r="T172">
            <v>0.18782093999999999</v>
          </cell>
          <cell r="U172">
            <v>0.28344697000000002</v>
          </cell>
          <cell r="V172">
            <v>0.40367681</v>
          </cell>
          <cell r="W172">
            <v>0.55062340756269101</v>
          </cell>
        </row>
        <row r="173">
          <cell r="A173" t="str">
            <v>Sudan</v>
          </cell>
          <cell r="B173">
            <v>4.4451098000000001E-2</v>
          </cell>
          <cell r="C173">
            <v>5.5883655999999999E-3</v>
          </cell>
          <cell r="D173">
            <v>2.1784857999999998E-3</v>
          </cell>
          <cell r="E173">
            <v>1.6332594999999999E-3</v>
          </cell>
          <cell r="F173">
            <v>1.9276326999999999E-3</v>
          </cell>
          <cell r="G173">
            <v>2.5882509000000001E-3</v>
          </cell>
          <cell r="H173">
            <v>3.0767762999999999E-3</v>
          </cell>
          <cell r="I173">
            <v>3.5773043E-3</v>
          </cell>
          <cell r="J173">
            <v>4.5163316000000004E-3</v>
          </cell>
          <cell r="K173">
            <v>5.4830182999999998E-3</v>
          </cell>
          <cell r="L173">
            <v>6.7309789000000002E-3</v>
          </cell>
          <cell r="M173">
            <v>9.0234352000000007E-3</v>
          </cell>
          <cell r="N173">
            <v>1.227107E-2</v>
          </cell>
          <cell r="O173">
            <v>1.8292995999999999E-2</v>
          </cell>
          <cell r="P173">
            <v>2.9307429999999999E-2</v>
          </cell>
          <cell r="Q173">
            <v>4.7429720000000002E-2</v>
          </cell>
          <cell r="R173">
            <v>7.5738363000000003E-2</v>
          </cell>
          <cell r="S173">
            <v>0.12056936</v>
          </cell>
          <cell r="T173">
            <v>0.18189026</v>
          </cell>
          <cell r="U173">
            <v>0.26016973999999998</v>
          </cell>
          <cell r="V173">
            <v>0.34929746</v>
          </cell>
          <cell r="W173">
            <v>0.47029742549783299</v>
          </cell>
        </row>
        <row r="174">
          <cell r="A174" t="str">
            <v>Suriname</v>
          </cell>
          <cell r="B174">
            <v>1.7777304000000001E-2</v>
          </cell>
          <cell r="C174">
            <v>5.2781243000000002E-4</v>
          </cell>
          <cell r="D174">
            <v>5.5168294999999995E-4</v>
          </cell>
          <cell r="E174">
            <v>3.1566464E-4</v>
          </cell>
          <cell r="F174">
            <v>5.7592972999999999E-4</v>
          </cell>
          <cell r="G174">
            <v>1.1778171999999999E-3</v>
          </cell>
          <cell r="H174">
            <v>1.9046491E-3</v>
          </cell>
          <cell r="I174">
            <v>2.5845357E-3</v>
          </cell>
          <cell r="J174">
            <v>3.2410093000000001E-3</v>
          </cell>
          <cell r="K174">
            <v>3.9719279E-3</v>
          </cell>
          <cell r="L174">
            <v>5.1181836999999999E-3</v>
          </cell>
          <cell r="M174">
            <v>7.4558296E-3</v>
          </cell>
          <cell r="N174">
            <v>1.1667092E-2</v>
          </cell>
          <cell r="O174">
            <v>1.8290562999999999E-2</v>
          </cell>
          <cell r="P174">
            <v>2.8251730999999999E-2</v>
          </cell>
          <cell r="Q174">
            <v>4.3296299000000003E-2</v>
          </cell>
          <cell r="R174">
            <v>6.6042428E-2</v>
          </cell>
          <cell r="S174">
            <v>0.10010595</v>
          </cell>
          <cell r="T174">
            <v>0.14854708999999999</v>
          </cell>
          <cell r="U174">
            <v>0.21396841</v>
          </cell>
          <cell r="V174">
            <v>0.29570102999999998</v>
          </cell>
          <cell r="W174">
            <v>0.40853488197468102</v>
          </cell>
        </row>
        <row r="175">
          <cell r="A175" t="str">
            <v>Sweden</v>
          </cell>
          <cell r="B175">
            <v>2.0457243000000002E-3</v>
          </cell>
          <cell r="C175">
            <v>1.0603808E-4</v>
          </cell>
          <cell r="D175">
            <v>6.2529907000000005E-5</v>
          </cell>
          <cell r="E175">
            <v>7.9718396999999997E-5</v>
          </cell>
          <cell r="F175">
            <v>2.3184392000000001E-4</v>
          </cell>
          <cell r="G175">
            <v>4.1292234000000003E-4</v>
          </cell>
          <cell r="H175">
            <v>4.6816784999999998E-4</v>
          </cell>
          <cell r="I175">
            <v>4.9426308E-4</v>
          </cell>
          <cell r="J175">
            <v>5.6376639000000001E-4</v>
          </cell>
          <cell r="K175">
            <v>8.1455424999999997E-4</v>
          </cell>
          <cell r="L175">
            <v>1.3926548E-3</v>
          </cell>
          <cell r="M175">
            <v>2.3918261000000001E-3</v>
          </cell>
          <cell r="N175">
            <v>3.9090180000000002E-3</v>
          </cell>
          <cell r="O175">
            <v>6.4499496000000002E-3</v>
          </cell>
          <cell r="P175">
            <v>1.0447494E-2</v>
          </cell>
          <cell r="Q175">
            <v>1.6880394999999999E-2</v>
          </cell>
          <cell r="R175">
            <v>2.9943351999999999E-2</v>
          </cell>
          <cell r="S175">
            <v>5.6415621999999999E-2</v>
          </cell>
          <cell r="T175">
            <v>0.10818255</v>
          </cell>
          <cell r="U175">
            <v>0.19665434000000001</v>
          </cell>
          <cell r="V175">
            <v>0.32931301000000002</v>
          </cell>
          <cell r="W175">
            <v>0.49200540418736</v>
          </cell>
        </row>
        <row r="176">
          <cell r="A176" t="str">
            <v>Switzerland</v>
          </cell>
          <cell r="B176">
            <v>3.3793630999999998E-3</v>
          </cell>
          <cell r="C176">
            <v>1.0512969E-4</v>
          </cell>
          <cell r="D176">
            <v>6.0000000000000002E-5</v>
          </cell>
          <cell r="E176">
            <v>7.5128088000000004E-5</v>
          </cell>
          <cell r="F176">
            <v>2.0691667E-4</v>
          </cell>
          <cell r="G176">
            <v>2.7192749999999999E-4</v>
          </cell>
          <cell r="H176">
            <v>3.1134198999999997E-4</v>
          </cell>
          <cell r="I176">
            <v>3.6571523000000002E-4</v>
          </cell>
          <cell r="J176">
            <v>5.0067131000000001E-4</v>
          </cell>
          <cell r="K176">
            <v>8.2123918999999997E-4</v>
          </cell>
          <cell r="L176">
            <v>1.3375173E-3</v>
          </cell>
          <cell r="M176">
            <v>2.2604043999999998E-3</v>
          </cell>
          <cell r="N176">
            <v>3.7196426999999998E-3</v>
          </cell>
          <cell r="O176">
            <v>5.8281404E-3</v>
          </cell>
          <cell r="P176">
            <v>9.1578948999999996E-3</v>
          </cell>
          <cell r="Q176">
            <v>1.4229732E-2</v>
          </cell>
          <cell r="R176">
            <v>2.4822652000000001E-2</v>
          </cell>
          <cell r="S176">
            <v>4.8955385999999997E-2</v>
          </cell>
          <cell r="T176">
            <v>9.8751319000000004E-2</v>
          </cell>
          <cell r="U176">
            <v>0.18707070000000001</v>
          </cell>
          <cell r="V176">
            <v>0.32159902000000001</v>
          </cell>
          <cell r="W176">
            <v>0.50197912800904498</v>
          </cell>
        </row>
        <row r="177">
          <cell r="A177" t="str">
            <v>Syrian Arab Republic</v>
          </cell>
          <cell r="B177">
            <v>1.5766444000000001E-2</v>
          </cell>
          <cell r="C177">
            <v>5.6704656000000002E-4</v>
          </cell>
          <cell r="D177">
            <v>3.5489574000000001E-4</v>
          </cell>
          <cell r="E177">
            <v>3.1630391999999999E-4</v>
          </cell>
          <cell r="F177">
            <v>2.1570409000000001E-3</v>
          </cell>
          <cell r="G177">
            <v>3.1574026999999999E-3</v>
          </cell>
          <cell r="H177">
            <v>4.7024954999999998E-3</v>
          </cell>
          <cell r="I177">
            <v>4.0357984999999999E-3</v>
          </cell>
          <cell r="J177">
            <v>2.7400561999999999E-3</v>
          </cell>
          <cell r="K177">
            <v>2.7402773999999999E-3</v>
          </cell>
          <cell r="L177">
            <v>4.1048001000000001E-3</v>
          </cell>
          <cell r="M177">
            <v>6.7285174999999996E-3</v>
          </cell>
          <cell r="N177">
            <v>8.2698318000000003E-3</v>
          </cell>
          <cell r="O177">
            <v>1.3416941999999999E-2</v>
          </cell>
          <cell r="P177">
            <v>2.2714427999999998E-2</v>
          </cell>
          <cell r="Q177">
            <v>3.8772622E-2</v>
          </cell>
          <cell r="R177">
            <v>5.9679504000000001E-2</v>
          </cell>
          <cell r="S177">
            <v>0.10429607</v>
          </cell>
          <cell r="T177">
            <v>0.17082674</v>
          </cell>
          <cell r="U177">
            <v>0.26694573999999999</v>
          </cell>
          <cell r="V177">
            <v>0.37423364999999997</v>
          </cell>
          <cell r="W177">
            <v>0.50454392256663505</v>
          </cell>
        </row>
        <row r="178">
          <cell r="A178" t="str">
            <v>Tajikistan</v>
          </cell>
          <cell r="B178">
            <v>3.0038674000000001E-2</v>
          </cell>
          <cell r="C178">
            <v>7.7731125999999998E-4</v>
          </cell>
          <cell r="D178">
            <v>1.9162699E-4</v>
          </cell>
          <cell r="E178">
            <v>2.0042804999999999E-4</v>
          </cell>
          <cell r="F178">
            <v>3.3223292000000002E-4</v>
          </cell>
          <cell r="G178">
            <v>5.1142513000000005E-4</v>
          </cell>
          <cell r="H178">
            <v>8.5731543E-4</v>
          </cell>
          <cell r="I178">
            <v>1.3192203E-3</v>
          </cell>
          <cell r="J178">
            <v>2.0217367999999999E-3</v>
          </cell>
          <cell r="K178">
            <v>2.5677905000000001E-3</v>
          </cell>
          <cell r="L178">
            <v>3.6706819000000002E-3</v>
          </cell>
          <cell r="M178">
            <v>6.0686122999999998E-3</v>
          </cell>
          <cell r="N178">
            <v>1.0921818999999999E-2</v>
          </cell>
          <cell r="O178">
            <v>1.9224537E-2</v>
          </cell>
          <cell r="P178">
            <v>3.0931002999999999E-2</v>
          </cell>
          <cell r="Q178">
            <v>5.3721215000000003E-2</v>
          </cell>
          <cell r="R178">
            <v>9.0489539999999993E-2</v>
          </cell>
          <cell r="S178">
            <v>0.14604988999999999</v>
          </cell>
          <cell r="T178">
            <v>0.2217179</v>
          </cell>
          <cell r="U178">
            <v>0.32571319999999998</v>
          </cell>
          <cell r="V178">
            <v>0.45069177999999999</v>
          </cell>
          <cell r="W178">
            <v>0.58963303657299104</v>
          </cell>
        </row>
        <row r="179">
          <cell r="A179" t="str">
            <v>Thailand</v>
          </cell>
          <cell r="B179">
            <v>7.8106065999999997E-3</v>
          </cell>
          <cell r="C179">
            <v>3.1400014000000003E-4</v>
          </cell>
          <cell r="D179">
            <v>2.6529278000000001E-4</v>
          </cell>
          <cell r="E179">
            <v>4.1306327999999999E-4</v>
          </cell>
          <cell r="F179">
            <v>1.0782654E-3</v>
          </cell>
          <cell r="G179">
            <v>1.033314E-3</v>
          </cell>
          <cell r="H179">
            <v>1.1340281000000001E-3</v>
          </cell>
          <cell r="I179">
            <v>1.6153369999999999E-3</v>
          </cell>
          <cell r="J179">
            <v>2.4587149000000002E-3</v>
          </cell>
          <cell r="K179">
            <v>3.3723054000000001E-3</v>
          </cell>
          <cell r="L179">
            <v>4.408085E-3</v>
          </cell>
          <cell r="M179">
            <v>5.8369557000000002E-3</v>
          </cell>
          <cell r="N179">
            <v>7.8417061999999996E-3</v>
          </cell>
          <cell r="O179">
            <v>1.1456905E-2</v>
          </cell>
          <cell r="P179">
            <v>1.6105812000000001E-2</v>
          </cell>
          <cell r="Q179">
            <v>2.5596432999999998E-2</v>
          </cell>
          <cell r="R179">
            <v>4.2077122000000002E-2</v>
          </cell>
          <cell r="S179">
            <v>6.7761364000000004E-2</v>
          </cell>
          <cell r="T179">
            <v>0.1075188</v>
          </cell>
          <cell r="U179">
            <v>0.16294026</v>
          </cell>
          <cell r="V179">
            <v>0.23373473</v>
          </cell>
          <cell r="W179">
            <v>0.33548900676332399</v>
          </cell>
        </row>
        <row r="180">
          <cell r="A180" t="str">
            <v>Timor-Leste</v>
          </cell>
          <cell r="B180">
            <v>3.8573064999999997E-2</v>
          </cell>
          <cell r="C180">
            <v>2.4567775E-3</v>
          </cell>
          <cell r="D180">
            <v>7.5187216000000001E-4</v>
          </cell>
          <cell r="E180">
            <v>5.8071214999999999E-4</v>
          </cell>
          <cell r="F180">
            <v>1.0019797999999999E-3</v>
          </cell>
          <cell r="G180">
            <v>1.2650265E-3</v>
          </cell>
          <cell r="H180">
            <v>1.2078862000000001E-3</v>
          </cell>
          <cell r="I180">
            <v>1.3437455999999999E-3</v>
          </cell>
          <cell r="J180">
            <v>1.7568312E-3</v>
          </cell>
          <cell r="K180">
            <v>2.5315860000000002E-3</v>
          </cell>
          <cell r="L180">
            <v>4.0458372999999997E-3</v>
          </cell>
          <cell r="M180">
            <v>6.6775638000000003E-3</v>
          </cell>
          <cell r="N180">
            <v>1.1577947E-2</v>
          </cell>
          <cell r="O180">
            <v>1.8896541999999999E-2</v>
          </cell>
          <cell r="P180">
            <v>3.0858143000000001E-2</v>
          </cell>
          <cell r="Q180">
            <v>5.1215610000000002E-2</v>
          </cell>
          <cell r="R180">
            <v>8.4754219000000006E-2</v>
          </cell>
          <cell r="S180">
            <v>0.1351996</v>
          </cell>
          <cell r="T180">
            <v>0.20971617000000001</v>
          </cell>
          <cell r="U180">
            <v>0.30359151000000001</v>
          </cell>
          <cell r="V180">
            <v>0.42129264999999999</v>
          </cell>
          <cell r="W180">
            <v>0.56669829220936097</v>
          </cell>
        </row>
        <row r="181">
          <cell r="A181" t="str">
            <v>Togo</v>
          </cell>
          <cell r="B181">
            <v>5.1780514999999999E-2</v>
          </cell>
          <cell r="C181">
            <v>6.8857930999999999E-3</v>
          </cell>
          <cell r="D181">
            <v>3.118904E-3</v>
          </cell>
          <cell r="E181">
            <v>1.8196249E-3</v>
          </cell>
          <cell r="F181">
            <v>2.78422E-3</v>
          </cell>
          <cell r="G181">
            <v>3.9000497999999999E-3</v>
          </cell>
          <cell r="H181">
            <v>4.1498806000000001E-3</v>
          </cell>
          <cell r="I181">
            <v>4.5451696999999998E-3</v>
          </cell>
          <cell r="J181">
            <v>5.1751534999999998E-3</v>
          </cell>
          <cell r="K181">
            <v>6.3050205000000003E-3</v>
          </cell>
          <cell r="L181">
            <v>7.8256269999999999E-3</v>
          </cell>
          <cell r="M181">
            <v>1.0963911999999999E-2</v>
          </cell>
          <cell r="N181">
            <v>1.5670573E-2</v>
          </cell>
          <cell r="O181">
            <v>2.4767808999999998E-2</v>
          </cell>
          <cell r="P181">
            <v>3.9181994999999997E-2</v>
          </cell>
          <cell r="Q181">
            <v>6.6077716999999994E-2</v>
          </cell>
          <cell r="R181">
            <v>0.11117315</v>
          </cell>
          <cell r="S181">
            <v>0.18372347</v>
          </cell>
          <cell r="T181">
            <v>0.28542781</v>
          </cell>
          <cell r="U181">
            <v>0.41471061999999997</v>
          </cell>
          <cell r="V181">
            <v>0.57905783</v>
          </cell>
          <cell r="W181">
            <v>1.60025537515379</v>
          </cell>
        </row>
        <row r="182">
          <cell r="A182" t="str">
            <v>Tonga</v>
          </cell>
          <cell r="B182">
            <v>1.2661955000000001E-2</v>
          </cell>
          <cell r="C182">
            <v>7.8736967000000004E-4</v>
          </cell>
          <cell r="D182">
            <v>3.9850804E-4</v>
          </cell>
          <cell r="E182">
            <v>3.7846878E-4</v>
          </cell>
          <cell r="F182">
            <v>9.4684244999999998E-4</v>
          </cell>
          <cell r="G182">
            <v>1.3777779E-3</v>
          </cell>
          <cell r="H182">
            <v>1.5084690999999999E-3</v>
          </cell>
          <cell r="I182">
            <v>1.8046478E-3</v>
          </cell>
          <cell r="J182">
            <v>2.4358008E-3</v>
          </cell>
          <cell r="K182">
            <v>3.5094525999999999E-3</v>
          </cell>
          <cell r="L182">
            <v>5.2965757000000002E-3</v>
          </cell>
          <cell r="M182">
            <v>8.0573542000000001E-3</v>
          </cell>
          <cell r="N182">
            <v>1.2005972E-2</v>
          </cell>
          <cell r="O182">
            <v>1.9367005E-2</v>
          </cell>
          <cell r="P182">
            <v>3.1715694000000003E-2</v>
          </cell>
          <cell r="Q182">
            <v>5.1409031000000001E-2</v>
          </cell>
          <cell r="R182">
            <v>8.2907612000000006E-2</v>
          </cell>
          <cell r="S182">
            <v>0.13405068000000001</v>
          </cell>
          <cell r="T182">
            <v>0.21364996</v>
          </cell>
          <cell r="U182">
            <v>0.32364739999999997</v>
          </cell>
          <cell r="V182">
            <v>0.45968676000000003</v>
          </cell>
          <cell r="W182">
            <v>0.61024581983139004</v>
          </cell>
        </row>
        <row r="183">
          <cell r="A183" t="str">
            <v>Trinidad and Tobago</v>
          </cell>
          <cell r="B183">
            <v>2.2422760999999999E-2</v>
          </cell>
          <cell r="C183">
            <v>1.0076786999999999E-3</v>
          </cell>
          <cell r="D183">
            <v>4.7437484999999997E-4</v>
          </cell>
          <cell r="E183">
            <v>4.0728085000000001E-4</v>
          </cell>
          <cell r="F183">
            <v>8.5422959E-4</v>
          </cell>
          <cell r="G183">
            <v>1.1384832999999999E-3</v>
          </cell>
          <cell r="H183">
            <v>1.2087580999999999E-3</v>
          </cell>
          <cell r="I183">
            <v>1.4488840999999999E-3</v>
          </cell>
          <cell r="J183">
            <v>1.9764108999999999E-3</v>
          </cell>
          <cell r="K183">
            <v>2.8892074000000001E-3</v>
          </cell>
          <cell r="L183">
            <v>4.4974782999999997E-3</v>
          </cell>
          <cell r="M183">
            <v>7.0594359000000001E-3</v>
          </cell>
          <cell r="N183">
            <v>1.1120982E-2</v>
          </cell>
          <cell r="O183">
            <v>1.5268308E-2</v>
          </cell>
          <cell r="P183">
            <v>2.0908439000000001E-2</v>
          </cell>
          <cell r="Q183">
            <v>3.1839046000000003E-2</v>
          </cell>
          <cell r="R183">
            <v>5.3989796E-2</v>
          </cell>
          <cell r="S183">
            <v>8.8641632999999997E-2</v>
          </cell>
          <cell r="T183">
            <v>0.14111916999999999</v>
          </cell>
          <cell r="U183">
            <v>0.21149846999999999</v>
          </cell>
          <cell r="V183">
            <v>0.30194914</v>
          </cell>
          <cell r="W183">
            <v>0.41138789151322802</v>
          </cell>
        </row>
        <row r="184">
          <cell r="A184" t="str">
            <v>Tunisia</v>
          </cell>
          <cell r="B184">
            <v>1.2826726E-2</v>
          </cell>
          <cell r="C184">
            <v>1.9637071E-4</v>
          </cell>
          <cell r="D184">
            <v>1.4533880000000001E-4</v>
          </cell>
          <cell r="E184">
            <v>2.4581647000000001E-4</v>
          </cell>
          <cell r="F184">
            <v>3.6978267000000001E-4</v>
          </cell>
          <cell r="G184">
            <v>5.0278987999999997E-4</v>
          </cell>
          <cell r="H184">
            <v>5.7106479000000002E-4</v>
          </cell>
          <cell r="I184">
            <v>6.6980060000000001E-4</v>
          </cell>
          <cell r="J184">
            <v>9.4116413999999996E-4</v>
          </cell>
          <cell r="K184">
            <v>1.5008735E-3</v>
          </cell>
          <cell r="L184">
            <v>2.4719069000000001E-3</v>
          </cell>
          <cell r="M184">
            <v>4.2553664000000001E-3</v>
          </cell>
          <cell r="N184">
            <v>7.1728655999999998E-3</v>
          </cell>
          <cell r="O184">
            <v>1.1706767999999999E-2</v>
          </cell>
          <cell r="P184">
            <v>1.8823829E-2</v>
          </cell>
          <cell r="Q184">
            <v>3.3331056999999997E-2</v>
          </cell>
          <cell r="R184">
            <v>5.8882819000000003E-2</v>
          </cell>
          <cell r="S184">
            <v>0.10050381</v>
          </cell>
          <cell r="T184">
            <v>0.16299215</v>
          </cell>
          <cell r="U184">
            <v>0.24602652</v>
          </cell>
          <cell r="V184">
            <v>0.34366651999999998</v>
          </cell>
          <cell r="W184">
            <v>0.486986716609427</v>
          </cell>
        </row>
        <row r="185">
          <cell r="A185" t="str">
            <v>Turkey</v>
          </cell>
          <cell r="B185">
            <v>8.9758821000000006E-3</v>
          </cell>
          <cell r="C185">
            <v>1.0998576999999999E-3</v>
          </cell>
          <cell r="D185">
            <v>6.8350275000000004E-4</v>
          </cell>
          <cell r="E185">
            <v>5.8378824000000003E-4</v>
          </cell>
          <cell r="F185">
            <v>6.9276107000000001E-4</v>
          </cell>
          <cell r="G185">
            <v>9.6323236000000003E-4</v>
          </cell>
          <cell r="H185">
            <v>1.1777116999999999E-3</v>
          </cell>
          <cell r="I185">
            <v>1.3820001E-3</v>
          </cell>
          <cell r="J185">
            <v>1.6388512E-3</v>
          </cell>
          <cell r="K185">
            <v>2.0133665000000001E-3</v>
          </cell>
          <cell r="L185">
            <v>2.6066143999999999E-3</v>
          </cell>
          <cell r="M185">
            <v>3.5633887E-3</v>
          </cell>
          <cell r="N185">
            <v>5.2989691000000002E-3</v>
          </cell>
          <cell r="O185">
            <v>8.2979382000000004E-3</v>
          </cell>
          <cell r="P185">
            <v>1.3670112E-2</v>
          </cell>
          <cell r="Q185">
            <v>2.5049207E-2</v>
          </cell>
          <cell r="R185">
            <v>4.6487158000000001E-2</v>
          </cell>
          <cell r="S185">
            <v>8.3415056000000001E-2</v>
          </cell>
          <cell r="T185">
            <v>0.14180856999999999</v>
          </cell>
          <cell r="U185">
            <v>0.22865009</v>
          </cell>
          <cell r="V185">
            <v>0.34751042999999998</v>
          </cell>
          <cell r="W185">
            <v>0.47483590502085299</v>
          </cell>
        </row>
        <row r="186">
          <cell r="A186" t="str">
            <v>Turkmenistan</v>
          </cell>
          <cell r="B186">
            <v>4.4921488000000002E-2</v>
          </cell>
          <cell r="C186">
            <v>2.1412040999999999E-3</v>
          </cell>
          <cell r="D186">
            <v>3.8652032999999999E-4</v>
          </cell>
          <cell r="E186">
            <v>3.7888500999999999E-4</v>
          </cell>
          <cell r="F186">
            <v>8.7431423999999997E-4</v>
          </cell>
          <cell r="G186">
            <v>1.1724845000000001E-3</v>
          </cell>
          <cell r="H186">
            <v>1.5136035E-3</v>
          </cell>
          <cell r="I186">
            <v>2.0689542000000001E-3</v>
          </cell>
          <cell r="J186">
            <v>2.9294181000000001E-3</v>
          </cell>
          <cell r="K186">
            <v>4.1454880000000001E-3</v>
          </cell>
          <cell r="L186">
            <v>5.7744653E-3</v>
          </cell>
          <cell r="M186">
            <v>9.1371339000000003E-3</v>
          </cell>
          <cell r="N186">
            <v>1.3560139000000001E-2</v>
          </cell>
          <cell r="O186">
            <v>2.2809203E-2</v>
          </cell>
          <cell r="P186">
            <v>2.9850709999999999E-2</v>
          </cell>
          <cell r="Q186">
            <v>5.7313920999999997E-2</v>
          </cell>
          <cell r="R186">
            <v>6.3375656000000002E-2</v>
          </cell>
          <cell r="S186">
            <v>0.11624036</v>
          </cell>
          <cell r="T186">
            <v>0.17533162999999999</v>
          </cell>
          <cell r="U186">
            <v>0.25575086000000002</v>
          </cell>
          <cell r="V186">
            <v>0.35418404999999997</v>
          </cell>
          <cell r="W186">
            <v>0.46928567493275802</v>
          </cell>
        </row>
        <row r="187">
          <cell r="A187" t="str">
            <v>Uganda</v>
          </cell>
          <cell r="B187">
            <v>4.7964474E-2</v>
          </cell>
          <cell r="C187">
            <v>4.4152514000000004E-3</v>
          </cell>
          <cell r="D187">
            <v>1.4883652E-3</v>
          </cell>
          <cell r="E187">
            <v>1.1156174000000001E-3</v>
          </cell>
          <cell r="F187">
            <v>1.8294050999999999E-3</v>
          </cell>
          <cell r="G187">
            <v>2.8235673E-3</v>
          </cell>
          <cell r="H187">
            <v>3.6733421E-3</v>
          </cell>
          <cell r="I187">
            <v>4.5912204000000002E-3</v>
          </cell>
          <cell r="J187">
            <v>5.8871657000000004E-3</v>
          </cell>
          <cell r="K187">
            <v>7.2906428000000002E-3</v>
          </cell>
          <cell r="L187">
            <v>9.0406501000000004E-3</v>
          </cell>
          <cell r="M187">
            <v>1.2205478000000001E-2</v>
          </cell>
          <cell r="N187">
            <v>1.5867506E-2</v>
          </cell>
          <cell r="O187">
            <v>2.3012912E-2</v>
          </cell>
          <cell r="P187">
            <v>3.5077875000000001E-2</v>
          </cell>
          <cell r="Q187">
            <v>5.5315814999999997E-2</v>
          </cell>
          <cell r="R187">
            <v>8.8928993999999997E-2</v>
          </cell>
          <cell r="S187">
            <v>0.14874492</v>
          </cell>
          <cell r="T187">
            <v>0.24952477000000001</v>
          </cell>
          <cell r="U187">
            <v>0.41351072</v>
          </cell>
          <cell r="V187">
            <v>0.58998212999999999</v>
          </cell>
          <cell r="W187">
            <v>0.77539035088739605</v>
          </cell>
        </row>
        <row r="188">
          <cell r="A188" t="str">
            <v>Ukraine</v>
          </cell>
          <cell r="B188">
            <v>7.2474868999999999E-3</v>
          </cell>
          <cell r="C188">
            <v>3.4634837E-4</v>
          </cell>
          <cell r="D188">
            <v>2.0397771E-4</v>
          </cell>
          <cell r="E188">
            <v>2.5009385000000002E-4</v>
          </cell>
          <cell r="F188">
            <v>4.9477750999999998E-4</v>
          </cell>
          <cell r="G188">
            <v>9.1571304999999998E-4</v>
          </cell>
          <cell r="H188">
            <v>1.4887469999999999E-3</v>
          </cell>
          <cell r="I188">
            <v>2.5526039E-3</v>
          </cell>
          <cell r="J188">
            <v>3.5527089000000002E-3</v>
          </cell>
          <cell r="K188">
            <v>4.5882971000000003E-3</v>
          </cell>
          <cell r="L188">
            <v>6.2734215999999997E-3</v>
          </cell>
          <cell r="M188">
            <v>8.9201692999999992E-3</v>
          </cell>
          <cell r="N188">
            <v>1.3012741E-2</v>
          </cell>
          <cell r="O188">
            <v>1.9219182000000001E-2</v>
          </cell>
          <cell r="P188">
            <v>2.6676328999999999E-2</v>
          </cell>
          <cell r="Q188">
            <v>4.2517319999999997E-2</v>
          </cell>
          <cell r="R188">
            <v>6.8181050000000007E-2</v>
          </cell>
          <cell r="S188">
            <v>0.10845373</v>
          </cell>
          <cell r="T188">
            <v>0.17003718000000001</v>
          </cell>
          <cell r="U188">
            <v>0.26192100000000001</v>
          </cell>
          <cell r="V188">
            <v>0.37891111</v>
          </cell>
          <cell r="W188">
            <v>0.521476188536796</v>
          </cell>
        </row>
        <row r="189">
          <cell r="A189" t="str">
            <v>United Arab Emirates</v>
          </cell>
          <cell r="B189">
            <v>5.5428537000000002E-3</v>
          </cell>
          <cell r="C189">
            <v>2.3038219E-4</v>
          </cell>
          <cell r="D189">
            <v>1.3251965999999999E-4</v>
          </cell>
          <cell r="E189">
            <v>1.2637386E-4</v>
          </cell>
          <cell r="F189">
            <v>7.2338849000000004E-4</v>
          </cell>
          <cell r="G189">
            <v>5.4679288E-4</v>
          </cell>
          <cell r="H189">
            <v>4.6108818E-4</v>
          </cell>
          <cell r="I189">
            <v>4.2117973E-4</v>
          </cell>
          <cell r="J189">
            <v>5.4064429999999995E-4</v>
          </cell>
          <cell r="K189">
            <v>8.2299936999999997E-4</v>
          </cell>
          <cell r="L189">
            <v>1.6220913000000001E-3</v>
          </cell>
          <cell r="M189">
            <v>2.5840185000000002E-3</v>
          </cell>
          <cell r="N189">
            <v>5.3076191E-3</v>
          </cell>
          <cell r="O189">
            <v>1.5079956E-2</v>
          </cell>
          <cell r="P189">
            <v>2.006026E-2</v>
          </cell>
          <cell r="Q189">
            <v>3.2607232E-2</v>
          </cell>
          <cell r="R189">
            <v>5.8246564000000001E-2</v>
          </cell>
          <cell r="S189">
            <v>9.1688647999999998E-2</v>
          </cell>
          <cell r="T189">
            <v>0.13973184999999999</v>
          </cell>
          <cell r="U189">
            <v>0.20060302999999999</v>
          </cell>
          <cell r="V189">
            <v>0.27241254999999998</v>
          </cell>
          <cell r="W189">
            <v>0.37001596359871802</v>
          </cell>
        </row>
        <row r="190">
          <cell r="A190" t="str">
            <v>United Kingdom</v>
          </cell>
          <cell r="B190">
            <v>3.7764856999999998E-3</v>
          </cell>
          <cell r="C190">
            <v>1.5682114E-4</v>
          </cell>
          <cell r="D190">
            <v>7.3674274000000003E-5</v>
          </cell>
          <cell r="E190">
            <v>9.2785584999999994E-5</v>
          </cell>
          <cell r="F190">
            <v>2.3096670999999999E-4</v>
          </cell>
          <cell r="G190">
            <v>3.4924472000000002E-4</v>
          </cell>
          <cell r="H190">
            <v>4.6360759000000002E-4</v>
          </cell>
          <cell r="I190">
            <v>6.3576802999999998E-4</v>
          </cell>
          <cell r="J190">
            <v>9.2345435999999996E-4</v>
          </cell>
          <cell r="K190">
            <v>1.4250867999999999E-3</v>
          </cell>
          <cell r="L190">
            <v>2.1001568E-3</v>
          </cell>
          <cell r="M190">
            <v>3.1147093999999999E-3</v>
          </cell>
          <cell r="N190">
            <v>4.8954601000000004E-3</v>
          </cell>
          <cell r="O190">
            <v>7.8432938999999993E-3</v>
          </cell>
          <cell r="P190">
            <v>1.1933094999999999E-2</v>
          </cell>
          <cell r="Q190">
            <v>1.9944173999999999E-2</v>
          </cell>
          <cell r="R190">
            <v>3.3774179000000001E-2</v>
          </cell>
          <cell r="S190">
            <v>6.0887674000000003E-2</v>
          </cell>
          <cell r="T190">
            <v>0.11030578000000001</v>
          </cell>
          <cell r="U190">
            <v>0.1908388</v>
          </cell>
          <cell r="V190">
            <v>0.30771046000000002</v>
          </cell>
          <cell r="W190">
            <v>0.46626167798998702</v>
          </cell>
        </row>
        <row r="191">
          <cell r="A191" t="str">
            <v>United Republic of Tanzania</v>
          </cell>
          <cell r="B191">
            <v>4.2681573E-2</v>
          </cell>
          <cell r="C191">
            <v>4.0373199999999996E-3</v>
          </cell>
          <cell r="D191">
            <v>1.575459E-3</v>
          </cell>
          <cell r="E191">
            <v>1.1143908000000001E-3</v>
          </cell>
          <cell r="F191">
            <v>1.7847316999999999E-3</v>
          </cell>
          <cell r="G191">
            <v>2.5867886999999998E-3</v>
          </cell>
          <cell r="H191">
            <v>3.0038897999999999E-3</v>
          </cell>
          <cell r="I191">
            <v>3.5275596000000002E-3</v>
          </cell>
          <cell r="J191">
            <v>4.3189216000000001E-3</v>
          </cell>
          <cell r="K191">
            <v>5.4815667999999996E-3</v>
          </cell>
          <cell r="L191">
            <v>6.9322289000000002E-3</v>
          </cell>
          <cell r="M191">
            <v>9.8896899E-3</v>
          </cell>
          <cell r="N191">
            <v>1.338368E-2</v>
          </cell>
          <cell r="O191">
            <v>2.0477373E-2</v>
          </cell>
          <cell r="P191">
            <v>3.2529016000000001E-2</v>
          </cell>
          <cell r="Q191">
            <v>5.2930781000000003E-2</v>
          </cell>
          <cell r="R191">
            <v>8.7369635000000001E-2</v>
          </cell>
          <cell r="S191">
            <v>0.14798264999999999</v>
          </cell>
          <cell r="T191">
            <v>0.24952098</v>
          </cell>
          <cell r="U191">
            <v>0.42195217000000002</v>
          </cell>
          <cell r="V191">
            <v>0.61490036999999997</v>
          </cell>
          <cell r="W191">
            <v>0.82436275522476998</v>
          </cell>
        </row>
        <row r="192">
          <cell r="A192" t="str">
            <v>United States of America</v>
          </cell>
          <cell r="B192">
            <v>5.8473353E-3</v>
          </cell>
          <cell r="C192">
            <v>2.5804592E-4</v>
          </cell>
          <cell r="D192">
            <v>1.2022377E-4</v>
          </cell>
          <cell r="E192">
            <v>1.4802123999999999E-4</v>
          </cell>
          <cell r="F192">
            <v>5.2683232999999996E-4</v>
          </cell>
          <cell r="G192">
            <v>1.0005519E-3</v>
          </cell>
          <cell r="H192">
            <v>1.2344666E-3</v>
          </cell>
          <cell r="I192">
            <v>1.4767516000000001E-3</v>
          </cell>
          <cell r="J192">
            <v>1.761114E-3</v>
          </cell>
          <cell r="K192">
            <v>2.1747714E-3</v>
          </cell>
          <cell r="L192">
            <v>3.1379825999999999E-3</v>
          </cell>
          <cell r="M192">
            <v>4.9548209999999999E-3</v>
          </cell>
          <cell r="N192">
            <v>7.4453710000000001E-3</v>
          </cell>
          <cell r="O192">
            <v>1.0627915999999999E-2</v>
          </cell>
          <cell r="P192">
            <v>1.4746842E-2</v>
          </cell>
          <cell r="Q192">
            <v>2.2460559000000001E-2</v>
          </cell>
          <cell r="R192">
            <v>3.5370648999999997E-2</v>
          </cell>
          <cell r="S192">
            <v>5.8547845000000001E-2</v>
          </cell>
          <cell r="T192">
            <v>9.9350229999999998E-2</v>
          </cell>
          <cell r="U192">
            <v>0.16287773999999999</v>
          </cell>
          <cell r="V192">
            <v>0.26111668999999998</v>
          </cell>
          <cell r="W192">
            <v>0.40033673123137298</v>
          </cell>
        </row>
        <row r="193">
          <cell r="A193" t="str">
            <v>United States Virgin Islands</v>
          </cell>
          <cell r="B193">
            <v>8.1906844999999999E-3</v>
          </cell>
          <cell r="C193">
            <v>3.2095437000000002E-4</v>
          </cell>
          <cell r="D193">
            <v>1.5748132999999999E-4</v>
          </cell>
          <cell r="E193">
            <v>1.3163389999999999E-4</v>
          </cell>
          <cell r="F193">
            <v>2.5066534000000001E-4</v>
          </cell>
          <cell r="G193">
            <v>3.4914978000000001E-4</v>
          </cell>
          <cell r="H193">
            <v>3.6501006000000001E-4</v>
          </cell>
          <cell r="I193">
            <v>4.2476644000000001E-4</v>
          </cell>
          <cell r="J193">
            <v>5.7217605E-4</v>
          </cell>
          <cell r="K193">
            <v>8.8274201000000001E-4</v>
          </cell>
          <cell r="L193">
            <v>1.5398717E-3</v>
          </cell>
          <cell r="M193">
            <v>2.5980021999999999E-3</v>
          </cell>
          <cell r="N193">
            <v>4.5422487000000003E-3</v>
          </cell>
          <cell r="O193">
            <v>7.4818447000000003E-3</v>
          </cell>
          <cell r="P193">
            <v>1.3215864000000001E-2</v>
          </cell>
          <cell r="Q193">
            <v>2.3606246000000001E-2</v>
          </cell>
          <cell r="R193">
            <v>4.1220068999999998E-2</v>
          </cell>
          <cell r="S193">
            <v>7.2304897000000007E-2</v>
          </cell>
          <cell r="T193">
            <v>0.12234444999999999</v>
          </cell>
          <cell r="U193">
            <v>0.19113419000000001</v>
          </cell>
          <cell r="V193">
            <v>0.28101520000000002</v>
          </cell>
          <cell r="W193">
            <v>0.42083014975325</v>
          </cell>
        </row>
        <row r="194">
          <cell r="A194" t="str">
            <v>Uruguay</v>
          </cell>
          <cell r="B194">
            <v>8.7716728999999993E-3</v>
          </cell>
          <cell r="C194">
            <v>4.1619661000000003E-4</v>
          </cell>
          <cell r="D194">
            <v>2.0511039999999999E-4</v>
          </cell>
          <cell r="E194">
            <v>2.3066524999999999E-4</v>
          </cell>
          <cell r="F194">
            <v>6.0393458000000005E-4</v>
          </cell>
          <cell r="G194">
            <v>8.3242649000000004E-4</v>
          </cell>
          <cell r="H194">
            <v>9.9058468999999993E-4</v>
          </cell>
          <cell r="I194">
            <v>1.1377201999999999E-3</v>
          </cell>
          <cell r="J194">
            <v>1.4291614999999999E-3</v>
          </cell>
          <cell r="K194">
            <v>2.2225538000000002E-3</v>
          </cell>
          <cell r="L194">
            <v>3.2744535999999999E-3</v>
          </cell>
          <cell r="M194">
            <v>4.8694804E-3</v>
          </cell>
          <cell r="N194">
            <v>7.6171991000000003E-3</v>
          </cell>
          <cell r="O194">
            <v>1.2025032E-2</v>
          </cell>
          <cell r="P194">
            <v>1.8833107000000002E-2</v>
          </cell>
          <cell r="Q194">
            <v>2.8683631000000001E-2</v>
          </cell>
          <cell r="R194">
            <v>4.3755345000000001E-2</v>
          </cell>
          <cell r="S194">
            <v>6.6130916999999997E-2</v>
          </cell>
          <cell r="T194">
            <v>9.7759797999999995E-2</v>
          </cell>
          <cell r="U194">
            <v>0.14280829</v>
          </cell>
          <cell r="V194">
            <v>0.20500702000000001</v>
          </cell>
          <cell r="W194">
            <v>0.31089530417203798</v>
          </cell>
        </row>
        <row r="195">
          <cell r="A195" t="str">
            <v>Uzbekistan</v>
          </cell>
          <cell r="B195">
            <v>2.1230355999999999E-2</v>
          </cell>
          <cell r="C195">
            <v>1.225877E-3</v>
          </cell>
          <cell r="D195">
            <v>2.8780549000000002E-4</v>
          </cell>
          <cell r="E195">
            <v>3.0668539999999998E-4</v>
          </cell>
          <cell r="F195">
            <v>5.0506537999999996E-4</v>
          </cell>
          <cell r="G195">
            <v>7.2571156999999998E-4</v>
          </cell>
          <cell r="H195">
            <v>9.7574669000000005E-4</v>
          </cell>
          <cell r="I195">
            <v>1.3240076999999999E-3</v>
          </cell>
          <cell r="J195">
            <v>1.8484399E-3</v>
          </cell>
          <cell r="K195">
            <v>2.5851782000000001E-3</v>
          </cell>
          <cell r="L195">
            <v>3.9321835999999999E-3</v>
          </cell>
          <cell r="M195">
            <v>6.3526088000000003E-3</v>
          </cell>
          <cell r="N195">
            <v>1.0857489999999999E-2</v>
          </cell>
          <cell r="O195">
            <v>1.8961295999999999E-2</v>
          </cell>
          <cell r="P195">
            <v>3.0691217999999999E-2</v>
          </cell>
          <cell r="Q195">
            <v>4.9566286000000001E-2</v>
          </cell>
          <cell r="R195">
            <v>8.0209772999999998E-2</v>
          </cell>
          <cell r="S195">
            <v>0.12648421000000001</v>
          </cell>
          <cell r="T195">
            <v>0.19134798</v>
          </cell>
          <cell r="U195">
            <v>0.2794681</v>
          </cell>
          <cell r="V195">
            <v>0.38955024999999999</v>
          </cell>
          <cell r="W195">
            <v>0.50008726522778202</v>
          </cell>
        </row>
        <row r="196">
          <cell r="A196" t="str">
            <v>Vanuatu</v>
          </cell>
          <cell r="B196">
            <v>2.2818972E-2</v>
          </cell>
          <cell r="C196">
            <v>1.0958938E-3</v>
          </cell>
          <cell r="D196">
            <v>4.275905E-4</v>
          </cell>
          <cell r="E196">
            <v>3.6348221999999998E-4</v>
          </cell>
          <cell r="F196">
            <v>7.3143977999999999E-4</v>
          </cell>
          <cell r="G196">
            <v>9.0623007999999995E-4</v>
          </cell>
          <cell r="H196">
            <v>9.3196005999999999E-4</v>
          </cell>
          <cell r="I196">
            <v>1.1303239E-3</v>
          </cell>
          <cell r="J196">
            <v>1.5775431999999999E-3</v>
          </cell>
          <cell r="K196">
            <v>2.3640515E-3</v>
          </cell>
          <cell r="L196">
            <v>3.8020951000000002E-3</v>
          </cell>
          <cell r="M196">
            <v>6.1542556999999998E-3</v>
          </cell>
          <cell r="N196">
            <v>1.0011404999999999E-2</v>
          </cell>
          <cell r="O196">
            <v>1.9041493E-2</v>
          </cell>
          <cell r="P196">
            <v>3.6110462000000003E-2</v>
          </cell>
          <cell r="Q196">
            <v>6.3378347000000002E-2</v>
          </cell>
          <cell r="R196">
            <v>0.10518805000000001</v>
          </cell>
          <cell r="S196">
            <v>0.16984272</v>
          </cell>
          <cell r="T196">
            <v>0.26882140999999998</v>
          </cell>
          <cell r="U196">
            <v>0.39911385999999999</v>
          </cell>
          <cell r="V196">
            <v>0.56274024</v>
          </cell>
          <cell r="W196">
            <v>0.75072206324848401</v>
          </cell>
        </row>
        <row r="197">
          <cell r="A197" t="str">
            <v>Venezuela (Bolivarian Republic of)</v>
          </cell>
          <cell r="B197">
            <v>2.6294669999999999E-2</v>
          </cell>
          <cell r="C197">
            <v>1.3265407E-3</v>
          </cell>
          <cell r="D197">
            <v>2.4088156000000001E-4</v>
          </cell>
          <cell r="E197">
            <v>3.4739594E-4</v>
          </cell>
          <cell r="F197">
            <v>1.4227375E-3</v>
          </cell>
          <cell r="G197">
            <v>2.2151191999999998E-3</v>
          </cell>
          <cell r="H197">
            <v>2.1772561999999999E-3</v>
          </cell>
          <cell r="I197">
            <v>2.1400044000000002E-3</v>
          </cell>
          <cell r="J197">
            <v>2.1075536000000001E-3</v>
          </cell>
          <cell r="K197">
            <v>2.6658009000000002E-3</v>
          </cell>
          <cell r="L197">
            <v>3.9784727999999997E-3</v>
          </cell>
          <cell r="M197">
            <v>6.4176331000000003E-3</v>
          </cell>
          <cell r="N197">
            <v>9.7934004000000009E-3</v>
          </cell>
          <cell r="O197">
            <v>1.5443426999999999E-2</v>
          </cell>
          <cell r="P197">
            <v>2.6125928999999999E-2</v>
          </cell>
          <cell r="Q197">
            <v>3.9912073999999999E-2</v>
          </cell>
          <cell r="R197">
            <v>5.9995859999999998E-2</v>
          </cell>
          <cell r="S197">
            <v>7.9088839999999994E-2</v>
          </cell>
          <cell r="T197">
            <v>0.12158436</v>
          </cell>
          <cell r="U197">
            <v>0.16291785</v>
          </cell>
          <cell r="V197">
            <v>0.24855374999999999</v>
          </cell>
          <cell r="W197">
            <v>0.37050096509943897</v>
          </cell>
        </row>
        <row r="198">
          <cell r="A198" t="str">
            <v>Viet Nam</v>
          </cell>
          <cell r="B198">
            <v>1.6976798000000001E-2</v>
          </cell>
          <cell r="C198">
            <v>1.0768367999999999E-3</v>
          </cell>
          <cell r="D198">
            <v>5.2053663999999998E-4</v>
          </cell>
          <cell r="E198">
            <v>4.6478006000000001E-4</v>
          </cell>
          <cell r="F198">
            <v>7.4839147000000002E-4</v>
          </cell>
          <cell r="G198">
            <v>1.0978372E-3</v>
          </cell>
          <cell r="H198">
            <v>1.3523147999999999E-3</v>
          </cell>
          <cell r="I198">
            <v>1.5801029E-3</v>
          </cell>
          <cell r="J198">
            <v>1.9559948999999998E-3</v>
          </cell>
          <cell r="K198">
            <v>2.7645002000000001E-3</v>
          </cell>
          <cell r="L198">
            <v>3.8816285E-3</v>
          </cell>
          <cell r="M198">
            <v>6.1845214999999999E-3</v>
          </cell>
          <cell r="N198">
            <v>9.2934188999999993E-3</v>
          </cell>
          <cell r="O198">
            <v>1.2742138E-2</v>
          </cell>
          <cell r="P198">
            <v>2.0623757999999999E-2</v>
          </cell>
          <cell r="Q198">
            <v>3.0673853000000001E-2</v>
          </cell>
          <cell r="R198">
            <v>4.5973561000000003E-2</v>
          </cell>
          <cell r="S198">
            <v>6.8831007999999999E-2</v>
          </cell>
          <cell r="T198">
            <v>0.10241421000000001</v>
          </cell>
          <cell r="U198">
            <v>0.15050156000000001</v>
          </cell>
          <cell r="V198">
            <v>0.21646425999999999</v>
          </cell>
          <cell r="W198">
            <v>0.31673164363547202</v>
          </cell>
        </row>
        <row r="199">
          <cell r="A199" t="str">
            <v>Yemen</v>
          </cell>
          <cell r="B199">
            <v>4.4847791999999997E-2</v>
          </cell>
          <cell r="C199">
            <v>3.2136139E-3</v>
          </cell>
          <cell r="D199">
            <v>1.0784131000000001E-3</v>
          </cell>
          <cell r="E199">
            <v>8.3150474999999998E-4</v>
          </cell>
          <cell r="F199">
            <v>1.4512920999999999E-3</v>
          </cell>
          <cell r="G199">
            <v>1.8954835000000001E-3</v>
          </cell>
          <cell r="H199">
            <v>2.0289809E-3</v>
          </cell>
          <cell r="I199">
            <v>2.3721890999999998E-3</v>
          </cell>
          <cell r="J199">
            <v>3.0765469999999998E-3</v>
          </cell>
          <cell r="K199">
            <v>4.1973402E-3</v>
          </cell>
          <cell r="L199">
            <v>6.0780935999999999E-3</v>
          </cell>
          <cell r="M199">
            <v>9.0548625000000001E-3</v>
          </cell>
          <cell r="N199">
            <v>1.3781705999999999E-2</v>
          </cell>
          <cell r="O199">
            <v>2.1781543E-2</v>
          </cell>
          <cell r="P199">
            <v>3.4552753999999998E-2</v>
          </cell>
          <cell r="Q199">
            <v>5.5939832000000002E-2</v>
          </cell>
          <cell r="R199">
            <v>9.0603984999999998E-2</v>
          </cell>
          <cell r="S199">
            <v>0.14229885</v>
          </cell>
          <cell r="T199">
            <v>0.21806094000000001</v>
          </cell>
          <cell r="U199">
            <v>0.31373742999999998</v>
          </cell>
          <cell r="V199">
            <v>0.43431003000000001</v>
          </cell>
          <cell r="W199">
            <v>0.566776116802582</v>
          </cell>
        </row>
        <row r="200">
          <cell r="A200" t="str">
            <v>Zambia</v>
          </cell>
          <cell r="B200">
            <v>4.7397950000000001E-2</v>
          </cell>
          <cell r="C200">
            <v>3.9983283999999999E-3</v>
          </cell>
          <cell r="D200">
            <v>1.1617178999999999E-3</v>
          </cell>
          <cell r="E200">
            <v>9.1675454999999996E-4</v>
          </cell>
          <cell r="F200">
            <v>1.5368534000000001E-3</v>
          </cell>
          <cell r="G200">
            <v>2.4885330999999998E-3</v>
          </cell>
          <cell r="H200">
            <v>3.5203122999999999E-3</v>
          </cell>
          <cell r="I200">
            <v>4.6521013999999998E-3</v>
          </cell>
          <cell r="J200">
            <v>6.2648347000000002E-3</v>
          </cell>
          <cell r="K200">
            <v>7.7440757999999998E-3</v>
          </cell>
          <cell r="L200">
            <v>9.5624192E-3</v>
          </cell>
          <cell r="M200">
            <v>1.2527864E-2</v>
          </cell>
          <cell r="N200">
            <v>1.5985011E-2</v>
          </cell>
          <cell r="O200">
            <v>2.2546450999999999E-2</v>
          </cell>
          <cell r="P200">
            <v>3.3654442999999999E-2</v>
          </cell>
          <cell r="Q200">
            <v>5.2168156E-2</v>
          </cell>
          <cell r="R200">
            <v>8.2720848E-2</v>
          </cell>
          <cell r="S200">
            <v>0.13806656</v>
          </cell>
          <cell r="T200">
            <v>0.23241698999999999</v>
          </cell>
          <cell r="U200">
            <v>0.38439856999999999</v>
          </cell>
          <cell r="V200">
            <v>0.54754515000000004</v>
          </cell>
          <cell r="W200">
            <v>0.72099981910114497</v>
          </cell>
        </row>
        <row r="201">
          <cell r="A201" t="str">
            <v>Zimbabwe</v>
          </cell>
          <cell r="B201">
            <v>4.0063008999999997E-2</v>
          </cell>
          <cell r="C201">
            <v>3.2793777999999998E-3</v>
          </cell>
          <cell r="D201">
            <v>1.0666883E-3</v>
          </cell>
          <cell r="E201">
            <v>9.1261412999999998E-4</v>
          </cell>
          <cell r="F201">
            <v>1.5762751000000001E-3</v>
          </cell>
          <cell r="G201">
            <v>2.8536873999999999E-3</v>
          </cell>
          <cell r="H201">
            <v>4.8761372999999997E-3</v>
          </cell>
          <cell r="I201">
            <v>7.0072937999999998E-3</v>
          </cell>
          <cell r="J201">
            <v>9.9183177999999997E-3</v>
          </cell>
          <cell r="K201">
            <v>1.1647154E-2</v>
          </cell>
          <cell r="L201">
            <v>1.3856759E-2</v>
          </cell>
          <cell r="M201">
            <v>1.6688746000000001E-2</v>
          </cell>
          <cell r="N201">
            <v>2.0099473E-2</v>
          </cell>
          <cell r="O201">
            <v>2.6436238000000001E-2</v>
          </cell>
          <cell r="P201">
            <v>3.7502945000000003E-2</v>
          </cell>
          <cell r="Q201">
            <v>5.6021949000000001E-2</v>
          </cell>
          <cell r="R201">
            <v>8.6218393000000004E-2</v>
          </cell>
          <cell r="S201">
            <v>0.14209641000000001</v>
          </cell>
          <cell r="T201">
            <v>0.23767874999999999</v>
          </cell>
          <cell r="U201">
            <v>0.37998229</v>
          </cell>
          <cell r="V201">
            <v>0.52112077000000001</v>
          </cell>
          <cell r="W201">
            <v>0.65919399954159597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graphics"/>
      <sheetName val="epidemiological_pars"/>
      <sheetName val="disease_cost"/>
      <sheetName val="vaccine_costs"/>
      <sheetName val="countries_raw"/>
      <sheetName val="countries_noimp"/>
      <sheetName val="missingdata_impute"/>
      <sheetName val="proof_of_averages"/>
      <sheetName val="global"/>
      <sheetName val="countries"/>
      <sheetName val="countries_lb"/>
      <sheetName val="countries_ub"/>
      <sheetName val="regions"/>
      <sheetName val="regions_lb"/>
      <sheetName val="regions_ub"/>
      <sheetName val="scenarios"/>
      <sheetName val="wa glob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regions" displayName="regions" ref="A1:D196" totalsRowShown="0">
  <autoFilter ref="A1:D196"/>
  <sortState ref="A2:D196">
    <sortCondition ref="A1:A196"/>
  </sortState>
  <tableColumns count="4">
    <tableColumn id="1" name="Country"/>
    <tableColumn id="2" name="WHO Region" dataDxfId="282"/>
    <tableColumn id="3" name="WHO-Choice"/>
    <tableColumn id="4" name="World Bank Reg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hbe" displayName="hbe" ref="AV1:BE7" totalsRowShown="0">
  <autoFilter ref="AV1:BE7"/>
  <tableColumns count="10">
    <tableColumn id="1" name="GBD Region"/>
    <tableColumn id="2" name="hbe_prev"/>
    <tableColumn id="3" name="hbe_prev_lb"/>
    <tableColumn id="4" name="hbe_prev_ub"/>
    <tableColumn id="5" name="hbe_risk"/>
    <tableColumn id="6" name="hbe_risk_lb"/>
    <tableColumn id="7" name="hbe_risk_ub"/>
    <tableColumn id="8" name="nhbe_risk"/>
    <tableColumn id="9" name="nhbe_risk_lb"/>
    <tableColumn id="10" name="nhbe_risk_ub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all_cause_mort" displayName="all_cause_mort" ref="AV9:BU166" totalsRowShown="0" tableBorderDxfId="256">
  <autoFilter ref="AV9:BU166"/>
  <sortState ref="AV10:AW166">
    <sortCondition ref="AV1:AV158"/>
  </sortState>
  <tableColumns count="26">
    <tableColumn id="1" name="Country" dataDxfId="255"/>
    <tableColumn id="2" name="GBD Region" dataDxfId="254"/>
    <tableColumn id="3" name="2017 Births" dataDxfId="253">
      <calculatedColumnFormula>VLOOKUP(all_cause_mort[[#This Row],[Country]],[1]!populations[#Data],9,FALSE)*VLOOKUP(all_cause_mort[[#This Row],[Country]],[1]!birthrate[#Data],3,FALSE)</calculatedColumnFormula>
    </tableColumn>
    <tableColumn id="4" name="mu_01" dataDxfId="252">
      <calculatedColumnFormula>VLOOKUP(all_cause_mort[[Country]:[Country]],'[1]Mortality Data'!$A$2:$W$201,2,FALSE)</calculatedColumnFormula>
    </tableColumn>
    <tableColumn id="5" name="mu_14" dataDxfId="251">
      <calculatedColumnFormula>VLOOKUP(all_cause_mort[[Country]:[Country]],'[1]Mortality Data'!$A$2:$W$201,3,FALSE)</calculatedColumnFormula>
    </tableColumn>
    <tableColumn id="6" name="mu_59" dataDxfId="250">
      <calculatedColumnFormula>VLOOKUP(all_cause_mort[[Country]:[Country]],'[1]Mortality Data'!$A$2:$W$201,4,FALSE)</calculatedColumnFormula>
    </tableColumn>
    <tableColumn id="7" name="mu_1014" dataDxfId="249">
      <calculatedColumnFormula>VLOOKUP(all_cause_mort[[Country]:[Country]],'[1]Mortality Data'!$A$2:$W$201,5,FALSE)</calculatedColumnFormula>
    </tableColumn>
    <tableColumn id="8" name="mu_1519" dataDxfId="248">
      <calculatedColumnFormula>VLOOKUP(all_cause_mort[[Country]:[Country]],'[1]Mortality Data'!$A$2:$W$201,6,FALSE)</calculatedColumnFormula>
    </tableColumn>
    <tableColumn id="9" name="mu_2024" dataDxfId="247">
      <calculatedColumnFormula>VLOOKUP(all_cause_mort[[Country]:[Country]],'[1]Mortality Data'!$A$2:$W$201,7,FALSE)</calculatedColumnFormula>
    </tableColumn>
    <tableColumn id="10" name="mu_2529" dataDxfId="246">
      <calculatedColumnFormula>VLOOKUP(all_cause_mort[[Country]:[Country]],'[1]Mortality Data'!$A$2:$W$201,8,FALSE)</calculatedColumnFormula>
    </tableColumn>
    <tableColumn id="11" name="mu_3034" dataDxfId="245">
      <calculatedColumnFormula>VLOOKUP(all_cause_mort[[Country]:[Country]],'[1]Mortality Data'!$A$2:$W$201,9,FALSE)</calculatedColumnFormula>
    </tableColumn>
    <tableColumn id="12" name="mu_3539" dataDxfId="244">
      <calculatedColumnFormula>VLOOKUP(all_cause_mort[[Country]:[Country]],'[1]Mortality Data'!$A$2:$W$201,10,FALSE)</calculatedColumnFormula>
    </tableColumn>
    <tableColumn id="13" name="mu_4044" dataDxfId="243">
      <calculatedColumnFormula>VLOOKUP(all_cause_mort[[Country]:[Country]],'[1]Mortality Data'!$A$2:$W$201,11,FALSE)</calculatedColumnFormula>
    </tableColumn>
    <tableColumn id="14" name="mu_4549" dataDxfId="242">
      <calculatedColumnFormula>VLOOKUP(all_cause_mort[[Country]:[Country]],'[1]Mortality Data'!$A$2:$W$201,12,FALSE)</calculatedColumnFormula>
    </tableColumn>
    <tableColumn id="15" name="mu_5054" dataDxfId="241">
      <calculatedColumnFormula>VLOOKUP(all_cause_mort[[Country]:[Country]],'[1]Mortality Data'!$A$2:$W$201,13,FALSE)</calculatedColumnFormula>
    </tableColumn>
    <tableColumn id="16" name="mu_5559" dataDxfId="240">
      <calculatedColumnFormula>VLOOKUP(all_cause_mort[[Country]:[Country]],'[1]Mortality Data'!$A$2:$W$201,14,FALSE)</calculatedColumnFormula>
    </tableColumn>
    <tableColumn id="17" name="mu_6064" dataDxfId="239">
      <calculatedColumnFormula>VLOOKUP(all_cause_mort[[Country]:[Country]],'[1]Mortality Data'!$A$2:$W$201,15,FALSE)</calculatedColumnFormula>
    </tableColumn>
    <tableColumn id="18" name="mu_6569" dataDxfId="238">
      <calculatedColumnFormula>VLOOKUP(all_cause_mort[[Country]:[Country]],'[1]Mortality Data'!$A$2:$W$201,16,FALSE)</calculatedColumnFormula>
    </tableColumn>
    <tableColumn id="19" name="mu_7074" dataDxfId="237">
      <calculatedColumnFormula>VLOOKUP(all_cause_mort[[Country]:[Country]],'[1]Mortality Data'!$A$2:$W$201,17,FALSE)</calculatedColumnFormula>
    </tableColumn>
    <tableColumn id="20" name="mu_7579" dataDxfId="236">
      <calculatedColumnFormula>VLOOKUP(all_cause_mort[[Country]:[Country]],'[1]Mortality Data'!$A$2:$W$201,18,FALSE)</calculatedColumnFormula>
    </tableColumn>
    <tableColumn id="21" name="mu_8084" dataDxfId="235">
      <calculatedColumnFormula>VLOOKUP(all_cause_mort[[Country]:[Country]],'[1]Mortality Data'!$A$2:$W$201,19,FALSE)</calculatedColumnFormula>
    </tableColumn>
    <tableColumn id="22" name="mu_8589" dataDxfId="234">
      <calculatedColumnFormula>VLOOKUP(all_cause_mort[[Country]:[Country]],'[1]Mortality Data'!$A$2:$W$201,20,FALSE)</calculatedColumnFormula>
    </tableColumn>
    <tableColumn id="23" name="mu_9094" dataDxfId="233">
      <calculatedColumnFormula>VLOOKUP(all_cause_mort[[Country]:[Country]],'[1]Mortality Data'!$A$2:$W$201,21,FALSE)</calculatedColumnFormula>
    </tableColumn>
    <tableColumn id="24" name="mu_9599" dataDxfId="232">
      <calculatedColumnFormula>VLOOKUP(all_cause_mort[[Country]:[Country]],'[1]Mortality Data'!$A$2:$W$201,22,FALSE)</calculatedColumnFormula>
    </tableColumn>
    <tableColumn id="25" name="mu_100" dataDxfId="231">
      <calculatedColumnFormula>VLOOKUP(all_cause_mort[[Country]:[Country]],'[1]Mortality Data'!$A$2:$W$201,23,FALSE)</calculatedColumnFormula>
    </tableColumn>
    <tableColumn id="26" name="choice reg" dataDxfId="230">
      <calculatedColumnFormula>VLOOKUP(all_cause_mort[[#This Row],[Country]],[2]!regions[#Data],3,FALSE)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A1:F7" totalsRowShown="0">
  <autoFilter ref="A1:F7"/>
  <tableColumns count="6">
    <tableColumn id="1" name="Region"/>
    <tableColumn id="2" name="c_A" dataDxfId="229">
      <calculatedColumnFormula>VLOOKUP(Table13[[Region]:[Region]],costs_calc!$A$4:$L$9,8,FALSE)</calculatedColumnFormula>
    </tableColumn>
    <tableColumn id="3" name="c_C" dataDxfId="228">
      <calculatedColumnFormula>VLOOKUP(Table13[[Region]:[Region]],costs_calc!$A$4:$L$9,9,FALSE)</calculatedColumnFormula>
    </tableColumn>
    <tableColumn id="4" name="c_CC" dataDxfId="227">
      <calculatedColumnFormula>VLOOKUP(Table13[[Region]:[Region]],costs_calc!$A$4:$L$9,10,FALSE)</calculatedColumnFormula>
    </tableColumn>
    <tableColumn id="5" name="c_DC" dataDxfId="226">
      <calculatedColumnFormula>VLOOKUP(Table13[[Region]:[Region]],costs_calc!$A$4:$L$9,11,FALSE)</calculatedColumnFormula>
    </tableColumn>
    <tableColumn id="6" name="c_HCC" dataDxfId="225">
      <calculatedColumnFormula>VLOOKUP(Table13[[Region]:[Region]],costs_calc!$A$4:$L$9,12,FALSE)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10:F16" totalsRowShown="0">
  <autoFilter ref="A10:F16"/>
  <tableColumns count="6">
    <tableColumn id="1" name="Region"/>
    <tableColumn id="2" name="fac_cc" dataDxfId="224">
      <calculatedColumnFormula>VLOOKUP(Table14[[Region]:[Region]],costs_calc!$F$27:$K$32, 2, FALSE)</calculatedColumnFormula>
    </tableColumn>
    <tableColumn id="3" name="fac_ctc" dataDxfId="223">
      <calculatedColumnFormula>VLOOKUP(Table14[[Region]:[Region]],costs_calc!$F$27:$K$32, 3, FALSE)</calculatedColumnFormula>
    </tableColumn>
    <tableColumn id="4" name="com_cc" dataDxfId="222">
      <calculatedColumnFormula>VLOOKUP(Table14[[Region]:[Region]],costs_calc!$F$27:$K$32, 4, FALSE)</calculatedColumnFormula>
    </tableColumn>
    <tableColumn id="5" name="com_ctc" dataDxfId="221">
      <calculatedColumnFormula>VLOOKUP(Table14[[Region]:[Region]],costs_calc!$F$27:$K$32, 5, FALSE)</calculatedColumnFormula>
    </tableColumn>
    <tableColumn id="6" name="com_cpad" dataDxfId="220">
      <calculatedColumnFormula>VLOOKUP(Table14[[Region]:[Region]],costs_calc!$F$27:$K$32, 6, 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all_lmics" displayName="all_lmics" ref="A1:AZ158" totalsRowShown="0" tableBorderDxfId="219">
  <autoFilter ref="A1:AZ158"/>
  <sortState ref="A2:AZ158">
    <sortCondition ref="B1:B158"/>
  </sortState>
  <tableColumns count="52">
    <tableColumn id="1" name="Setting" dataDxfId="218"/>
    <tableColumn id="3" name="who_choice_region" dataDxfId="217"/>
    <tableColumn id="2" name="who_region"/>
    <tableColumn id="4" name="worldbank_region" dataDxfId="216"/>
    <tableColumn id="5" name="2017_population" dataDxfId="215">
      <calculatedColumnFormula>VLOOKUP(all_lmics[[Setting]:[Setting]],populations[],9,FALSE)</calculatedColumnFormula>
    </tableColumn>
    <tableColumn id="6" name="2016_birthrate">
      <calculatedColumnFormula>VLOOKUP(all_lmics[[Setting]:[Setting]],birthrate[],3,FALSE)</calculatedColumnFormula>
    </tableColumn>
    <tableColumn id="7" name="2017_births" dataDxfId="214">
      <calculatedColumnFormula>all_lmics[[#This Row],[2017_population]]*all_lmics[[#This Row],[2016_birthrate]]</calculatedColumnFormula>
    </tableColumn>
    <tableColumn id="8" name="birth_dose" dataDxfId="213">
      <calculatedColumnFormula>VLOOKUP(all_lmics[[Setting]:[Setting]],birthdose[],4,FALSE)</calculatedColumnFormula>
    </tableColumn>
    <tableColumn id="9" name="HBV3" dataDxfId="212">
      <calculatedColumnFormula>VLOOKUP(all_lmics[[Setting]:[Setting]],fullvax[],4,FALSE)</calculatedColumnFormula>
    </tableColumn>
    <tableColumn id="10" name="prev" dataDxfId="211">
      <calculatedColumnFormula>IFERROR(VLOOKUP(all_lmics[[Setting]:[Setting]],prev[],3,FALSE),0)</calculatedColumnFormula>
    </tableColumn>
    <tableColumn id="11" name="prev_lb" dataDxfId="210">
      <calculatedColumnFormula>IFERROR(VLOOKUP(all_lmics[[Setting]:[Setting]],prev[],4,FALSE),0)</calculatedColumnFormula>
    </tableColumn>
    <tableColumn id="12" name="prev_ub" dataDxfId="209">
      <calculatedColumnFormula>IFERROR(VLOOKUP(all_lmics[[Setting]:[Setting]],prev[],5,FALSE),0)</calculatedColumnFormula>
    </tableColumn>
    <tableColumn id="13" name="sigma" dataDxfId="208">
      <calculatedColumnFormula>IFERROR(VLOOKUP(all_lmics[[Setting]:[Setting]],prev[],7,FALSE),0)</calculatedColumnFormula>
    </tableColumn>
    <tableColumn id="14" name="prev_pop" dataDxfId="207">
      <calculatedColumnFormula>IFERROR(VLOOKUP(all_lmics[[Setting]:[Setting]],prev[],6,FALSE),0)</calculatedColumnFormula>
    </tableColumn>
    <tableColumn id="15" name="SBA" dataDxfId="206">
      <calculatedColumnFormula>IFERROR(VLOOKUP(all_lmics[[Setting]:[Setting]],SBA[],4,FALSE),0)</calculatedColumnFormula>
    </tableColumn>
    <tableColumn id="16" name="Facility" dataDxfId="205">
      <calculatedColumnFormula>IFERROR(VLOOKUP(all_lmics[[Setting]:[Setting]], facility[], 3,FALSE),0)</calculatedColumnFormula>
    </tableColumn>
    <tableColumn id="17" name="mu_01" dataDxfId="204">
      <calculatedColumnFormula>IFERROR(VLOOKUP(all_lmics[[Setting]:[Setting]],all_cause_mort[],4,FALSE),0)</calculatedColumnFormula>
    </tableColumn>
    <tableColumn id="18" name="mu_14" dataDxfId="203">
      <calculatedColumnFormula>IFERROR(VLOOKUP(all_lmics[[Setting]:[Setting]],all_cause_mort[],5,FALSE),0)</calculatedColumnFormula>
    </tableColumn>
    <tableColumn id="19" name="mu_59" dataDxfId="202">
      <calculatedColumnFormula>IFERROR(VLOOKUP(all_lmics[[Setting]:[Setting]],all_cause_mort[],6,FALSE),0)</calculatedColumnFormula>
    </tableColumn>
    <tableColumn id="20" name="mu_1014" dataDxfId="201">
      <calculatedColumnFormula>IFERROR(VLOOKUP(all_lmics[[Setting]:[Setting]],all_cause_mort[],7,FALSE),0)</calculatedColumnFormula>
    </tableColumn>
    <tableColumn id="21" name="mu_1519" dataDxfId="200">
      <calculatedColumnFormula>IFERROR(VLOOKUP(all_lmics[[Setting]:[Setting]],all_cause_mort[],8,FALSE),0)</calculatedColumnFormula>
    </tableColumn>
    <tableColumn id="22" name="mu_2024" dataDxfId="199">
      <calculatedColumnFormula>IFERROR(VLOOKUP(all_lmics[[Setting]:[Setting]],all_cause_mort[],9,FALSE),0)</calculatedColumnFormula>
    </tableColumn>
    <tableColumn id="23" name="mu_2529" dataDxfId="198">
      <calculatedColumnFormula>IFERROR(VLOOKUP(all_lmics[[Setting]:[Setting]],all_cause_mort[],10,FALSE),0)</calculatedColumnFormula>
    </tableColumn>
    <tableColumn id="24" name="mu_3034" dataDxfId="197">
      <calculatedColumnFormula>IFERROR(VLOOKUP(all_lmics[[Setting]:[Setting]],all_cause_mort[],11,FALSE),0)</calculatedColumnFormula>
    </tableColumn>
    <tableColumn id="25" name="mu_3539" dataDxfId="196">
      <calculatedColumnFormula>IFERROR(VLOOKUP(all_lmics[[Setting]:[Setting]],all_cause_mort[],12,FALSE),0)</calculatedColumnFormula>
    </tableColumn>
    <tableColumn id="26" name="mu_4044" dataDxfId="195">
      <calculatedColumnFormula>IFERROR(VLOOKUP(all_lmics[[Setting]:[Setting]],all_cause_mort[],13,FALSE),0)</calculatedColumnFormula>
    </tableColumn>
    <tableColumn id="27" name="mu_4549" dataDxfId="194">
      <calculatedColumnFormula>IFERROR(VLOOKUP(all_lmics[[Setting]:[Setting]],all_cause_mort[],14,FALSE),0)</calculatedColumnFormula>
    </tableColumn>
    <tableColumn id="28" name="mu_5054" dataDxfId="193">
      <calculatedColumnFormula>IFERROR(VLOOKUP(all_lmics[[Setting]:[Setting]],all_cause_mort[],15,FALSE),0)</calculatedColumnFormula>
    </tableColumn>
    <tableColumn id="29" name="mu_5559" dataDxfId="192">
      <calculatedColumnFormula>IFERROR(VLOOKUP(all_lmics[[Setting]:[Setting]],all_cause_mort[],16,FALSE),0)</calculatedColumnFormula>
    </tableColumn>
    <tableColumn id="30" name="mu_6064" dataDxfId="191">
      <calculatedColumnFormula>IFERROR(VLOOKUP(all_lmics[[Setting]:[Setting]],all_cause_mort[],17,FALSE),0)</calculatedColumnFormula>
    </tableColumn>
    <tableColumn id="31" name="mu_6569" dataDxfId="190">
      <calculatedColumnFormula>IFERROR(VLOOKUP(all_lmics[[Setting]:[Setting]],all_cause_mort[],18,FALSE),0)</calculatedColumnFormula>
    </tableColumn>
    <tableColumn id="32" name="mu_7074" dataDxfId="189">
      <calculatedColumnFormula>IFERROR(VLOOKUP(all_lmics[[Setting]:[Setting]],all_cause_mort[],19,FALSE),0)</calculatedColumnFormula>
    </tableColumn>
    <tableColumn id="33" name="mu_7579" dataDxfId="188">
      <calculatedColumnFormula>IFERROR(VLOOKUP(all_lmics[[Setting]:[Setting]],all_cause_mort[],20,FALSE),0)</calculatedColumnFormula>
    </tableColumn>
    <tableColumn id="34" name="mu_8084" dataDxfId="187">
      <calculatedColumnFormula>IFERROR(VLOOKUP(all_lmics[[Setting]:[Setting]],all_cause_mort[],21,FALSE),0)</calculatedColumnFormula>
    </tableColumn>
    <tableColumn id="35" name="mu_8589" dataDxfId="186">
      <calculatedColumnFormula>IFERROR(VLOOKUP(all_lmics[[Setting]:[Setting]],all_cause_mort[],22,FALSE),0)</calculatedColumnFormula>
    </tableColumn>
    <tableColumn id="36" name="mu_9094" dataDxfId="185">
      <calculatedColumnFormula>IFERROR(VLOOKUP(all_lmics[[Setting]:[Setting]],all_cause_mort[],23,FALSE),0)</calculatedColumnFormula>
    </tableColumn>
    <tableColumn id="37" name="mu_9599" dataDxfId="184">
      <calculatedColumnFormula>IFERROR(VLOOKUP(all_lmics[[Setting]:[Setting]],all_cause_mort[],24,FALSE),0)</calculatedColumnFormula>
    </tableColumn>
    <tableColumn id="38" name="mu_100" dataDxfId="183">
      <calculatedColumnFormula>IFERROR(VLOOKUP(all_lmics[[Setting]:[Setting]],all_cause_mort[],25,FALSE),0)</calculatedColumnFormula>
    </tableColumn>
    <tableColumn id="39" name="c_A" dataDxfId="182">
      <calculatedColumnFormula>VLOOKUP(all_lmics[[worldbank_region]:[worldbank_region]],Table13[],2,FALSE)</calculatedColumnFormula>
    </tableColumn>
    <tableColumn id="40" name="c_C" dataDxfId="181">
      <calculatedColumnFormula>VLOOKUP(all_lmics[[worldbank_region]:[worldbank_region]],Table13[],3,FALSE)</calculatedColumnFormula>
    </tableColumn>
    <tableColumn id="41" name="c_CC" dataDxfId="180">
      <calculatedColumnFormula>VLOOKUP(all_lmics[[worldbank_region]:[worldbank_region]],Table13[],4,FALSE)</calculatedColumnFormula>
    </tableColumn>
    <tableColumn id="42" name="c_DC" dataDxfId="179">
      <calculatedColumnFormula>VLOOKUP(all_lmics[[worldbank_region]:[worldbank_region]],Table13[],5,FALSE)</calculatedColumnFormula>
    </tableColumn>
    <tableColumn id="43" name="c_HCC" dataDxfId="178">
      <calculatedColumnFormula>VLOOKUP(all_lmics[[worldbank_region]:[worldbank_region]],Table13[],6,FALSE)</calculatedColumnFormula>
    </tableColumn>
    <tableColumn id="44" name="fac_cc" dataDxfId="177">
      <calculatedColumnFormula>VLOOKUP(all_lmics[[worldbank_region]:[worldbank_region]],Table14[],2,FALSE)</calculatedColumnFormula>
    </tableColumn>
    <tableColumn id="45" name="fac_ctc" dataDxfId="176">
      <calculatedColumnFormula>VLOOKUP(all_lmics[[worldbank_region]:[worldbank_region]],Table14[],3,FALSE)</calculatedColumnFormula>
    </tableColumn>
    <tableColumn id="46" name="com_cc" dataDxfId="175">
      <calculatedColumnFormula>VLOOKUP(all_lmics[[worldbank_region]:[worldbank_region]],Table14[],4,FALSE)</calculatedColumnFormula>
    </tableColumn>
    <tableColumn id="47" name="com_ctc" dataDxfId="174">
      <calculatedColumnFormula>VLOOKUP(all_lmics[[worldbank_region]:[worldbank_region]],Table14[],5,FALSE)</calculatedColumnFormula>
    </tableColumn>
    <tableColumn id="48" name="com_cpad" dataDxfId="173">
      <calculatedColumnFormula>VLOOKUP(all_lmics[[worldbank_region]:[worldbank_region]],Table14[],6,FALSE)</calculatedColumnFormula>
    </tableColumn>
    <tableColumn id="49" name="SBA_nfac" dataDxfId="172">
      <calculatedColumnFormula>IFERROR(VLOOKUP(all_lmics[[Setting]:[Setting]],nFacSBA[],4,FALSE),0)</calculatedColumnFormula>
    </tableColumn>
    <tableColumn id="50" name="hbe_prev" dataDxfId="171">
      <calculatedColumnFormula>VLOOKUP(all_lmics[[worldbank_region]:[worldbank_region]],hbe[],2)</calculatedColumnFormula>
    </tableColumn>
    <tableColumn id="51" name="hbe_risk" dataDxfId="170">
      <calculatedColumnFormula>VLOOKUP(all_lmics[[worldbank_region]:[worldbank_region]],hbe[],5)</calculatedColumnFormula>
    </tableColumn>
    <tableColumn id="52" name="n_hbe_risk" dataDxfId="169">
      <calculatedColumnFormula>VLOOKUP(all_lmics[[worldbank_region]:[worldbank_region]],hbe[],8)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missing" displayName="missing" ref="A1:AD12" totalsRowShown="0" headerRowDxfId="168" headerRowBorderDxfId="167" tableBorderDxfId="166">
  <autoFilter ref="A1:AD12"/>
  <tableColumns count="30">
    <tableColumn id="1" name="Setting"/>
    <tableColumn id="2" name="prev" dataDxfId="165">
      <calculatedColumnFormula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calculatedColumnFormula>
    </tableColumn>
    <tableColumn id="3" name="prev_lb" dataDxfId="164">
      <calculatedColumnFormula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calculatedColumnFormula>
    </tableColumn>
    <tableColumn id="4" name="prev_ub" dataDxfId="163">
      <calculatedColumnFormula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calculatedColumnFormula>
    </tableColumn>
    <tableColumn id="5" name="sigma" dataDxfId="162">
      <calculatedColumnFormula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calculatedColumnFormula>
    </tableColumn>
    <tableColumn id="6" name="SBA" dataDxfId="161">
      <calculatedColumnFormula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calculatedColumnFormula>
    </tableColumn>
    <tableColumn id="7" name="Facility" dataDxfId="160">
      <calculatedColumnFormula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calculatedColumnFormula>
    </tableColumn>
    <tableColumn id="8" name="mu_01" dataDxfId="159">
      <calculatedColumnFormula>SUMPRODUCT((all_lmics[[who_choice_region]:[who_choice_region]]=$A2)*all_lmics[mu_01]*all_lmics[[2017_births]:[2017_births]])/SUMPRODUCT((all_lmics[[who_choice_region]:[who_choice_region]]=$A2)*all_lmics[[2017_births]:[2017_births]])</calculatedColumnFormula>
    </tableColumn>
    <tableColumn id="9" name="mu_14">
      <calculatedColumnFormula>SUMPRODUCT((all_lmics[[who_choice_region]:[who_choice_region]]=$A2)*all_lmics[mu_14]*all_lmics[[2017_births]:[2017_births]])/SUMPRODUCT((all_lmics[[who_choice_region]:[who_choice_region]]=$A2)*all_lmics[[2017_births]:[2017_births]])</calculatedColumnFormula>
    </tableColumn>
    <tableColumn id="10" name="mu_59">
      <calculatedColumnFormula>SUMPRODUCT((all_lmics[[who_choice_region]:[who_choice_region]]=$A2)*all_lmics[mu_59]*all_lmics[[2017_births]:[2017_births]])/SUMPRODUCT((all_lmics[[who_choice_region]:[who_choice_region]]=$A2)*all_lmics[[2017_births]:[2017_births]])</calculatedColumnFormula>
    </tableColumn>
    <tableColumn id="11" name="mu_1014">
      <calculatedColumnFormula>SUMPRODUCT((all_lmics[[who_choice_region]:[who_choice_region]]=$A2)*all_lmics[mu_1014]*all_lmics[[2017_births]:[2017_births]])/SUMPRODUCT((all_lmics[[who_choice_region]:[who_choice_region]]=$A2)*all_lmics[[2017_births]:[2017_births]])</calculatedColumnFormula>
    </tableColumn>
    <tableColumn id="12" name="mu_1519">
      <calculatedColumnFormula>SUMPRODUCT((all_lmics[[who_choice_region]:[who_choice_region]]=$A2)*all_lmics[mu_1519]*all_lmics[[2017_births]:[2017_births]])/SUMPRODUCT((all_lmics[[who_choice_region]:[who_choice_region]]=$A2)*all_lmics[[2017_births]:[2017_births]])</calculatedColumnFormula>
    </tableColumn>
    <tableColumn id="13" name="mu_2024">
      <calculatedColumnFormula>SUMPRODUCT((all_lmics[[who_choice_region]:[who_choice_region]]=$A2)*all_lmics[mu_2024]*all_lmics[[2017_births]:[2017_births]])/SUMPRODUCT((all_lmics[[who_choice_region]:[who_choice_region]]=$A2)*all_lmics[[2017_births]:[2017_births]])</calculatedColumnFormula>
    </tableColumn>
    <tableColumn id="14" name="mu_2529">
      <calculatedColumnFormula>SUMPRODUCT((all_lmics[[who_choice_region]:[who_choice_region]]=$A2)*all_lmics[mu_2529]*all_lmics[[2017_births]:[2017_births]])/SUMPRODUCT((all_lmics[[who_choice_region]:[who_choice_region]]=$A2)*all_lmics[[2017_births]:[2017_births]])</calculatedColumnFormula>
    </tableColumn>
    <tableColumn id="15" name="mu_3034">
      <calculatedColumnFormula>SUMPRODUCT((all_lmics[[who_choice_region]:[who_choice_region]]=$A2)*all_lmics[mu_3034]*all_lmics[[2017_births]:[2017_births]])/SUMPRODUCT((all_lmics[[who_choice_region]:[who_choice_region]]=$A2)*all_lmics[[2017_births]:[2017_births]])</calculatedColumnFormula>
    </tableColumn>
    <tableColumn id="16" name="mu_3539">
      <calculatedColumnFormula>SUMPRODUCT((all_lmics[[who_choice_region]:[who_choice_region]]=$A2)*all_lmics[mu_3539]*all_lmics[[2017_births]:[2017_births]])/SUMPRODUCT((all_lmics[[who_choice_region]:[who_choice_region]]=$A2)*all_lmics[[2017_births]:[2017_births]])</calculatedColumnFormula>
    </tableColumn>
    <tableColumn id="17" name="mu_4044">
      <calculatedColumnFormula>SUMPRODUCT((all_lmics[[who_choice_region]:[who_choice_region]]=$A2)*all_lmics[mu_4044]*all_lmics[[2017_births]:[2017_births]])/SUMPRODUCT((all_lmics[[who_choice_region]:[who_choice_region]]=$A2)*all_lmics[[2017_births]:[2017_births]])</calculatedColumnFormula>
    </tableColumn>
    <tableColumn id="18" name="mu_4549">
      <calculatedColumnFormula>SUMPRODUCT((all_lmics[[who_choice_region]:[who_choice_region]]=$A2)*all_lmics[mu_4549]*all_lmics[[2017_births]:[2017_births]])/SUMPRODUCT((all_lmics[[who_choice_region]:[who_choice_region]]=$A2)*all_lmics[[2017_births]:[2017_births]])</calculatedColumnFormula>
    </tableColumn>
    <tableColumn id="19" name="mu_5054">
      <calculatedColumnFormula>SUMPRODUCT((all_lmics[[who_choice_region]:[who_choice_region]]=$A2)*all_lmics[mu_5054]*all_lmics[[2017_births]:[2017_births]])/SUMPRODUCT((all_lmics[[who_choice_region]:[who_choice_region]]=$A2)*all_lmics[[2017_births]:[2017_births]])</calculatedColumnFormula>
    </tableColumn>
    <tableColumn id="20" name="mu_5559">
      <calculatedColumnFormula>SUMPRODUCT((all_lmics[[who_choice_region]:[who_choice_region]]=$A2)*all_lmics[mu_5559]*all_lmics[[2017_births]:[2017_births]])/SUMPRODUCT((all_lmics[[who_choice_region]:[who_choice_region]]=$A2)*all_lmics[[2017_births]:[2017_births]])</calculatedColumnFormula>
    </tableColumn>
    <tableColumn id="21" name="mu_6064">
      <calculatedColumnFormula>SUMPRODUCT((all_lmics[[who_choice_region]:[who_choice_region]]=$A2)*all_lmics[mu_6064]*all_lmics[[2017_births]:[2017_births]])/SUMPRODUCT((all_lmics[[who_choice_region]:[who_choice_region]]=$A2)*all_lmics[[2017_births]:[2017_births]])</calculatedColumnFormula>
    </tableColumn>
    <tableColumn id="22" name="mu_6569">
      <calculatedColumnFormula>SUMPRODUCT((all_lmics[[who_choice_region]:[who_choice_region]]=$A2)*all_lmics[mu_6569]*all_lmics[[2017_births]:[2017_births]])/SUMPRODUCT((all_lmics[[who_choice_region]:[who_choice_region]]=$A2)*all_lmics[[2017_births]:[2017_births]])</calculatedColumnFormula>
    </tableColumn>
    <tableColumn id="23" name="mu_7074">
      <calculatedColumnFormula>SUMPRODUCT((all_lmics[[who_choice_region]:[who_choice_region]]=$A2)*all_lmics[mu_7074]*all_lmics[[2017_births]:[2017_births]])/SUMPRODUCT((all_lmics[[who_choice_region]:[who_choice_region]]=$A2)*all_lmics[[2017_births]:[2017_births]])</calculatedColumnFormula>
    </tableColumn>
    <tableColumn id="24" name="mu_7579">
      <calculatedColumnFormula>SUMPRODUCT((all_lmics[[who_choice_region]:[who_choice_region]]=$A2)*all_lmics[mu_7579]*all_lmics[[2017_births]:[2017_births]])/SUMPRODUCT((all_lmics[[who_choice_region]:[who_choice_region]]=$A2)*all_lmics[[2017_births]:[2017_births]])</calculatedColumnFormula>
    </tableColumn>
    <tableColumn id="25" name="mu_8084">
      <calculatedColumnFormula>SUMPRODUCT((all_lmics[[who_choice_region]:[who_choice_region]]=$A2)*all_lmics[mu_8084]*all_lmics[[2017_births]:[2017_births]])/SUMPRODUCT((all_lmics[[who_choice_region]:[who_choice_region]]=$A2)*all_lmics[[2017_births]:[2017_births]])</calculatedColumnFormula>
    </tableColumn>
    <tableColumn id="26" name="mu_8589">
      <calculatedColumnFormula>SUMPRODUCT((all_lmics[[who_choice_region]:[who_choice_region]]=$A2)*all_lmics[mu_8589]*all_lmics[[2017_births]:[2017_births]])/SUMPRODUCT((all_lmics[[who_choice_region]:[who_choice_region]]=$A2)*all_lmics[[2017_births]:[2017_births]])</calculatedColumnFormula>
    </tableColumn>
    <tableColumn id="27" name="mu_9094">
      <calculatedColumnFormula>SUMPRODUCT((all_lmics[[who_choice_region]:[who_choice_region]]=$A2)*all_lmics[mu_9094]*all_lmics[[2017_births]:[2017_births]])/SUMPRODUCT((all_lmics[[who_choice_region]:[who_choice_region]]=$A2)*all_lmics[[2017_births]:[2017_births]])</calculatedColumnFormula>
    </tableColumn>
    <tableColumn id="28" name="mu_9599">
      <calculatedColumnFormula>SUMPRODUCT((all_lmics[[who_choice_region]:[who_choice_region]]=$A2)*all_lmics[mu_9599]*all_lmics[[2017_births]:[2017_births]])/SUMPRODUCT((all_lmics[[who_choice_region]:[who_choice_region]]=$A2)*all_lmics[[2017_births]:[2017_births]])</calculatedColumnFormula>
    </tableColumn>
    <tableColumn id="29" name="mu_100">
      <calculatedColumnFormula>SUMPRODUCT((all_lmics[[who_choice_region]:[who_choice_region]]=$A2)*all_lmics[mu_100]*all_lmics[[2017_births]:[2017_births]])/SUMPRODUCT((all_lmics[[who_choice_region]:[who_choice_region]]=$A2)*all_lmics[[2017_births]:[2017_births]])</calculatedColumnFormula>
    </tableColumn>
    <tableColumn id="30" name="SBA_nfac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all_lmics18" displayName="all_lmics18" ref="A1:AY88" totalsRowShown="0" tableBorderDxfId="158">
  <autoFilter ref="A1:AY88"/>
  <sortState ref="A2:AY88">
    <sortCondition ref="A1:A88"/>
  </sortState>
  <tableColumns count="51">
    <tableColumn id="1" name="Setting" dataDxfId="157"/>
    <tableColumn id="3" name="who_choice_region" dataDxfId="156"/>
    <tableColumn id="4" name="worldbank_region" dataDxfId="155"/>
    <tableColumn id="5" name="2017_population" dataDxfId="154">
      <calculatedColumnFormula>VLOOKUP(all_lmics18[[Setting]:[Setting]],populations[],9,FALSE)</calculatedColumnFormula>
    </tableColumn>
    <tableColumn id="6" name="2016_birthrate">
      <calculatedColumnFormula>VLOOKUP(all_lmics18[[Setting]:[Setting]],birthrate[],3,FALSE)</calculatedColumnFormula>
    </tableColumn>
    <tableColumn id="7" name="2017_births" dataDxfId="153">
      <calculatedColumnFormula>all_lmics18[[#This Row],[2017_population]]*all_lmics18[[#This Row],[2016_birthrate]]</calculatedColumnFormula>
    </tableColumn>
    <tableColumn id="8" name="birth_dose" dataDxfId="152">
      <calculatedColumnFormula>VLOOKUP(all_lmics18[[Setting]:[Setting]],birthdose[],4,FALSE)</calculatedColumnFormula>
    </tableColumn>
    <tableColumn id="9" name="HBV3" dataDxfId="151">
      <calculatedColumnFormula>VLOOKUP(all_lmics18[[Setting]:[Setting]],fullvax[],4,FALSE)</calculatedColumnFormula>
    </tableColumn>
    <tableColumn id="10" name="prev" dataDxfId="150">
      <calculatedColumnFormula>IFERROR(VLOOKUP(all_lmics18[[Setting]:[Setting]],prev[],3,FALSE),VLOOKUP(all_lmics18[[who_choice_region]:[who_choice_region]],missing[],2,FALSE))</calculatedColumnFormula>
    </tableColumn>
    <tableColumn id="11" name="prev_lb" dataDxfId="149">
      <calculatedColumnFormula>IFERROR(VLOOKUP(all_lmics18[[Setting]:[Setting]],prev[],4,FALSE),VLOOKUP(all_lmics18[[who_choice_region]:[who_choice_region]],missing[],3,FALSE))</calculatedColumnFormula>
    </tableColumn>
    <tableColumn id="12" name="prev_ub" dataDxfId="148">
      <calculatedColumnFormula>IFERROR(VLOOKUP(all_lmics18[[Setting]:[Setting]],prev[],5,FALSE),VLOOKUP(all_lmics18[[who_choice_region]:[who_choice_region]],missing[],4,FALSE))</calculatedColumnFormula>
    </tableColumn>
    <tableColumn id="13" name="sigma" dataDxfId="147">
      <calculatedColumnFormula>IFERROR(VLOOKUP(all_lmics18[[Setting]:[Setting]],prev[],7,FALSE),VLOOKUP(all_lmics18[[who_choice_region]:[who_choice_region]],missing[],5,FALSE))</calculatedColumnFormula>
    </tableColumn>
    <tableColumn id="14" name="prev_pop" dataDxfId="146">
      <calculatedColumnFormula>IFERROR(VLOOKUP(all_lmics18[[Setting]:[Setting]],prev[],6,FALSE),0)</calculatedColumnFormula>
    </tableColumn>
    <tableColumn id="15" name="SBA" dataDxfId="145">
      <calculatedColumnFormula>IFERROR(VLOOKUP(all_lmics18[[Setting]:[Setting]],SBA[],4,FALSE),VLOOKUP(all_lmics18[[who_choice_region]:[who_choice_region]],missing[],6,FALSE))</calculatedColumnFormula>
    </tableColumn>
    <tableColumn id="16" name="Facility" dataDxfId="144">
      <calculatedColumnFormula>IFERROR(VLOOKUP(all_lmics18[[Setting]:[Setting]], facility[], 3,FALSE),VLOOKUP(all_lmics18[[who_choice_region]:[who_choice_region]],missing[],7,FALSE))</calculatedColumnFormula>
    </tableColumn>
    <tableColumn id="17" name="mu_01" dataDxfId="143">
      <calculatedColumnFormula>IF(VLOOKUP(all_lmics18[[Setting]:[Setting]],all_cause_mort[],4,FALSE)="",VLOOKUP(all_lmics18[[who_choice_region]:[who_choice_region]],missing[],8,FALSE),VLOOKUP(all_lmics18[[Setting]:[Setting]],all_cause_mort[],4,FALSE))</calculatedColumnFormula>
    </tableColumn>
    <tableColumn id="18" name="mu_14" dataDxfId="142">
      <calculatedColumnFormula>IF(VLOOKUP(all_lmics18[[Setting]:[Setting]],all_cause_mort[],5,FALSE)="",VLOOKUP(all_lmics18[[who_choice_region]:[who_choice_region]],missing[],9,FALSE),VLOOKUP(all_lmics18[[Setting]:[Setting]],all_cause_mort[],5,FALSE))</calculatedColumnFormula>
    </tableColumn>
    <tableColumn id="19" name="mu_59" dataDxfId="141">
      <calculatedColumnFormula>IF(VLOOKUP(all_lmics18[[Setting]:[Setting]],all_cause_mort[],6,FALSE)="",VLOOKUP(all_lmics18[[who_choice_region]:[who_choice_region]],missing[],10,FALSE),VLOOKUP(all_lmics18[[Setting]:[Setting]],all_cause_mort[],6,FALSE))</calculatedColumnFormula>
    </tableColumn>
    <tableColumn id="20" name="mu_1014" dataDxfId="140">
      <calculatedColumnFormula>IF(VLOOKUP(all_lmics18[[Setting]:[Setting]],all_cause_mort[],7,FALSE)="",VLOOKUP(all_lmics18[[who_choice_region]:[who_choice_region]],missing[],11,FALSE),VLOOKUP(all_lmics18[[Setting]:[Setting]],all_cause_mort[],7,FALSE))</calculatedColumnFormula>
    </tableColumn>
    <tableColumn id="21" name="mu_1519" dataDxfId="139">
      <calculatedColumnFormula>IF(VLOOKUP(all_lmics18[[Setting]:[Setting]],all_cause_mort[],8,FALSE)="",VLOOKUP(all_lmics18[[who_choice_region]:[who_choice_region]],missing[],12,FALSE),VLOOKUP(all_lmics18[[Setting]:[Setting]],all_cause_mort[],8,FALSE))</calculatedColumnFormula>
    </tableColumn>
    <tableColumn id="22" name="mu_2024" dataDxfId="138">
      <calculatedColumnFormula>IF(VLOOKUP(all_lmics18[[Setting]:[Setting]],all_cause_mort[],9,FALSE)="",VLOOKUP(all_lmics18[[who_choice_region]:[who_choice_region]],missing[],13,FALSE),VLOOKUP(all_lmics18[[Setting]:[Setting]],all_cause_mort[],9,FALSE))</calculatedColumnFormula>
    </tableColumn>
    <tableColumn id="23" name="mu_2529" dataDxfId="137">
      <calculatedColumnFormula>IF(VLOOKUP(all_lmics18[[Setting]:[Setting]],all_cause_mort[],10,FALSE)="",VLOOKUP(all_lmics18[[who_choice_region]:[who_choice_region]],missing[],14,FALSE),VLOOKUP(all_lmics18[[Setting]:[Setting]],all_cause_mort[],10,FALSE))</calculatedColumnFormula>
    </tableColumn>
    <tableColumn id="24" name="mu_3034" dataDxfId="136">
      <calculatedColumnFormula>IF(VLOOKUP(all_lmics18[[Setting]:[Setting]],all_cause_mort[],11,FALSE)="",VLOOKUP(all_lmics18[[who_choice_region]:[who_choice_region]],missing[],15,FALSE),VLOOKUP(all_lmics18[[Setting]:[Setting]],all_cause_mort[],11,FALSE))</calculatedColumnFormula>
    </tableColumn>
    <tableColumn id="25" name="mu_3539" dataDxfId="135">
      <calculatedColumnFormula>IF(VLOOKUP(all_lmics18[[Setting]:[Setting]],all_cause_mort[],12,FALSE)="",VLOOKUP(all_lmics18[[who_choice_region]:[who_choice_region]],missing[],16,FALSE),VLOOKUP(all_lmics18[[Setting]:[Setting]],all_cause_mort[],12,FALSE))</calculatedColumnFormula>
    </tableColumn>
    <tableColumn id="26" name="mu_4044" dataDxfId="134">
      <calculatedColumnFormula>IF(VLOOKUP(all_lmics18[[Setting]:[Setting]],all_cause_mort[],13,FALSE)="",VLOOKUP(all_lmics18[[who_choice_region]:[who_choice_region]],missing[],17,FALSE),VLOOKUP(all_lmics18[[Setting]:[Setting]],all_cause_mort[],13,FALSE))</calculatedColumnFormula>
    </tableColumn>
    <tableColumn id="27" name="mu_4549" dataDxfId="133">
      <calculatedColumnFormula>IF(VLOOKUP(all_lmics18[[Setting]:[Setting]],all_cause_mort[],14,FALSE)="",VLOOKUP(all_lmics18[[who_choice_region]:[who_choice_region]],missing[],18,FALSE),VLOOKUP(all_lmics18[[Setting]:[Setting]],all_cause_mort[],14,FALSE))</calculatedColumnFormula>
    </tableColumn>
    <tableColumn id="28" name="mu_5054" dataDxfId="132">
      <calculatedColumnFormula>IF(VLOOKUP(all_lmics18[[Setting]:[Setting]],all_cause_mort[],15,FALSE)="",VLOOKUP(all_lmics18[[who_choice_region]:[who_choice_region]],missing[],19,FALSE),VLOOKUP(all_lmics18[[Setting]:[Setting]],all_cause_mort[],15,FALSE))</calculatedColumnFormula>
    </tableColumn>
    <tableColumn id="29" name="mu_5559" dataDxfId="131">
      <calculatedColumnFormula>IF(VLOOKUP(all_lmics18[[Setting]:[Setting]],all_cause_mort[],16,FALSE)="",VLOOKUP(all_lmics18[[who_choice_region]:[who_choice_region]],missing[],20,FALSE),VLOOKUP(all_lmics18[[Setting]:[Setting]],all_cause_mort[],16,FALSE))</calculatedColumnFormula>
    </tableColumn>
    <tableColumn id="30" name="mu_6064" dataDxfId="130">
      <calculatedColumnFormula>IF(VLOOKUP(all_lmics18[[Setting]:[Setting]],all_cause_mort[],17,FALSE)="",VLOOKUP(all_lmics18[[who_choice_region]:[who_choice_region]],missing[],21,FALSE),VLOOKUP(all_lmics18[[Setting]:[Setting]],all_cause_mort[],17,FALSE))</calculatedColumnFormula>
    </tableColumn>
    <tableColumn id="31" name="mu_6569" dataDxfId="129">
      <calculatedColumnFormula>IF(VLOOKUP(all_lmics18[[Setting]:[Setting]],all_cause_mort[],18,FALSE)="",VLOOKUP(all_lmics18[[who_choice_region]:[who_choice_region]],missing[],22,FALSE),VLOOKUP(all_lmics18[[Setting]:[Setting]],all_cause_mort[],18,FALSE))</calculatedColumnFormula>
    </tableColumn>
    <tableColumn id="32" name="mu_7074" dataDxfId="128">
      <calculatedColumnFormula>IF(VLOOKUP(all_lmics18[[Setting]:[Setting]],all_cause_mort[],19,FALSE)="",VLOOKUP(all_lmics18[[who_choice_region]:[who_choice_region]],missing[],23,FALSE),VLOOKUP(all_lmics18[[Setting]:[Setting]],all_cause_mort[],19,FALSE))</calculatedColumnFormula>
    </tableColumn>
    <tableColumn id="33" name="mu_7579" dataDxfId="127">
      <calculatedColumnFormula>IF(VLOOKUP(all_lmics18[[Setting]:[Setting]],all_cause_mort[],20,FALSE)="",VLOOKUP(all_lmics18[[who_choice_region]:[who_choice_region]],missing[],24,FALSE),VLOOKUP(all_lmics18[[Setting]:[Setting]],all_cause_mort[],20,FALSE))</calculatedColumnFormula>
    </tableColumn>
    <tableColumn id="34" name="mu_8084" dataDxfId="126">
      <calculatedColumnFormula>IF(VLOOKUP(all_lmics18[[Setting]:[Setting]],all_cause_mort[],21,FALSE)="",VLOOKUP(all_lmics18[[who_choice_region]:[who_choice_region]],missing[],25,FALSE),VLOOKUP(all_lmics18[[Setting]:[Setting]],all_cause_mort[],21,FALSE))</calculatedColumnFormula>
    </tableColumn>
    <tableColumn id="35" name="mu_8589" dataDxfId="125">
      <calculatedColumnFormula>IF(VLOOKUP(all_lmics18[[Setting]:[Setting]],all_cause_mort[],22,FALSE)="",VLOOKUP(all_lmics18[[who_choice_region]:[who_choice_region]],missing[],26,FALSE),VLOOKUP(all_lmics18[[Setting]:[Setting]],all_cause_mort[],22,FALSE))</calculatedColumnFormula>
    </tableColumn>
    <tableColumn id="36" name="mu_9094" dataDxfId="124">
      <calculatedColumnFormula>IF(VLOOKUP(all_lmics18[[Setting]:[Setting]],all_cause_mort[],23,FALSE)="",VLOOKUP(all_lmics18[[who_choice_region]:[who_choice_region]],missing[],27,FALSE),VLOOKUP(all_lmics18[[Setting]:[Setting]],all_cause_mort[],23,FALSE))</calculatedColumnFormula>
    </tableColumn>
    <tableColumn id="37" name="mu_9599" dataDxfId="123">
      <calculatedColumnFormula>IF(VLOOKUP(all_lmics18[[Setting]:[Setting]],all_cause_mort[],24,FALSE)="",VLOOKUP(all_lmics18[[who_choice_region]:[who_choice_region]],missing[],28,FALSE),VLOOKUP(all_lmics18[[Setting]:[Setting]],all_cause_mort[],24,FALSE))</calculatedColumnFormula>
    </tableColumn>
    <tableColumn id="38" name="mu_100" dataDxfId="122">
      <calculatedColumnFormula>IF(VLOOKUP(all_lmics18[[Setting]:[Setting]],all_cause_mort[],25,FALSE)="",VLOOKUP(all_lmics18[[who_choice_region]:[who_choice_region]],missing[],29,FALSE),VLOOKUP(all_lmics18[[Setting]:[Setting]],all_cause_mort[],25,FALSE))</calculatedColumnFormula>
    </tableColumn>
    <tableColumn id="39" name="c_A" dataDxfId="121">
      <calculatedColumnFormula>VLOOKUP(all_lmics18[[worldbank_region]:[worldbank_region]],Table13[],2,FALSE)</calculatedColumnFormula>
    </tableColumn>
    <tableColumn id="40" name="c_C" dataDxfId="120">
      <calculatedColumnFormula>VLOOKUP(all_lmics18[[worldbank_region]:[worldbank_region]],Table13[],3,FALSE)</calculatedColumnFormula>
    </tableColumn>
    <tableColumn id="41" name="c_CC" dataDxfId="119">
      <calculatedColumnFormula>VLOOKUP(all_lmics18[[worldbank_region]:[worldbank_region]],Table13[],4,FALSE)</calculatedColumnFormula>
    </tableColumn>
    <tableColumn id="42" name="c_DC" dataDxfId="118">
      <calculatedColumnFormula>VLOOKUP(all_lmics18[[worldbank_region]:[worldbank_region]],Table13[],5,FALSE)</calculatedColumnFormula>
    </tableColumn>
    <tableColumn id="43" name="c_HCC" dataDxfId="117">
      <calculatedColumnFormula>VLOOKUP(all_lmics18[[worldbank_region]:[worldbank_region]],Table13[],6,FALSE)</calculatedColumnFormula>
    </tableColumn>
    <tableColumn id="44" name="fac_cc" dataDxfId="116">
      <calculatedColumnFormula>VLOOKUP(all_lmics18[[worldbank_region]:[worldbank_region]],Table14[],2,FALSE)</calculatedColumnFormula>
    </tableColumn>
    <tableColumn id="45" name="fac_ctc" dataDxfId="115">
      <calculatedColumnFormula>VLOOKUP(all_lmics18[[worldbank_region]:[worldbank_region]],Table14[],3,FALSE)</calculatedColumnFormula>
    </tableColumn>
    <tableColumn id="46" name="com_cc" dataDxfId="114">
      <calculatedColumnFormula>VLOOKUP(all_lmics18[[worldbank_region]:[worldbank_region]],Table14[],4,FALSE)</calculatedColumnFormula>
    </tableColumn>
    <tableColumn id="47" name="com_ctc" dataDxfId="113">
      <calculatedColumnFormula>VLOOKUP(all_lmics18[[worldbank_region]:[worldbank_region]],Table14[],5,FALSE)</calculatedColumnFormula>
    </tableColumn>
    <tableColumn id="48" name="com_cpad" dataDxfId="112">
      <calculatedColumnFormula>VLOOKUP(all_lmics18[[worldbank_region]:[worldbank_region]],Table14[],6,FALSE)</calculatedColumnFormula>
    </tableColumn>
    <tableColumn id="49" name="SBA_nfac" dataDxfId="111">
      <calculatedColumnFormula>IFERROR(VLOOKUP(all_lmics18[[Setting]:[Setting]],nFacSBA[],4,FALSE),VLOOKUP(all_lmics18[[who_choice_region]:[who_choice_region]],missing[],30,FALSE))</calculatedColumnFormula>
    </tableColumn>
    <tableColumn id="50" name="hbe_prev" dataDxfId="110">
      <calculatedColumnFormula>VLOOKUP(all_lmics18[[worldbank_region]:[worldbank_region]],hbe[],2)</calculatedColumnFormula>
    </tableColumn>
    <tableColumn id="51" name="hbe_risk" dataDxfId="109">
      <calculatedColumnFormula>VLOOKUP(all_lmics18[[worldbank_region]:[worldbank_region]],hbe[],5)</calculatedColumnFormula>
    </tableColumn>
    <tableColumn id="52" name="n_hbe_risk" dataDxfId="108">
      <calculatedColumnFormula>VLOOKUP(all_lmics18[[worldbank_region]:[worldbank_region]],hbe[],8)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all_lmics1819" displayName="all_lmics1819" ref="A1:AY88" totalsRowShown="0" tableBorderDxfId="107">
  <autoFilter ref="A1:AY88"/>
  <sortState ref="A2:AY88">
    <sortCondition ref="A1:A88"/>
  </sortState>
  <tableColumns count="51">
    <tableColumn id="1" name="Setting" dataDxfId="106"/>
    <tableColumn id="3" name="who_choice_region" dataDxfId="105"/>
    <tableColumn id="4" name="worldbank_region" dataDxfId="104"/>
    <tableColumn id="5" name="2017_population" dataDxfId="103">
      <calculatedColumnFormula>VLOOKUP(all_lmics1819[[Setting]:[Setting]],populations[],9,FALSE)</calculatedColumnFormula>
    </tableColumn>
    <tableColumn id="6" name="2016_birthrate">
      <calculatedColumnFormula>VLOOKUP(all_lmics1819[[Setting]:[Setting]],birthrate[],3,FALSE)</calculatedColumnFormula>
    </tableColumn>
    <tableColumn id="7" name="2017_births" dataDxfId="102">
      <calculatedColumnFormula>all_lmics1819[[#This Row],[2017_population]]*all_lmics1819[[#This Row],[2016_birthrate]]</calculatedColumnFormula>
    </tableColumn>
    <tableColumn id="8" name="birth_dose" dataDxfId="101">
      <calculatedColumnFormula>VLOOKUP(all_lmics1819[[Setting]:[Setting]],birthdose[],4,FALSE)*0.95</calculatedColumnFormula>
    </tableColumn>
    <tableColumn id="9" name="HBV3" dataDxfId="100">
      <calculatedColumnFormula>VLOOKUP(all_lmics1819[[Setting]:[Setting]],fullvax[],4,FALSE)*0.95</calculatedColumnFormula>
    </tableColumn>
    <tableColumn id="10" name="prev" dataDxfId="99">
      <calculatedColumnFormula>IFERROR(VLOOKUP(all_lmics1819[[Setting]:[Setting]],prev[],3,FALSE),VLOOKUP(all_lmics1819[[who_choice_region]:[who_choice_region]],missing[],2,FALSE))</calculatedColumnFormula>
    </tableColumn>
    <tableColumn id="11" name="prev_lb" dataDxfId="98">
      <calculatedColumnFormula>IFERROR(VLOOKUP(all_lmics1819[[Setting]:[Setting]],prev[],4,FALSE),VLOOKUP(all_lmics1819[[who_choice_region]:[who_choice_region]],missing[],3,FALSE))</calculatedColumnFormula>
    </tableColumn>
    <tableColumn id="12" name="prev_ub" dataDxfId="97">
      <calculatedColumnFormula>IFERROR(VLOOKUP(all_lmics1819[[Setting]:[Setting]],prev[],5,FALSE),VLOOKUP(all_lmics1819[[who_choice_region]:[who_choice_region]],missing[],4,FALSE))</calculatedColumnFormula>
    </tableColumn>
    <tableColumn id="13" name="sigma" dataDxfId="96">
      <calculatedColumnFormula>IFERROR(VLOOKUP(all_lmics1819[[Setting]:[Setting]],prev[],7,FALSE),VLOOKUP(all_lmics1819[[who_choice_region]:[who_choice_region]],missing[],5,FALSE))</calculatedColumnFormula>
    </tableColumn>
    <tableColumn id="14" name="prev_pop" dataDxfId="95">
      <calculatedColumnFormula>IFERROR(VLOOKUP(all_lmics1819[[Setting]:[Setting]],prev[],6,FALSE),0)</calculatedColumnFormula>
    </tableColumn>
    <tableColumn id="15" name="SBA" dataDxfId="94">
      <calculatedColumnFormula>IFERROR(VLOOKUP(all_lmics1819[[Setting]:[Setting]],SBA[],4,FALSE),VLOOKUP(all_lmics1819[[who_choice_region]:[who_choice_region]],missing[],6,FALSE))*0.95</calculatedColumnFormula>
    </tableColumn>
    <tableColumn id="16" name="Facility" dataDxfId="93">
      <calculatedColumnFormula>IFERROR(VLOOKUP(all_lmics1819[[Setting]:[Setting]], facility[], 3,FALSE),VLOOKUP(all_lmics1819[[who_choice_region]:[who_choice_region]],missing[],7,FALSE))*0.95</calculatedColumnFormula>
    </tableColumn>
    <tableColumn id="17" name="mu_01" dataDxfId="92">
      <calculatedColumnFormula>IF(VLOOKUP(all_lmics1819[[Setting]:[Setting]],all_cause_mort[],4,FALSE)="",VLOOKUP(all_lmics1819[[who_choice_region]:[who_choice_region]],missing[],8,FALSE),VLOOKUP(all_lmics1819[[Setting]:[Setting]],all_cause_mort[],4,FALSE))*0.95</calculatedColumnFormula>
    </tableColumn>
    <tableColumn id="18" name="mu_14" dataDxfId="91">
      <calculatedColumnFormula>IF(VLOOKUP(all_lmics1819[[Setting]:[Setting]],all_cause_mort[],5,FALSE)="",VLOOKUP(all_lmics1819[[who_choice_region]:[who_choice_region]],missing[],9,FALSE),VLOOKUP(all_lmics1819[[Setting]:[Setting]],all_cause_mort[],5,FALSE))*0.95</calculatedColumnFormula>
    </tableColumn>
    <tableColumn id="19" name="mu_59" dataDxfId="90">
      <calculatedColumnFormula>IF(VLOOKUP(all_lmics1819[[Setting]:[Setting]],all_cause_mort[],6,FALSE)="",VLOOKUP(all_lmics1819[[who_choice_region]:[who_choice_region]],missing[],10,FALSE),VLOOKUP(all_lmics1819[[Setting]:[Setting]],all_cause_mort[],6,FALSE))*0.95</calculatedColumnFormula>
    </tableColumn>
    <tableColumn id="20" name="mu_1014" dataDxfId="89">
      <calculatedColumnFormula>IF(VLOOKUP(all_lmics1819[[Setting]:[Setting]],all_cause_mort[],7,FALSE)="",VLOOKUP(all_lmics1819[[who_choice_region]:[who_choice_region]],missing[],11,FALSE),VLOOKUP(all_lmics1819[[Setting]:[Setting]],all_cause_mort[],7,FALSE))*0.95</calculatedColumnFormula>
    </tableColumn>
    <tableColumn id="21" name="mu_1519" dataDxfId="88">
      <calculatedColumnFormula>IF(VLOOKUP(all_lmics1819[[Setting]:[Setting]],all_cause_mort[],8,FALSE)="",VLOOKUP(all_lmics1819[[who_choice_region]:[who_choice_region]],missing[],12,FALSE),VLOOKUP(all_lmics1819[[Setting]:[Setting]],all_cause_mort[],8,FALSE))*0.95</calculatedColumnFormula>
    </tableColumn>
    <tableColumn id="22" name="mu_2024" dataDxfId="87">
      <calculatedColumnFormula>IF(VLOOKUP(all_lmics1819[[Setting]:[Setting]],all_cause_mort[],9,FALSE)="",VLOOKUP(all_lmics1819[[who_choice_region]:[who_choice_region]],missing[],13,FALSE),VLOOKUP(all_lmics1819[[Setting]:[Setting]],all_cause_mort[],9,FALSE))*0.95</calculatedColumnFormula>
    </tableColumn>
    <tableColumn id="23" name="mu_2529" dataDxfId="86">
      <calculatedColumnFormula>IF(VLOOKUP(all_lmics1819[[Setting]:[Setting]],all_cause_mort[],10,FALSE)="",VLOOKUP(all_lmics1819[[who_choice_region]:[who_choice_region]],missing[],14,FALSE),VLOOKUP(all_lmics1819[[Setting]:[Setting]],all_cause_mort[],10,FALSE))*0.95</calculatedColumnFormula>
    </tableColumn>
    <tableColumn id="24" name="mu_3034" dataDxfId="85">
      <calculatedColumnFormula>IF(VLOOKUP(all_lmics1819[[Setting]:[Setting]],all_cause_mort[],11,FALSE)="",VLOOKUP(all_lmics1819[[who_choice_region]:[who_choice_region]],missing[],15,FALSE),VLOOKUP(all_lmics1819[[Setting]:[Setting]],all_cause_mort[],11,FALSE))*0.95</calculatedColumnFormula>
    </tableColumn>
    <tableColumn id="25" name="mu_3539" dataDxfId="84">
      <calculatedColumnFormula>IF(VLOOKUP(all_lmics1819[[Setting]:[Setting]],all_cause_mort[],12,FALSE)="",VLOOKUP(all_lmics1819[[who_choice_region]:[who_choice_region]],missing[],16,FALSE),VLOOKUP(all_lmics1819[[Setting]:[Setting]],all_cause_mort[],12,FALSE))*0.95</calculatedColumnFormula>
    </tableColumn>
    <tableColumn id="26" name="mu_4044" dataDxfId="83">
      <calculatedColumnFormula>IF(VLOOKUP(all_lmics1819[[Setting]:[Setting]],all_cause_mort[],13,FALSE)="",VLOOKUP(all_lmics1819[[who_choice_region]:[who_choice_region]],missing[],17,FALSE),VLOOKUP(all_lmics1819[[Setting]:[Setting]],all_cause_mort[],13,FALSE))*0.95</calculatedColumnFormula>
    </tableColumn>
    <tableColumn id="27" name="mu_4549" dataDxfId="82">
      <calculatedColumnFormula>IF(VLOOKUP(all_lmics1819[[Setting]:[Setting]],all_cause_mort[],14,FALSE)="",VLOOKUP(all_lmics1819[[who_choice_region]:[who_choice_region]],missing[],18,FALSE),VLOOKUP(all_lmics1819[[Setting]:[Setting]],all_cause_mort[],14,FALSE))*0.95</calculatedColumnFormula>
    </tableColumn>
    <tableColumn id="28" name="mu_5054" dataDxfId="81">
      <calculatedColumnFormula>IF(VLOOKUP(all_lmics1819[[Setting]:[Setting]],all_cause_mort[],15,FALSE)="",VLOOKUP(all_lmics1819[[who_choice_region]:[who_choice_region]],missing[],19,FALSE),VLOOKUP(all_lmics1819[[Setting]:[Setting]],all_cause_mort[],15,FALSE))*0.95</calculatedColumnFormula>
    </tableColumn>
    <tableColumn id="29" name="mu_5559" dataDxfId="80">
      <calculatedColumnFormula>IF(VLOOKUP(all_lmics1819[[Setting]:[Setting]],all_cause_mort[],16,FALSE)="",VLOOKUP(all_lmics1819[[who_choice_region]:[who_choice_region]],missing[],20,FALSE),VLOOKUP(all_lmics1819[[Setting]:[Setting]],all_cause_mort[],16,FALSE))*0.95</calculatedColumnFormula>
    </tableColumn>
    <tableColumn id="30" name="mu_6064" dataDxfId="79">
      <calculatedColumnFormula>IF(VLOOKUP(all_lmics1819[[Setting]:[Setting]],all_cause_mort[],17,FALSE)="",VLOOKUP(all_lmics1819[[who_choice_region]:[who_choice_region]],missing[],21,FALSE),VLOOKUP(all_lmics1819[[Setting]:[Setting]],all_cause_mort[],17,FALSE))*0.95</calculatedColumnFormula>
    </tableColumn>
    <tableColumn id="31" name="mu_6569" dataDxfId="78">
      <calculatedColumnFormula>IF(VLOOKUP(all_lmics1819[[Setting]:[Setting]],all_cause_mort[],18,FALSE)="",VLOOKUP(all_lmics1819[[who_choice_region]:[who_choice_region]],missing[],22,FALSE),VLOOKUP(all_lmics1819[[Setting]:[Setting]],all_cause_mort[],18,FALSE))*0.95</calculatedColumnFormula>
    </tableColumn>
    <tableColumn id="32" name="mu_7074" dataDxfId="77">
      <calculatedColumnFormula>IF(VLOOKUP(all_lmics1819[[Setting]:[Setting]],all_cause_mort[],19,FALSE)="",VLOOKUP(all_lmics1819[[who_choice_region]:[who_choice_region]],missing[],23,FALSE),VLOOKUP(all_lmics1819[[Setting]:[Setting]],all_cause_mort[],19,FALSE))*0.95</calculatedColumnFormula>
    </tableColumn>
    <tableColumn id="33" name="mu_7579" dataDxfId="76">
      <calculatedColumnFormula>IF(VLOOKUP(all_lmics1819[[Setting]:[Setting]],all_cause_mort[],20,FALSE)="",VLOOKUP(all_lmics1819[[who_choice_region]:[who_choice_region]],missing[],24,FALSE),VLOOKUP(all_lmics1819[[Setting]:[Setting]],all_cause_mort[],20,FALSE))*0.95</calculatedColumnFormula>
    </tableColumn>
    <tableColumn id="34" name="mu_8084" dataDxfId="75">
      <calculatedColumnFormula>IF(VLOOKUP(all_lmics1819[[Setting]:[Setting]],all_cause_mort[],21,FALSE)="",VLOOKUP(all_lmics1819[[who_choice_region]:[who_choice_region]],missing[],25,FALSE),VLOOKUP(all_lmics1819[[Setting]:[Setting]],all_cause_mort[],21,FALSE))*0.95</calculatedColumnFormula>
    </tableColumn>
    <tableColumn id="35" name="mu_8589" dataDxfId="74">
      <calculatedColumnFormula>IF(VLOOKUP(all_lmics1819[[Setting]:[Setting]],all_cause_mort[],22,FALSE)="",VLOOKUP(all_lmics1819[[who_choice_region]:[who_choice_region]],missing[],26,FALSE),VLOOKUP(all_lmics1819[[Setting]:[Setting]],all_cause_mort[],22,FALSE))*0.95</calculatedColumnFormula>
    </tableColumn>
    <tableColumn id="36" name="mu_9094" dataDxfId="73">
      <calculatedColumnFormula>IF(VLOOKUP(all_lmics1819[[Setting]:[Setting]],all_cause_mort[],23,FALSE)="",VLOOKUP(all_lmics1819[[who_choice_region]:[who_choice_region]],missing[],27,FALSE),VLOOKUP(all_lmics1819[[Setting]:[Setting]],all_cause_mort[],23,FALSE))*0.95</calculatedColumnFormula>
    </tableColumn>
    <tableColumn id="37" name="mu_9599" dataDxfId="72">
      <calculatedColumnFormula>IF(VLOOKUP(all_lmics1819[[Setting]:[Setting]],all_cause_mort[],24,FALSE)="",VLOOKUP(all_lmics1819[[who_choice_region]:[who_choice_region]],missing[],28,FALSE),VLOOKUP(all_lmics1819[[Setting]:[Setting]],all_cause_mort[],24,FALSE))*0.95</calculatedColumnFormula>
    </tableColumn>
    <tableColumn id="38" name="mu_100" dataDxfId="71">
      <calculatedColumnFormula>IF(VLOOKUP(all_lmics1819[[Setting]:[Setting]],all_cause_mort[],25,FALSE)="",VLOOKUP(all_lmics1819[[who_choice_region]:[who_choice_region]],missing[],29,FALSE),VLOOKUP(all_lmics1819[[Setting]:[Setting]],all_cause_mort[],25,FALSE))*0.95</calculatedColumnFormula>
    </tableColumn>
    <tableColumn id="39" name="c_A" dataDxfId="70">
      <calculatedColumnFormula>VLOOKUP(all_lmics1819[[worldbank_region]:[worldbank_region]],Table13[],2,FALSE)*0.95</calculatedColumnFormula>
    </tableColumn>
    <tableColumn id="40" name="c_C" dataDxfId="69">
      <calculatedColumnFormula>VLOOKUP(all_lmics1819[[worldbank_region]:[worldbank_region]],Table13[],3,FALSE)*0.95</calculatedColumnFormula>
    </tableColumn>
    <tableColumn id="41" name="c_CC" dataDxfId="68">
      <calculatedColumnFormula>VLOOKUP(all_lmics1819[[worldbank_region]:[worldbank_region]],Table13[],4,FALSE)*0.95</calculatedColumnFormula>
    </tableColumn>
    <tableColumn id="42" name="c_DC" dataDxfId="67">
      <calculatedColumnFormula>VLOOKUP(all_lmics1819[[worldbank_region]:[worldbank_region]],Table13[],5,FALSE)*0.95</calculatedColumnFormula>
    </tableColumn>
    <tableColumn id="43" name="c_HCC" dataDxfId="66">
      <calculatedColumnFormula>VLOOKUP(all_lmics1819[[worldbank_region]:[worldbank_region]],Table13[],6,FALSE)*0.95</calculatedColumnFormula>
    </tableColumn>
    <tableColumn id="44" name="fac_cc" dataDxfId="65">
      <calculatedColumnFormula>VLOOKUP(all_lmics1819[[worldbank_region]:[worldbank_region]],Table14[],2,FALSE)*0.95</calculatedColumnFormula>
    </tableColumn>
    <tableColumn id="45" name="fac_ctc" dataDxfId="64">
      <calculatedColumnFormula>VLOOKUP(all_lmics1819[[worldbank_region]:[worldbank_region]],Table14[],3,FALSE)*0.95</calculatedColumnFormula>
    </tableColumn>
    <tableColumn id="46" name="com_cc" dataDxfId="63">
      <calculatedColumnFormula>VLOOKUP(all_lmics1819[[worldbank_region]:[worldbank_region]],Table14[],4,FALSE)*0.95</calculatedColumnFormula>
    </tableColumn>
    <tableColumn id="47" name="com_ctc" dataDxfId="62">
      <calculatedColumnFormula>VLOOKUP(all_lmics1819[[worldbank_region]:[worldbank_region]],Table14[],5,FALSE)*0.95</calculatedColumnFormula>
    </tableColumn>
    <tableColumn id="48" name="com_cpad" dataDxfId="61">
      <calculatedColumnFormula>VLOOKUP(all_lmics1819[[worldbank_region]:[worldbank_region]],Table14[],6,FALSE)*0.95</calculatedColumnFormula>
    </tableColumn>
    <tableColumn id="49" name="SBA_nfac" dataDxfId="60">
      <calculatedColumnFormula>IFERROR(VLOOKUP(all_lmics1819[[Setting]:[Setting]],nFacSBA[],4,FALSE),VLOOKUP(all_lmics1819[[who_choice_region]:[who_choice_region]],missing[],30,FALSE))*0.95</calculatedColumnFormula>
    </tableColumn>
    <tableColumn id="50" name="hbe_prev" dataDxfId="59">
      <calculatedColumnFormula>VLOOKUP(all_lmics1819[[worldbank_region]:[worldbank_region]],hbe[],3)</calculatedColumnFormula>
    </tableColumn>
    <tableColumn id="51" name="hbe_risk" dataDxfId="58">
      <calculatedColumnFormula>VLOOKUP(all_lmics1819[[worldbank_region]:[worldbank_region]],hbe[],6)</calculatedColumnFormula>
    </tableColumn>
    <tableColumn id="52" name="n_hbe_risk" dataDxfId="57">
      <calculatedColumnFormula>VLOOKUP(all_lmics1819[[worldbank_region]:[worldbank_region]],hbe[],9)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all_lmics181920" displayName="all_lmics181920" ref="A1:AY88" totalsRowShown="0" tableBorderDxfId="56">
  <autoFilter ref="A1:AY88"/>
  <sortState ref="A2:AY88">
    <sortCondition ref="A1:A88"/>
  </sortState>
  <tableColumns count="51">
    <tableColumn id="1" name="Setting" dataDxfId="55"/>
    <tableColumn id="3" name="who_choice_region" dataDxfId="54"/>
    <tableColumn id="4" name="worldbank_region" dataDxfId="53"/>
    <tableColumn id="5" name="2017_population" dataDxfId="52">
      <calculatedColumnFormula>VLOOKUP(all_lmics181920[[Setting]:[Setting]],populations[],9,FALSE)</calculatedColumnFormula>
    </tableColumn>
    <tableColumn id="6" name="2016_birthrate">
      <calculatedColumnFormula>VLOOKUP(all_lmics181920[[Setting]:[Setting]],birthrate[],3,FALSE)</calculatedColumnFormula>
    </tableColumn>
    <tableColumn id="7" name="2017_births" dataDxfId="51">
      <calculatedColumnFormula>all_lmics181920[[#This Row],[2017_population]]*all_lmics181920[[#This Row],[2016_birthrate]]</calculatedColumnFormula>
    </tableColumn>
    <tableColumn id="8" name="birth_dose" dataDxfId="50">
      <calculatedColumnFormula>MIN(VLOOKUP(all_lmics181920[[Setting]:[Setting]],birthdose[],4,FALSE)*1.05,0.9999)</calculatedColumnFormula>
    </tableColumn>
    <tableColumn id="9" name="HBV3" dataDxfId="49">
      <calculatedColumnFormula>MIN(VLOOKUP(all_lmics181920[[Setting]:[Setting]],fullvax[],4,FALSE)*1.05,0.9999)</calculatedColumnFormula>
    </tableColumn>
    <tableColumn id="10" name="prev" dataDxfId="48">
      <calculatedColumnFormula>IFERROR(VLOOKUP(all_lmics181920[[Setting]:[Setting]],prev[],3,FALSE),VLOOKUP(all_lmics181920[[who_choice_region]:[who_choice_region]],missing[],2,FALSE))</calculatedColumnFormula>
    </tableColumn>
    <tableColumn id="11" name="prev_lb" dataDxfId="47">
      <calculatedColumnFormula>IFERROR(VLOOKUP(all_lmics181920[[Setting]:[Setting]],prev[],4,FALSE),VLOOKUP(all_lmics181920[[who_choice_region]:[who_choice_region]],missing[],3,FALSE))</calculatedColumnFormula>
    </tableColumn>
    <tableColumn id="12" name="prev_ub" dataDxfId="46">
      <calculatedColumnFormula>IFERROR(VLOOKUP(all_lmics181920[[Setting]:[Setting]],prev[],5,FALSE),VLOOKUP(all_lmics181920[[who_choice_region]:[who_choice_region]],missing[],4,FALSE))</calculatedColumnFormula>
    </tableColumn>
    <tableColumn id="13" name="sigma" dataDxfId="45">
      <calculatedColumnFormula>IFERROR(VLOOKUP(all_lmics181920[[Setting]:[Setting]],prev[],7,FALSE),VLOOKUP(all_lmics181920[[who_choice_region]:[who_choice_region]],missing[],5,FALSE))</calculatedColumnFormula>
    </tableColumn>
    <tableColumn id="14" name="prev_pop" dataDxfId="44">
      <calculatedColumnFormula>IFERROR(VLOOKUP(all_lmics181920[[Setting]:[Setting]],prev[],6,FALSE),0)</calculatedColumnFormula>
    </tableColumn>
    <tableColumn id="15" name="SBA" dataDxfId="43">
      <calculatedColumnFormula>MIN(IFERROR(VLOOKUP(all_lmics181920[[Setting]:[Setting]],SBA[],4,FALSE),VLOOKUP(all_lmics181920[[who_choice_region]:[who_choice_region]],missing[],6,FALSE))*1.05, 0.9999)</calculatedColumnFormula>
    </tableColumn>
    <tableColumn id="16" name="Facility" dataDxfId="42">
      <calculatedColumnFormula>MIN(IFERROR(VLOOKUP(all_lmics181920[[Setting]:[Setting]], facility[], 3,FALSE),VLOOKUP(all_lmics181920[[who_choice_region]:[who_choice_region]],missing[],7,FALSE))*1.05, 0.9999)</calculatedColumnFormula>
    </tableColumn>
    <tableColumn id="17" name="mu_01" dataDxfId="41">
      <calculatedColumnFormula>IF(VLOOKUP(all_lmics181920[[Setting]:[Setting]],all_cause_mort[],4,FALSE)="",VLOOKUP(all_lmics181920[[who_choice_region]:[who_choice_region]],missing[],8,FALSE),VLOOKUP(all_lmics181920[[Setting]:[Setting]],all_cause_mort[],4,FALSE))*1.05</calculatedColumnFormula>
    </tableColumn>
    <tableColumn id="18" name="mu_14" dataDxfId="40">
      <calculatedColumnFormula>IF(VLOOKUP(all_lmics181920[[Setting]:[Setting]],all_cause_mort[],5,FALSE)="",VLOOKUP(all_lmics181920[[who_choice_region]:[who_choice_region]],missing[],9,FALSE),VLOOKUP(all_lmics181920[[Setting]:[Setting]],all_cause_mort[],5,FALSE))*1.05</calculatedColumnFormula>
    </tableColumn>
    <tableColumn id="19" name="mu_59" dataDxfId="39">
      <calculatedColumnFormula>IF(VLOOKUP(all_lmics181920[[Setting]:[Setting]],all_cause_mort[],6,FALSE)="",VLOOKUP(all_lmics181920[[who_choice_region]:[who_choice_region]],missing[],10,FALSE),VLOOKUP(all_lmics181920[[Setting]:[Setting]],all_cause_mort[],6,FALSE))*1.05</calculatedColumnFormula>
    </tableColumn>
    <tableColumn id="20" name="mu_1014" dataDxfId="38">
      <calculatedColumnFormula>IF(VLOOKUP(all_lmics181920[[Setting]:[Setting]],all_cause_mort[],7,FALSE)="",VLOOKUP(all_lmics181920[[who_choice_region]:[who_choice_region]],missing[],11,FALSE),VLOOKUP(all_lmics181920[[Setting]:[Setting]],all_cause_mort[],7,FALSE))*1.05</calculatedColumnFormula>
    </tableColumn>
    <tableColumn id="21" name="mu_1519" dataDxfId="37">
      <calculatedColumnFormula>IF(VLOOKUP(all_lmics181920[[Setting]:[Setting]],all_cause_mort[],8,FALSE)="",VLOOKUP(all_lmics181920[[who_choice_region]:[who_choice_region]],missing[],12,FALSE),VLOOKUP(all_lmics181920[[Setting]:[Setting]],all_cause_mort[],8,FALSE))*1.05</calculatedColumnFormula>
    </tableColumn>
    <tableColumn id="22" name="mu_2024" dataDxfId="36">
      <calculatedColumnFormula>IF(VLOOKUP(all_lmics181920[[Setting]:[Setting]],all_cause_mort[],9,FALSE)="",VLOOKUP(all_lmics181920[[who_choice_region]:[who_choice_region]],missing[],13,FALSE),VLOOKUP(all_lmics181920[[Setting]:[Setting]],all_cause_mort[],9,FALSE))*1.05</calculatedColumnFormula>
    </tableColumn>
    <tableColumn id="23" name="mu_2529" dataDxfId="35">
      <calculatedColumnFormula>IF(VLOOKUP(all_lmics181920[[Setting]:[Setting]],all_cause_mort[],10,FALSE)="",VLOOKUP(all_lmics181920[[who_choice_region]:[who_choice_region]],missing[],14,FALSE),VLOOKUP(all_lmics181920[[Setting]:[Setting]],all_cause_mort[],10,FALSE))*1.05</calculatedColumnFormula>
    </tableColumn>
    <tableColumn id="24" name="mu_3034" dataDxfId="34">
      <calculatedColumnFormula>IF(VLOOKUP(all_lmics181920[[Setting]:[Setting]],all_cause_mort[],11,FALSE)="",VLOOKUP(all_lmics181920[[who_choice_region]:[who_choice_region]],missing[],15,FALSE),VLOOKUP(all_lmics181920[[Setting]:[Setting]],all_cause_mort[],11,FALSE))*1.05</calculatedColumnFormula>
    </tableColumn>
    <tableColumn id="25" name="mu_3539" dataDxfId="33">
      <calculatedColumnFormula>IF(VLOOKUP(all_lmics181920[[Setting]:[Setting]],all_cause_mort[],12,FALSE)="",VLOOKUP(all_lmics181920[[who_choice_region]:[who_choice_region]],missing[],16,FALSE),VLOOKUP(all_lmics181920[[Setting]:[Setting]],all_cause_mort[],12,FALSE))*1.05</calculatedColumnFormula>
    </tableColumn>
    <tableColumn id="26" name="mu_4044" dataDxfId="32">
      <calculatedColumnFormula>IF(VLOOKUP(all_lmics181920[[Setting]:[Setting]],all_cause_mort[],13,FALSE)="",VLOOKUP(all_lmics181920[[who_choice_region]:[who_choice_region]],missing[],17,FALSE),VLOOKUP(all_lmics181920[[Setting]:[Setting]],all_cause_mort[],13,FALSE))*1.05</calculatedColumnFormula>
    </tableColumn>
    <tableColumn id="27" name="mu_4549" dataDxfId="31">
      <calculatedColumnFormula>IF(VLOOKUP(all_lmics181920[[Setting]:[Setting]],all_cause_mort[],14,FALSE)="",VLOOKUP(all_lmics181920[[who_choice_region]:[who_choice_region]],missing[],18,FALSE),VLOOKUP(all_lmics181920[[Setting]:[Setting]],all_cause_mort[],14,FALSE))*1.05</calculatedColumnFormula>
    </tableColumn>
    <tableColumn id="28" name="mu_5054" dataDxfId="30">
      <calculatedColumnFormula>IF(VLOOKUP(all_lmics181920[[Setting]:[Setting]],all_cause_mort[],15,FALSE)="",VLOOKUP(all_lmics181920[[who_choice_region]:[who_choice_region]],missing[],19,FALSE),VLOOKUP(all_lmics181920[[Setting]:[Setting]],all_cause_mort[],15,FALSE))*1.05</calculatedColumnFormula>
    </tableColumn>
    <tableColumn id="29" name="mu_5559" dataDxfId="29">
      <calculatedColumnFormula>IF(VLOOKUP(all_lmics181920[[Setting]:[Setting]],all_cause_mort[],16,FALSE)="",VLOOKUP(all_lmics181920[[who_choice_region]:[who_choice_region]],missing[],20,FALSE),VLOOKUP(all_lmics181920[[Setting]:[Setting]],all_cause_mort[],16,FALSE))*1.05</calculatedColumnFormula>
    </tableColumn>
    <tableColumn id="30" name="mu_6064" dataDxfId="28">
      <calculatedColumnFormula>IF(VLOOKUP(all_lmics181920[[Setting]:[Setting]],all_cause_mort[],17,FALSE)="",VLOOKUP(all_lmics181920[[who_choice_region]:[who_choice_region]],missing[],21,FALSE),VLOOKUP(all_lmics181920[[Setting]:[Setting]],all_cause_mort[],17,FALSE))*1.05</calculatedColumnFormula>
    </tableColumn>
    <tableColumn id="31" name="mu_6569" dataDxfId="27">
      <calculatedColumnFormula>IF(VLOOKUP(all_lmics181920[[Setting]:[Setting]],all_cause_mort[],18,FALSE)="",VLOOKUP(all_lmics181920[[who_choice_region]:[who_choice_region]],missing[],22,FALSE),VLOOKUP(all_lmics181920[[Setting]:[Setting]],all_cause_mort[],18,FALSE))*1.05</calculatedColumnFormula>
    </tableColumn>
    <tableColumn id="32" name="mu_7074" dataDxfId="26">
      <calculatedColumnFormula>IF(VLOOKUP(all_lmics181920[[Setting]:[Setting]],all_cause_mort[],19,FALSE)="",VLOOKUP(all_lmics181920[[who_choice_region]:[who_choice_region]],missing[],23,FALSE),VLOOKUP(all_lmics181920[[Setting]:[Setting]],all_cause_mort[],19,FALSE))*1.05</calculatedColumnFormula>
    </tableColumn>
    <tableColumn id="33" name="mu_7579" dataDxfId="25">
      <calculatedColumnFormula>IF(VLOOKUP(all_lmics181920[[Setting]:[Setting]],all_cause_mort[],20,FALSE)="",VLOOKUP(all_lmics181920[[who_choice_region]:[who_choice_region]],missing[],24,FALSE),VLOOKUP(all_lmics181920[[Setting]:[Setting]],all_cause_mort[],20,FALSE))*1.05</calculatedColumnFormula>
    </tableColumn>
    <tableColumn id="34" name="mu_8084" dataDxfId="24">
      <calculatedColumnFormula>IF(VLOOKUP(all_lmics181920[[Setting]:[Setting]],all_cause_mort[],21,FALSE)="",VLOOKUP(all_lmics181920[[who_choice_region]:[who_choice_region]],missing[],25,FALSE),VLOOKUP(all_lmics181920[[Setting]:[Setting]],all_cause_mort[],21,FALSE))*1.05</calculatedColumnFormula>
    </tableColumn>
    <tableColumn id="35" name="mu_8589" dataDxfId="23">
      <calculatedColumnFormula>IF(VLOOKUP(all_lmics181920[[Setting]:[Setting]],all_cause_mort[],22,FALSE)="",VLOOKUP(all_lmics181920[[who_choice_region]:[who_choice_region]],missing[],26,FALSE),VLOOKUP(all_lmics181920[[Setting]:[Setting]],all_cause_mort[],22,FALSE))*1.05</calculatedColumnFormula>
    </tableColumn>
    <tableColumn id="36" name="mu_9094" dataDxfId="22">
      <calculatedColumnFormula>IF(VLOOKUP(all_lmics181920[[Setting]:[Setting]],all_cause_mort[],23,FALSE)="",VLOOKUP(all_lmics181920[[who_choice_region]:[who_choice_region]],missing[],27,FALSE),VLOOKUP(all_lmics181920[[Setting]:[Setting]],all_cause_mort[],23,FALSE))*1.05</calculatedColumnFormula>
    </tableColumn>
    <tableColumn id="37" name="mu_9599" dataDxfId="21">
      <calculatedColumnFormula>IF(VLOOKUP(all_lmics181920[[Setting]:[Setting]],all_cause_mort[],24,FALSE)="",VLOOKUP(all_lmics181920[[who_choice_region]:[who_choice_region]],missing[],28,FALSE),VLOOKUP(all_lmics181920[[Setting]:[Setting]],all_cause_mort[],24,FALSE))*1.05</calculatedColumnFormula>
    </tableColumn>
    <tableColumn id="38" name="mu_100" dataDxfId="20">
      <calculatedColumnFormula>IF(VLOOKUP(all_lmics181920[[Setting]:[Setting]],all_cause_mort[],25,FALSE)="",VLOOKUP(all_lmics181920[[who_choice_region]:[who_choice_region]],missing[],29,FALSE),VLOOKUP(all_lmics181920[[Setting]:[Setting]],all_cause_mort[],25,FALSE))*1.05</calculatedColumnFormula>
    </tableColumn>
    <tableColumn id="39" name="c_A" dataDxfId="19">
      <calculatedColumnFormula>VLOOKUP(all_lmics181920[[worldbank_region]:[worldbank_region]],Table13[],2,FALSE)*1.05</calculatedColumnFormula>
    </tableColumn>
    <tableColumn id="40" name="c_C" dataDxfId="18">
      <calculatedColumnFormula>VLOOKUP(all_lmics181920[[worldbank_region]:[worldbank_region]],Table13[],3,FALSE)*1.05</calculatedColumnFormula>
    </tableColumn>
    <tableColumn id="41" name="c_CC" dataDxfId="17">
      <calculatedColumnFormula>VLOOKUP(all_lmics181920[[worldbank_region]:[worldbank_region]],Table13[],4,FALSE)*1.05</calculatedColumnFormula>
    </tableColumn>
    <tableColumn id="42" name="c_DC" dataDxfId="16">
      <calculatedColumnFormula>VLOOKUP(all_lmics181920[[worldbank_region]:[worldbank_region]],Table13[],5,FALSE)*1.05</calculatedColumnFormula>
    </tableColumn>
    <tableColumn id="43" name="c_HCC" dataDxfId="15">
      <calculatedColumnFormula>VLOOKUP(all_lmics181920[[worldbank_region]:[worldbank_region]],Table13[],6,FALSE)*1.05</calculatedColumnFormula>
    </tableColumn>
    <tableColumn id="44" name="fac_cc" dataDxfId="14">
      <calculatedColumnFormula>VLOOKUP(all_lmics181920[[worldbank_region]:[worldbank_region]],Table14[],2,FALSE)*1.05</calculatedColumnFormula>
    </tableColumn>
    <tableColumn id="45" name="fac_ctc" dataDxfId="13">
      <calculatedColumnFormula>VLOOKUP(all_lmics181920[[worldbank_region]:[worldbank_region]],Table14[],3,FALSE)*1.05</calculatedColumnFormula>
    </tableColumn>
    <tableColumn id="46" name="com_cc" dataDxfId="12">
      <calculatedColumnFormula>VLOOKUP(all_lmics181920[[worldbank_region]:[worldbank_region]],Table14[],4,FALSE)*1.05</calculatedColumnFormula>
    </tableColumn>
    <tableColumn id="47" name="com_ctc" dataDxfId="11">
      <calculatedColumnFormula>VLOOKUP(all_lmics181920[[worldbank_region]:[worldbank_region]],Table14[],5,FALSE)*1.05</calculatedColumnFormula>
    </tableColumn>
    <tableColumn id="48" name="com_cpad" dataDxfId="10">
      <calculatedColumnFormula>VLOOKUP(all_lmics181920[[worldbank_region]:[worldbank_region]],Table14[],6,FALSE)*1.05</calculatedColumnFormula>
    </tableColumn>
    <tableColumn id="49" name="SBA_nfac" dataDxfId="9">
      <calculatedColumnFormula>MIN(IFERROR(VLOOKUP(all_lmics181920[[Setting]:[Setting]],nFacSBA[],4,FALSE),VLOOKUP(all_lmics181920[[who_choice_region]:[who_choice_region]],missing[],30,FALSE))*1.05, 0.9999)</calculatedColumnFormula>
    </tableColumn>
    <tableColumn id="50" name="hbe_prev" dataDxfId="8">
      <calculatedColumnFormula>VLOOKUP(all_lmics181920[[worldbank_region]:[worldbank_region]],hbe[],4)</calculatedColumnFormula>
    </tableColumn>
    <tableColumn id="51" name="hbe_risk" dataDxfId="7">
      <calculatedColumnFormula>VLOOKUP(all_lmics181920[[worldbank_region]:[worldbank_region]],hbe[],7)</calculatedColumnFormula>
    </tableColumn>
    <tableColumn id="52" name="n_hbe_risk" dataDxfId="6">
      <calculatedColumnFormula>VLOOKUP(all_lmics181920[[worldbank_region]:[worldbank_region]],hbe[],10)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A1:AY8" totalsRowShown="0">
  <autoFilter ref="A1:AY8"/>
  <tableColumns count="51">
    <tableColumn id="1" name="Setting"/>
    <tableColumn id="2" name="who_choice_region"/>
    <tableColumn id="4" name="worldbank_region"/>
    <tableColumn id="5" name="2017_population"/>
    <tableColumn id="6" name="2016_birthrate"/>
    <tableColumn id="7" name="2017_births" dataDxfId="5"/>
    <tableColumn id="8" name="birth_dose" dataDxfId="4"/>
    <tableColumn id="9" name="HBV3"/>
    <tableColumn id="10" name="prev"/>
    <tableColumn id="11" name="prev_lb"/>
    <tableColumn id="12" name="prev_ub"/>
    <tableColumn id="13" name="sigma"/>
    <tableColumn id="14" name="prev_pop"/>
    <tableColumn id="15" name="SBA"/>
    <tableColumn id="16" name="Facility"/>
    <tableColumn id="17" name="mu_01"/>
    <tableColumn id="18" name="mu_14"/>
    <tableColumn id="19" name="mu_59"/>
    <tableColumn id="20" name="mu_1014"/>
    <tableColumn id="21" name="mu_1519"/>
    <tableColumn id="22" name="mu_2024"/>
    <tableColumn id="23" name="mu_2529"/>
    <tableColumn id="24" name="mu_3034"/>
    <tableColumn id="25" name="mu_3539"/>
    <tableColumn id="26" name="mu_4044"/>
    <tableColumn id="27" name="mu_4549"/>
    <tableColumn id="28" name="mu_5054"/>
    <tableColumn id="29" name="mu_5559"/>
    <tableColumn id="30" name="mu_6064"/>
    <tableColumn id="31" name="mu_6569"/>
    <tableColumn id="32" name="mu_7074"/>
    <tableColumn id="33" name="mu_7579"/>
    <tableColumn id="34" name="mu_8084"/>
    <tableColumn id="35" name="mu_8589"/>
    <tableColumn id="36" name="mu_9094"/>
    <tableColumn id="37" name="mu_9599"/>
    <tableColumn id="38" name="mu_100"/>
    <tableColumn id="39" name="c_A"/>
    <tableColumn id="40" name="c_C"/>
    <tableColumn id="41" name="c_CC"/>
    <tableColumn id="42" name="c_DC"/>
    <tableColumn id="43" name="c_HCC"/>
    <tableColumn id="44" name="fac_cc"/>
    <tableColumn id="45" name="fac_ctc"/>
    <tableColumn id="46" name="com_cc"/>
    <tableColumn id="47" name="com_ctc"/>
    <tableColumn id="48" name="com_cpad"/>
    <tableColumn id="49" name="SBA_nfac"/>
    <tableColumn id="50" name="hbe_prev"/>
    <tableColumn id="51" name="hbe_risk"/>
    <tableColumn id="52" name="n_hbe_ris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opulations" displayName="populations" ref="A1:I271" totalsRowShown="0">
  <autoFilter ref="A1:I271"/>
  <tableColumns count="9">
    <tableColumn id="1" name="Country Name"/>
    <tableColumn id="2" name="2010"/>
    <tableColumn id="3" name="2011"/>
    <tableColumn id="4" name="2012"/>
    <tableColumn id="5" name="2013"/>
    <tableColumn id="6" name="2014"/>
    <tableColumn id="7" name="2015"/>
    <tableColumn id="8" name="2016"/>
    <tableColumn id="9" name="20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2024" displayName="Table2024" ref="A1:AY8" totalsRowShown="0">
  <autoFilter ref="A1:AY8"/>
  <tableColumns count="51">
    <tableColumn id="1" name="Setting"/>
    <tableColumn id="2" name="who_choice_region"/>
    <tableColumn id="4" name="worldbank_region"/>
    <tableColumn id="5" name="2017_population"/>
    <tableColumn id="6" name="2016_birthrate"/>
    <tableColumn id="7" name="2017_births" dataDxfId="3"/>
    <tableColumn id="8" name="birth_dose" dataDxfId="2"/>
    <tableColumn id="9" name="HBV3"/>
    <tableColumn id="10" name="prev"/>
    <tableColumn id="11" name="prev_lb"/>
    <tableColumn id="12" name="prev_ub"/>
    <tableColumn id="13" name="sigma"/>
    <tableColumn id="14" name="prev_pop"/>
    <tableColumn id="15" name="SBA"/>
    <tableColumn id="16" name="Facility"/>
    <tableColumn id="17" name="mu_01"/>
    <tableColumn id="18" name="mu_14"/>
    <tableColumn id="19" name="mu_59"/>
    <tableColumn id="20" name="mu_1014"/>
    <tableColumn id="21" name="mu_1519"/>
    <tableColumn id="22" name="mu_2024"/>
    <tableColumn id="23" name="mu_2529"/>
    <tableColumn id="24" name="mu_3034"/>
    <tableColumn id="25" name="mu_3539"/>
    <tableColumn id="26" name="mu_4044"/>
    <tableColumn id="27" name="mu_4549"/>
    <tableColumn id="28" name="mu_5054"/>
    <tableColumn id="29" name="mu_5559"/>
    <tableColumn id="30" name="mu_6064"/>
    <tableColumn id="31" name="mu_6569"/>
    <tableColumn id="32" name="mu_7074"/>
    <tableColumn id="33" name="mu_7579"/>
    <tableColumn id="34" name="mu_8084"/>
    <tableColumn id="35" name="mu_8589"/>
    <tableColumn id="36" name="mu_9094"/>
    <tableColumn id="37" name="mu_9599"/>
    <tableColumn id="38" name="mu_100"/>
    <tableColumn id="39" name="c_A"/>
    <tableColumn id="40" name="c_C"/>
    <tableColumn id="41" name="c_CC"/>
    <tableColumn id="42" name="c_DC"/>
    <tableColumn id="43" name="c_HCC"/>
    <tableColumn id="44" name="fac_cc"/>
    <tableColumn id="45" name="fac_ctc"/>
    <tableColumn id="46" name="com_cc"/>
    <tableColumn id="47" name="com_ctc"/>
    <tableColumn id="48" name="com_cpad"/>
    <tableColumn id="49" name="SBA_nfac"/>
    <tableColumn id="50" name="hbe_prev"/>
    <tableColumn id="51" name="hbe_risk"/>
    <tableColumn id="52" name="n_hbe_risk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Table202425" displayName="Table202425" ref="A1:AY8" totalsRowShown="0">
  <autoFilter ref="A1:AY8"/>
  <tableColumns count="51">
    <tableColumn id="1" name="Setting"/>
    <tableColumn id="2" name="who_choice_region"/>
    <tableColumn id="4" name="worldbank_region"/>
    <tableColumn id="5" name="2017_population"/>
    <tableColumn id="6" name="2016_birthrate"/>
    <tableColumn id="7" name="2017_births" dataDxfId="1"/>
    <tableColumn id="8" name="birth_dose" dataDxfId="0"/>
    <tableColumn id="9" name="HBV3"/>
    <tableColumn id="10" name="prev"/>
    <tableColumn id="11" name="prev_lb"/>
    <tableColumn id="12" name="prev_ub"/>
    <tableColumn id="13" name="sigma"/>
    <tableColumn id="14" name="prev_pop"/>
    <tableColumn id="15" name="SBA"/>
    <tableColumn id="16" name="Facility"/>
    <tableColumn id="17" name="mu_01"/>
    <tableColumn id="18" name="mu_14"/>
    <tableColumn id="19" name="mu_59"/>
    <tableColumn id="20" name="mu_1014"/>
    <tableColumn id="21" name="mu_1519"/>
    <tableColumn id="22" name="mu_2024"/>
    <tableColumn id="23" name="mu_2529"/>
    <tableColumn id="24" name="mu_3034"/>
    <tableColumn id="25" name="mu_3539"/>
    <tableColumn id="26" name="mu_4044"/>
    <tableColumn id="27" name="mu_4549"/>
    <tableColumn id="28" name="mu_5054"/>
    <tableColumn id="29" name="mu_5559"/>
    <tableColumn id="30" name="mu_6064"/>
    <tableColumn id="31" name="mu_6569"/>
    <tableColumn id="32" name="mu_7074"/>
    <tableColumn id="33" name="mu_7579"/>
    <tableColumn id="34" name="mu_8084"/>
    <tableColumn id="35" name="mu_8589"/>
    <tableColumn id="36" name="mu_9094"/>
    <tableColumn id="37" name="mu_9599"/>
    <tableColumn id="38" name="mu_100"/>
    <tableColumn id="39" name="c_A"/>
    <tableColumn id="40" name="c_C"/>
    <tableColumn id="41" name="c_CC"/>
    <tableColumn id="42" name="c_DC"/>
    <tableColumn id="43" name="c_HCC"/>
    <tableColumn id="44" name="fac_cc"/>
    <tableColumn id="45" name="fac_ctc"/>
    <tableColumn id="46" name="com_cc"/>
    <tableColumn id="47" name="com_ctc"/>
    <tableColumn id="48" name="com_cpad"/>
    <tableColumn id="49" name="SBA_nfac"/>
    <tableColumn id="50" name="hbe_prev"/>
    <tableColumn id="51" name="hbe_risk"/>
    <tableColumn id="52" name="n_hbe_ris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irthrate" displayName="birthrate" ref="K1:M272" totalsRowShown="0">
  <autoFilter ref="K1:M272"/>
  <tableColumns count="3">
    <tableColumn id="1" name="Country Name"/>
    <tableColumn id="2" name="2016"/>
    <tableColumn id="3" name="prop" dataDxfId="281">
      <calculatedColumnFormula>birthrate[[#This Row],[2016]]/1000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acility" displayName="facility" ref="O1:Q171" totalsRowShown="0">
  <autoFilter ref="O1:Q171"/>
  <tableColumns count="3">
    <tableColumn id="1" name="Country"/>
    <tableColumn id="2" name="Facility (%)"/>
    <tableColumn id="3" name="prop" dataDxfId="280">
      <calculatedColumnFormula>facility[[#This Row],[Facility (%)]]/100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SBA" displayName="SBA" ref="S1:V183" totalsRowShown="0">
  <autoFilter ref="S1:V183"/>
  <tableColumns count="4">
    <tableColumn id="1" name="Country"/>
    <tableColumn id="2" name="Year"/>
    <tableColumn id="3" name="SBA (%)"/>
    <tableColumn id="4" name="prop" dataDxfId="279">
      <calculatedColumnFormula>SBA[[#This Row],[SBA (%)]]/100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prev" displayName="prev" ref="X1:AD159" totalsRowShown="0" headerRowDxfId="278" dataDxfId="276" headerRowBorderDxfId="277" tableBorderDxfId="275" dataCellStyle="Percent">
  <autoFilter ref="X1:AD159"/>
  <sortState ref="X2:AD159">
    <sortCondition ref="X1:X159"/>
  </sortState>
  <tableColumns count="7">
    <tableColumn id="1" name="Country" dataDxfId="274"/>
    <tableColumn id="2" name="Source" dataDxfId="273"/>
    <tableColumn id="3" name="prev" dataDxfId="272" dataCellStyle="Percent"/>
    <tableColumn id="4" name="lb" dataDxfId="271" dataCellStyle="Percent"/>
    <tableColumn id="5" name="ub" dataDxfId="270" dataCellStyle="Percent"/>
    <tableColumn id="6" name="pop" dataDxfId="269" dataCellStyle="Percent"/>
    <tableColumn id="7" name="sigma" dataDxfId="268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birthdose" displayName="birthdose" ref="AF1:AI195" totalsRowShown="0" headerRowDxfId="267" headerRowCellStyle="Normal 3" dataCellStyle="Normal 3">
  <autoFilter ref="AF1:AI195"/>
  <tableColumns count="4">
    <tableColumn id="1" name="Cname" dataCellStyle="Normal 3"/>
    <tableColumn id="2" name="Vaccine" dataCellStyle="Normal 3"/>
    <tableColumn id="3" name="2017" dataCellStyle="Normal 3"/>
    <tableColumn id="4" name="prop" dataDxfId="266" dataCellStyle="Normal 3">
      <calculatedColumnFormula>IF(birthdose[[#This Row],[2017]]/100=0, ,birthdose[[#This Row],[2017]]/100)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fullvax" displayName="fullvax" ref="AK1:AN195" totalsRowShown="0" headerRowDxfId="265" headerRowCellStyle="Normal 3" dataCellStyle="Normal 3">
  <autoFilter ref="AK1:AN195"/>
  <tableColumns count="4">
    <tableColumn id="1" name="Cname" dataCellStyle="Normal 3"/>
    <tableColumn id="2" name="Vaccine" dataCellStyle="Normal 3"/>
    <tableColumn id="3" name="2017" dataCellStyle="Normal 3"/>
    <tableColumn id="4" name="prop" dataDxfId="264" dataCellStyle="Normal 3">
      <calculatedColumnFormula>IF(fullvax[[#This Row],[2017]]/100=0, ,fullvax[[#This Row],[2017]]/100)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nFacSBA" displayName="nFacSBA" ref="AP1:AT81" totalsRowShown="0" headerRowDxfId="263" dataDxfId="262" headerRowCellStyle="Percent" dataCellStyle="Percent">
  <autoFilter ref="AP1:AT81"/>
  <tableColumns count="5">
    <tableColumn id="1" name="Cname" dataDxfId="261" dataCellStyle="Percent"/>
    <tableColumn id="2" name="%SBAFAC" dataDxfId="260" dataCellStyle="Percent"/>
    <tableColumn id="3" name="%nSBAFAC" dataDxfId="259" dataCellStyle="Percent"/>
    <tableColumn id="4" name="%SBAnFAC" dataDxfId="258" dataCellStyle="Percent"/>
    <tableColumn id="5" name="%nSBAnFAC" dataDxfId="257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2"/>
  <sheetViews>
    <sheetView topLeftCell="A17" workbookViewId="0">
      <selection activeCell="D43" sqref="D43"/>
    </sheetView>
  </sheetViews>
  <sheetFormatPr defaultRowHeight="14.5" x14ac:dyDescent="0.35"/>
  <cols>
    <col min="1" max="1" width="40" customWidth="1"/>
    <col min="2" max="2" width="11.90625" customWidth="1"/>
    <col min="3" max="3" width="12.26953125" customWidth="1"/>
    <col min="4" max="4" width="21.1796875" customWidth="1"/>
    <col min="5" max="5" width="26" customWidth="1"/>
    <col min="6" max="6" width="40.453125" customWidth="1"/>
    <col min="7" max="7" width="21.81640625" customWidth="1"/>
    <col min="8" max="8" width="22.7265625" customWidth="1"/>
    <col min="9" max="9" width="15" customWidth="1"/>
    <col min="10" max="10" width="20" customWidth="1"/>
    <col min="11" max="11" width="22.453125" customWidth="1"/>
    <col min="12" max="12" width="23" customWidth="1"/>
  </cols>
  <sheetData>
    <row r="1" spans="1:12" x14ac:dyDescent="0.35">
      <c r="A1" t="s">
        <v>408</v>
      </c>
    </row>
    <row r="2" spans="1:12" x14ac:dyDescent="0.35">
      <c r="A2" t="s">
        <v>409</v>
      </c>
      <c r="B2" s="53" t="s">
        <v>410</v>
      </c>
      <c r="C2" s="53"/>
      <c r="D2" s="53"/>
      <c r="E2" s="53"/>
      <c r="F2" s="53"/>
      <c r="H2" s="53" t="s">
        <v>411</v>
      </c>
      <c r="I2" s="53"/>
      <c r="J2" s="53"/>
      <c r="K2" s="53"/>
      <c r="L2" s="53"/>
    </row>
    <row r="3" spans="1:12" x14ac:dyDescent="0.35">
      <c r="B3" t="s">
        <v>412</v>
      </c>
      <c r="C3" t="s">
        <v>413</v>
      </c>
      <c r="D3" t="s">
        <v>414</v>
      </c>
      <c r="E3" t="s">
        <v>415</v>
      </c>
      <c r="F3" t="s">
        <v>416</v>
      </c>
      <c r="H3" t="s">
        <v>412</v>
      </c>
      <c r="I3" t="s">
        <v>413</v>
      </c>
      <c r="J3" t="s">
        <v>414</v>
      </c>
      <c r="K3" t="s">
        <v>415</v>
      </c>
      <c r="L3" t="s">
        <v>416</v>
      </c>
    </row>
    <row r="4" spans="1:12" x14ac:dyDescent="0.35">
      <c r="A4" t="s">
        <v>11</v>
      </c>
      <c r="B4" s="10">
        <v>40.86</v>
      </c>
      <c r="C4" s="10">
        <v>40.86</v>
      </c>
      <c r="D4" s="10">
        <v>84.66</v>
      </c>
      <c r="E4" s="10">
        <v>84.66</v>
      </c>
      <c r="F4" s="11">
        <v>84.66</v>
      </c>
      <c r="H4" s="44">
        <f>B4*1.0897</f>
        <v>44.525141999999995</v>
      </c>
      <c r="I4" s="44">
        <f t="shared" ref="I4:L9" si="0">C4*1.0897</f>
        <v>44.525141999999995</v>
      </c>
      <c r="J4" s="44">
        <f t="shared" si="0"/>
        <v>92.254001999999986</v>
      </c>
      <c r="K4" s="44">
        <f t="shared" si="0"/>
        <v>92.254001999999986</v>
      </c>
      <c r="L4" s="44">
        <f t="shared" si="0"/>
        <v>92.254001999999986</v>
      </c>
    </row>
    <row r="5" spans="1:12" x14ac:dyDescent="0.35">
      <c r="A5" t="s">
        <v>58</v>
      </c>
      <c r="B5" s="10">
        <v>67.05</v>
      </c>
      <c r="C5" s="10">
        <v>67.05</v>
      </c>
      <c r="D5" s="10">
        <v>110.85</v>
      </c>
      <c r="E5" s="10">
        <v>110.85</v>
      </c>
      <c r="F5" s="11">
        <v>110.85</v>
      </c>
      <c r="H5" s="44">
        <f t="shared" ref="H5:H9" si="1">B5*1.0897</f>
        <v>73.064384999999987</v>
      </c>
      <c r="I5" s="44">
        <f t="shared" si="0"/>
        <v>73.064384999999987</v>
      </c>
      <c r="J5" s="44">
        <f t="shared" si="0"/>
        <v>120.79324499999998</v>
      </c>
      <c r="K5" s="44">
        <f t="shared" si="0"/>
        <v>120.79324499999998</v>
      </c>
      <c r="L5" s="44">
        <f t="shared" si="0"/>
        <v>120.79324499999998</v>
      </c>
    </row>
    <row r="6" spans="1:12" x14ac:dyDescent="0.35">
      <c r="A6" t="s">
        <v>383</v>
      </c>
      <c r="B6" s="13">
        <v>79.709999999999994</v>
      </c>
      <c r="C6" s="13">
        <v>79.709999999999994</v>
      </c>
      <c r="D6" s="13">
        <v>123.51</v>
      </c>
      <c r="E6" s="13">
        <v>123.51</v>
      </c>
      <c r="F6" s="14">
        <v>123.51</v>
      </c>
      <c r="H6" s="44">
        <f t="shared" si="1"/>
        <v>86.85998699999999</v>
      </c>
      <c r="I6" s="44">
        <f t="shared" si="0"/>
        <v>86.85998699999999</v>
      </c>
      <c r="J6" s="44">
        <f t="shared" si="0"/>
        <v>134.58884699999999</v>
      </c>
      <c r="K6" s="44">
        <f t="shared" si="0"/>
        <v>134.58884699999999</v>
      </c>
      <c r="L6" s="44">
        <f t="shared" si="0"/>
        <v>134.58884699999999</v>
      </c>
    </row>
    <row r="7" spans="1:12" x14ac:dyDescent="0.35">
      <c r="A7" t="s">
        <v>7</v>
      </c>
      <c r="B7" s="13">
        <v>53.14</v>
      </c>
      <c r="C7" s="13">
        <v>53.14</v>
      </c>
      <c r="D7" s="13">
        <v>96.94</v>
      </c>
      <c r="E7" s="13">
        <v>96.94</v>
      </c>
      <c r="F7" s="14">
        <v>96.94</v>
      </c>
      <c r="H7" s="44">
        <f t="shared" si="1"/>
        <v>57.906657999999993</v>
      </c>
      <c r="I7" s="44">
        <f t="shared" si="0"/>
        <v>57.906657999999993</v>
      </c>
      <c r="J7" s="44">
        <f t="shared" si="0"/>
        <v>105.63551799999999</v>
      </c>
      <c r="K7" s="44">
        <f t="shared" si="0"/>
        <v>105.63551799999999</v>
      </c>
      <c r="L7" s="44">
        <f t="shared" si="0"/>
        <v>105.63551799999999</v>
      </c>
    </row>
    <row r="8" spans="1:12" x14ac:dyDescent="0.35">
      <c r="A8" t="s">
        <v>37</v>
      </c>
      <c r="B8" s="13">
        <v>52.64</v>
      </c>
      <c r="C8" s="13">
        <v>52.64</v>
      </c>
      <c r="D8" s="13">
        <v>96.44</v>
      </c>
      <c r="E8" s="13">
        <v>96.44</v>
      </c>
      <c r="F8" s="14">
        <v>96.44</v>
      </c>
      <c r="H8" s="44">
        <f t="shared" si="1"/>
        <v>57.361807999999996</v>
      </c>
      <c r="I8" s="44">
        <f t="shared" si="0"/>
        <v>57.361807999999996</v>
      </c>
      <c r="J8" s="44">
        <f t="shared" si="0"/>
        <v>105.09066799999999</v>
      </c>
      <c r="K8" s="44">
        <f t="shared" si="0"/>
        <v>105.09066799999999</v>
      </c>
      <c r="L8" s="44">
        <f t="shared" si="0"/>
        <v>105.09066799999999</v>
      </c>
    </row>
    <row r="9" spans="1:12" x14ac:dyDescent="0.35">
      <c r="A9" t="s">
        <v>15</v>
      </c>
      <c r="B9" s="10">
        <v>27.45</v>
      </c>
      <c r="C9" s="10">
        <v>27.45</v>
      </c>
      <c r="D9" s="10">
        <v>71.25</v>
      </c>
      <c r="E9" s="10">
        <v>71.25</v>
      </c>
      <c r="F9" s="11">
        <v>71.25</v>
      </c>
      <c r="H9" s="44">
        <f t="shared" si="1"/>
        <v>29.912264999999998</v>
      </c>
      <c r="I9" s="44">
        <f t="shared" si="0"/>
        <v>29.912264999999998</v>
      </c>
      <c r="J9" s="44">
        <f t="shared" si="0"/>
        <v>77.641124999999988</v>
      </c>
      <c r="K9" s="44">
        <f t="shared" si="0"/>
        <v>77.641124999999988</v>
      </c>
      <c r="L9" s="44">
        <f t="shared" si="0"/>
        <v>77.641124999999988</v>
      </c>
    </row>
    <row r="12" spans="1:12" x14ac:dyDescent="0.35">
      <c r="A12" t="s">
        <v>417</v>
      </c>
    </row>
    <row r="13" spans="1:12" x14ac:dyDescent="0.35">
      <c r="D13" t="s">
        <v>418</v>
      </c>
    </row>
    <row r="14" spans="1:12" x14ac:dyDescent="0.35">
      <c r="A14" t="s">
        <v>419</v>
      </c>
      <c r="B14">
        <v>0.55000000000000004</v>
      </c>
      <c r="D14">
        <f>B14</f>
        <v>0.55000000000000004</v>
      </c>
    </row>
    <row r="15" spans="1:12" x14ac:dyDescent="0.35">
      <c r="A15" t="s">
        <v>420</v>
      </c>
      <c r="B15">
        <v>2</v>
      </c>
      <c r="D15">
        <f>B14*B15</f>
        <v>1.1000000000000001</v>
      </c>
    </row>
    <row r="16" spans="1:12" x14ac:dyDescent="0.35">
      <c r="A16" t="s">
        <v>421</v>
      </c>
      <c r="B16">
        <v>1.5</v>
      </c>
      <c r="D16" s="44">
        <f>B16*1.0884</f>
        <v>1.6326000000000001</v>
      </c>
      <c r="E16" t="s">
        <v>422</v>
      </c>
    </row>
    <row r="18" spans="1:11" x14ac:dyDescent="0.35">
      <c r="A18" t="s">
        <v>423</v>
      </c>
    </row>
    <row r="19" spans="1:11" x14ac:dyDescent="0.35">
      <c r="A19" t="s">
        <v>424</v>
      </c>
      <c r="B19" s="39">
        <v>1.05</v>
      </c>
    </row>
    <row r="20" spans="1:11" x14ac:dyDescent="0.35">
      <c r="A20" t="s">
        <v>425</v>
      </c>
      <c r="B20" s="39">
        <v>1.02</v>
      </c>
    </row>
    <row r="22" spans="1:11" x14ac:dyDescent="0.35">
      <c r="A22" t="s">
        <v>426</v>
      </c>
    </row>
    <row r="23" spans="1:11" x14ac:dyDescent="0.35">
      <c r="A23" t="s">
        <v>427</v>
      </c>
      <c r="B23">
        <v>0.04</v>
      </c>
    </row>
    <row r="24" spans="1:11" x14ac:dyDescent="0.35">
      <c r="A24" t="s">
        <v>425</v>
      </c>
      <c r="B24">
        <v>0.1</v>
      </c>
    </row>
    <row r="26" spans="1:11" x14ac:dyDescent="0.35">
      <c r="A26" t="s">
        <v>428</v>
      </c>
      <c r="G26" s="6" t="s">
        <v>429</v>
      </c>
      <c r="H26" s="6" t="s">
        <v>430</v>
      </c>
      <c r="I26" s="6" t="s">
        <v>431</v>
      </c>
      <c r="J26" s="6" t="s">
        <v>432</v>
      </c>
      <c r="K26" s="7" t="s">
        <v>433</v>
      </c>
    </row>
    <row r="27" spans="1:11" x14ac:dyDescent="0.35">
      <c r="F27" t="s">
        <v>11</v>
      </c>
      <c r="G27" s="44">
        <f>($D$14*$B$19)+D28</f>
        <v>6.4182919999999992</v>
      </c>
      <c r="H27" s="44">
        <f>($D$15*$B$19)+$B$23+D28</f>
        <v>7.0357919999999998</v>
      </c>
      <c r="I27" s="44">
        <f>($D$14*$B$19)+D28+D37</f>
        <v>10.482872999999998</v>
      </c>
      <c r="J27" s="44">
        <f>($D$15*$B$19)+$B$23+D28+D37</f>
        <v>11.100372999999999</v>
      </c>
      <c r="K27" s="44">
        <f>($D$16*$B$20)+$B$24+D28+D37</f>
        <v>11.670624999999999</v>
      </c>
    </row>
    <row r="28" spans="1:11" x14ac:dyDescent="0.35">
      <c r="A28" t="s">
        <v>11</v>
      </c>
      <c r="B28">
        <v>5.36</v>
      </c>
      <c r="D28" s="44">
        <f>B28*1.0897</f>
        <v>5.8407919999999995</v>
      </c>
      <c r="F28" t="s">
        <v>58</v>
      </c>
      <c r="G28" s="44">
        <f t="shared" ref="G28:G32" si="2">($D$14*$B$19)+D29</f>
        <v>1.34029</v>
      </c>
      <c r="H28" s="44">
        <f t="shared" ref="H28:H32" si="3">($D$15*$B$19)+$B$23+D29</f>
        <v>1.9577900000000001</v>
      </c>
      <c r="I28" s="44">
        <f t="shared" ref="I28:I32" si="4">($D$14*$B$19)+D29+D38</f>
        <v>1.9723159999999997</v>
      </c>
      <c r="J28" s="44">
        <f t="shared" ref="J28:J32" si="5">($D$15*$B$19)+$B$23+D29+D38</f>
        <v>2.5898159999999999</v>
      </c>
      <c r="K28" s="44">
        <f t="shared" ref="K28:K32" si="6">($D$16*$B$20)+$B$24+D29+D38</f>
        <v>3.1600679999999999</v>
      </c>
    </row>
    <row r="29" spans="1:11" x14ac:dyDescent="0.35">
      <c r="A29" t="s">
        <v>58</v>
      </c>
      <c r="B29">
        <v>0.7</v>
      </c>
      <c r="D29" s="44">
        <f t="shared" ref="D29:D33" si="7">B29*1.0897</f>
        <v>0.76278999999999986</v>
      </c>
      <c r="F29" t="s">
        <v>383</v>
      </c>
      <c r="G29" s="44">
        <f t="shared" si="2"/>
        <v>1.514642</v>
      </c>
      <c r="H29" s="44">
        <f t="shared" si="3"/>
        <v>2.132142</v>
      </c>
      <c r="I29" s="44">
        <f t="shared" si="4"/>
        <v>1.5364360000000001</v>
      </c>
      <c r="J29" s="44">
        <f t="shared" si="5"/>
        <v>2.1539359999999999</v>
      </c>
      <c r="K29" s="44">
        <f t="shared" si="6"/>
        <v>2.7241879999999998</v>
      </c>
    </row>
    <row r="30" spans="1:11" x14ac:dyDescent="0.35">
      <c r="A30" t="s">
        <v>383</v>
      </c>
      <c r="B30">
        <v>0.86</v>
      </c>
      <c r="D30" s="44">
        <f t="shared" si="7"/>
        <v>0.93714199999999992</v>
      </c>
      <c r="F30" t="s">
        <v>7</v>
      </c>
      <c r="G30" s="44">
        <f t="shared" si="2"/>
        <v>1.5037449999999999</v>
      </c>
      <c r="H30" s="44">
        <f t="shared" si="3"/>
        <v>2.121245</v>
      </c>
      <c r="I30" s="44">
        <f t="shared" si="4"/>
        <v>1.9832129999999999</v>
      </c>
      <c r="J30" s="44">
        <f t="shared" si="5"/>
        <v>2.6007129999999998</v>
      </c>
      <c r="K30" s="44">
        <f t="shared" si="6"/>
        <v>3.1709649999999998</v>
      </c>
    </row>
    <row r="31" spans="1:11" x14ac:dyDescent="0.35">
      <c r="A31" t="s">
        <v>7</v>
      </c>
      <c r="B31">
        <v>0.85</v>
      </c>
      <c r="D31" s="44">
        <f t="shared" si="7"/>
        <v>0.92624499999999987</v>
      </c>
      <c r="F31" t="s">
        <v>37</v>
      </c>
      <c r="G31" s="44">
        <f t="shared" si="2"/>
        <v>0.95889500000000005</v>
      </c>
      <c r="H31" s="44">
        <f t="shared" si="3"/>
        <v>1.5763950000000002</v>
      </c>
      <c r="I31" s="44">
        <f t="shared" si="4"/>
        <v>33.028765999999997</v>
      </c>
      <c r="J31" s="44">
        <f t="shared" si="5"/>
        <v>33.646265999999997</v>
      </c>
      <c r="K31" s="44">
        <f t="shared" si="6"/>
        <v>34.216518000000001</v>
      </c>
    </row>
    <row r="32" spans="1:11" x14ac:dyDescent="0.35">
      <c r="A32" t="s">
        <v>37</v>
      </c>
      <c r="B32">
        <v>0.35</v>
      </c>
      <c r="D32" s="44">
        <f t="shared" si="7"/>
        <v>0.38139499999999993</v>
      </c>
      <c r="F32" t="s">
        <v>15</v>
      </c>
      <c r="G32" s="44">
        <f t="shared" si="2"/>
        <v>0.96979199999999999</v>
      </c>
      <c r="H32" s="44">
        <f t="shared" si="3"/>
        <v>1.5872920000000001</v>
      </c>
      <c r="I32" s="44">
        <f t="shared" si="4"/>
        <v>5.7971629999999994</v>
      </c>
      <c r="J32" s="44">
        <f t="shared" si="5"/>
        <v>6.4146629999999991</v>
      </c>
      <c r="K32" s="44">
        <f t="shared" si="6"/>
        <v>6.9849149999999991</v>
      </c>
    </row>
    <row r="33" spans="1:4" x14ac:dyDescent="0.35">
      <c r="A33" t="s">
        <v>15</v>
      </c>
      <c r="B33">
        <v>0.36</v>
      </c>
      <c r="D33" s="44">
        <f t="shared" si="7"/>
        <v>0.39229199999999992</v>
      </c>
    </row>
    <row r="35" spans="1:4" x14ac:dyDescent="0.35">
      <c r="A35" t="s">
        <v>434</v>
      </c>
    </row>
    <row r="37" spans="1:4" x14ac:dyDescent="0.35">
      <c r="A37" t="s">
        <v>11</v>
      </c>
      <c r="B37">
        <v>3.73</v>
      </c>
      <c r="D37" s="44">
        <f t="shared" ref="D37:D42" si="8">B37*1.0897</f>
        <v>4.0645809999999996</v>
      </c>
    </row>
    <row r="38" spans="1:4" x14ac:dyDescent="0.35">
      <c r="A38" t="s">
        <v>58</v>
      </c>
      <c r="B38">
        <v>0.57999999999999996</v>
      </c>
      <c r="D38" s="44">
        <f t="shared" si="8"/>
        <v>0.63202599999999987</v>
      </c>
    </row>
    <row r="39" spans="1:4" x14ac:dyDescent="0.35">
      <c r="A39" t="s">
        <v>383</v>
      </c>
      <c r="B39">
        <v>0.02</v>
      </c>
      <c r="D39" s="44">
        <f t="shared" si="8"/>
        <v>2.1793999999999997E-2</v>
      </c>
    </row>
    <row r="40" spans="1:4" x14ac:dyDescent="0.35">
      <c r="A40" t="s">
        <v>7</v>
      </c>
      <c r="B40">
        <v>0.44</v>
      </c>
      <c r="D40" s="44">
        <f t="shared" si="8"/>
        <v>0.47946799999999995</v>
      </c>
    </row>
    <row r="41" spans="1:4" x14ac:dyDescent="0.35">
      <c r="A41" t="s">
        <v>37</v>
      </c>
      <c r="B41">
        <v>29.43</v>
      </c>
      <c r="D41" s="44">
        <f t="shared" si="8"/>
        <v>32.069870999999999</v>
      </c>
    </row>
    <row r="42" spans="1:4" x14ac:dyDescent="0.35">
      <c r="A42" t="s">
        <v>15</v>
      </c>
      <c r="B42">
        <v>4.43</v>
      </c>
      <c r="D42" s="44">
        <f t="shared" si="8"/>
        <v>4.8273709999999994</v>
      </c>
    </row>
  </sheetData>
  <mergeCells count="2">
    <mergeCell ref="B2:F2"/>
    <mergeCell ref="H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Y88"/>
  <sheetViews>
    <sheetView workbookViewId="0">
      <selection activeCell="O3" sqref="O3"/>
    </sheetView>
  </sheetViews>
  <sheetFormatPr defaultRowHeight="14.5" x14ac:dyDescent="0.35"/>
  <sheetData>
    <row r="1" spans="1:51" x14ac:dyDescent="0.35">
      <c r="A1" t="s">
        <v>441</v>
      </c>
      <c r="B1" t="s">
        <v>442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240</v>
      </c>
      <c r="J1" t="s">
        <v>450</v>
      </c>
      <c r="K1" t="s">
        <v>451</v>
      </c>
      <c r="L1" t="s">
        <v>244</v>
      </c>
      <c r="M1" t="s">
        <v>452</v>
      </c>
      <c r="N1" t="s">
        <v>453</v>
      </c>
      <c r="O1" t="s">
        <v>454</v>
      </c>
      <c r="P1" t="s">
        <v>385</v>
      </c>
      <c r="Q1" t="s">
        <v>386</v>
      </c>
      <c r="R1" t="s">
        <v>387</v>
      </c>
      <c r="S1" s="39" t="s">
        <v>388</v>
      </c>
      <c r="T1" s="39" t="s">
        <v>389</v>
      </c>
      <c r="U1" s="39" t="s">
        <v>390</v>
      </c>
      <c r="V1" s="39" t="s">
        <v>391</v>
      </c>
      <c r="W1" s="39" t="s">
        <v>392</v>
      </c>
      <c r="X1" s="39" t="s">
        <v>393</v>
      </c>
      <c r="Y1" s="39" t="s">
        <v>394</v>
      </c>
      <c r="Z1" s="39" t="s">
        <v>395</v>
      </c>
      <c r="AA1" s="39" t="s">
        <v>396</v>
      </c>
      <c r="AB1" s="39" t="s">
        <v>397</v>
      </c>
      <c r="AC1" s="39" t="s">
        <v>398</v>
      </c>
      <c r="AD1" s="39" t="s">
        <v>399</v>
      </c>
      <c r="AE1" s="39" t="s">
        <v>400</v>
      </c>
      <c r="AF1" s="39" t="s">
        <v>401</v>
      </c>
      <c r="AG1" s="39" t="s">
        <v>402</v>
      </c>
      <c r="AH1" s="39" t="s">
        <v>403</v>
      </c>
      <c r="AI1" t="s">
        <v>404</v>
      </c>
      <c r="AJ1" t="s">
        <v>405</v>
      </c>
      <c r="AK1" t="s">
        <v>406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455</v>
      </c>
      <c r="AW1" t="s">
        <v>374</v>
      </c>
      <c r="AX1" t="s">
        <v>377</v>
      </c>
      <c r="AY1" t="s">
        <v>456</v>
      </c>
    </row>
    <row r="2" spans="1:51" x14ac:dyDescent="0.35">
      <c r="A2" s="8" t="s">
        <v>4</v>
      </c>
      <c r="B2" s="10" t="s">
        <v>6</v>
      </c>
      <c r="C2" s="11" t="s">
        <v>7</v>
      </c>
      <c r="D2">
        <f>VLOOKUP(all_lmics181920[[Setting]:[Setting]],populations[],9,FALSE)</f>
        <v>35530081</v>
      </c>
      <c r="E2">
        <f>VLOOKUP(all_lmics181920[[Setting]:[Setting]],birthrate[],3,FALSE)</f>
        <v>3.3214E-2</v>
      </c>
      <c r="F2">
        <f>all_lmics181920[[#This Row],[2017_population]]*all_lmics181920[[#This Row],[2016_birthrate]]</f>
        <v>1180096.1103340001</v>
      </c>
      <c r="G2">
        <f>MIN(VLOOKUP(all_lmics181920[[Setting]:[Setting]],birthdose[],4,FALSE)*1.05,0.9999)</f>
        <v>0.189</v>
      </c>
      <c r="H2">
        <f>MIN(VLOOKUP(all_lmics181920[[Setting]:[Setting]],fullvax[],4,FALSE)*1.05,0.9999)</f>
        <v>0.68250000000000011</v>
      </c>
      <c r="I2">
        <f>IFERROR(VLOOKUP(all_lmics181920[[Setting]:[Setting]],prev[],3,FALSE),VLOOKUP(all_lmics181920[[who_choice_region]:[who_choice_region]],missing[],2,FALSE))</f>
        <v>1.6199999999999999E-2</v>
      </c>
      <c r="J2">
        <f>IFERROR(VLOOKUP(all_lmics181920[[Setting]:[Setting]],prev[],4,FALSE),VLOOKUP(all_lmics181920[[who_choice_region]:[who_choice_region]],missing[],3,FALSE))</f>
        <v>1.29E-2</v>
      </c>
      <c r="K2">
        <f>IFERROR(VLOOKUP(all_lmics181920[[Setting]:[Setting]],prev[],5,FALSE),VLOOKUP(all_lmics181920[[who_choice_region]:[who_choice_region]],missing[],4,FALSE))</f>
        <v>2.0299999999999999E-2</v>
      </c>
      <c r="L2">
        <f>IFERROR(VLOOKUP(all_lmics181920[[Setting]:[Setting]],prev[],7,FALSE),VLOOKUP(all_lmics181920[[who_choice_region]:[who_choice_region]],missing[],5,FALSE))</f>
        <v>2.0918367346938775E-3</v>
      </c>
      <c r="M2">
        <f>IFERROR(VLOOKUP(all_lmics181920[[Setting]:[Setting]],prev[],6,FALSE),0)</f>
        <v>28803167</v>
      </c>
      <c r="N2">
        <f>MIN(IFERROR(VLOOKUP(all_lmics181920[[Setting]:[Setting]],SBA[],4,FALSE),VLOOKUP(all_lmics181920[[who_choice_region]:[who_choice_region]],missing[],6,FALSE))*1.05, 0.9999)</f>
        <v>0.53025</v>
      </c>
      <c r="O2">
        <f>MIN(IFERROR(VLOOKUP(all_lmics181920[[Setting]:[Setting]], facility[], 3,FALSE),VLOOKUP(all_lmics181920[[who_choice_region]:[who_choice_region]],missing[],7,FALSE))*1.05, 0.9999)</f>
        <v>0.50505000000000011</v>
      </c>
      <c r="P2">
        <f>IF(VLOOKUP(all_lmics181920[[Setting]:[Setting]],all_cause_mort[],4,FALSE)="",VLOOKUP(all_lmics181920[[who_choice_region]:[who_choice_region]],missing[],8,FALSE),VLOOKUP(all_lmics181920[[Setting]:[Setting]],all_cause_mort[],4,FALSE))*1.05</f>
        <v>5.6644087500000002E-2</v>
      </c>
      <c r="Q2">
        <f>IF(VLOOKUP(all_lmics181920[[Setting]:[Setting]],all_cause_mort[],5,FALSE)="",VLOOKUP(all_lmics181920[[who_choice_region]:[who_choice_region]],missing[],9,FALSE),VLOOKUP(all_lmics181920[[Setting]:[Setting]],all_cause_mort[],5,FALSE))*1.05</f>
        <v>4.5226540799999998E-3</v>
      </c>
      <c r="R2">
        <f>IF(VLOOKUP(all_lmics181920[[Setting]:[Setting]],all_cause_mort[],6,FALSE)="",VLOOKUP(all_lmics181920[[who_choice_region]:[who_choice_region]],missing[],10,FALSE),VLOOKUP(all_lmics181920[[Setting]:[Setting]],all_cause_mort[],6,FALSE))*1.05</f>
        <v>1.3936493549999999E-3</v>
      </c>
      <c r="S2">
        <f>IF(VLOOKUP(all_lmics181920[[Setting]:[Setting]],all_cause_mort[],7,FALSE)="",VLOOKUP(all_lmics181920[[who_choice_region]:[who_choice_region]],missing[],11,FALSE),VLOOKUP(all_lmics181920[[Setting]:[Setting]],all_cause_mort[],7,FALSE))*1.05</f>
        <v>1.0951563E-3</v>
      </c>
      <c r="T2">
        <f>IF(VLOOKUP(all_lmics181920[[Setting]:[Setting]],all_cause_mort[],8,FALSE)="",VLOOKUP(all_lmics181920[[who_choice_region]:[who_choice_region]],missing[],12,FALSE),VLOOKUP(all_lmics181920[[Setting]:[Setting]],all_cause_mort[],8,FALSE))*1.05</f>
        <v>1.76843562E-3</v>
      </c>
      <c r="U2">
        <f>IF(VLOOKUP(all_lmics181920[[Setting]:[Setting]],all_cause_mort[],9,FALSE)="",VLOOKUP(all_lmics181920[[who_choice_region]:[who_choice_region]],missing[],13,FALSE),VLOOKUP(all_lmics181920[[Setting]:[Setting]],all_cause_mort[],9,FALSE))*1.05</f>
        <v>2.468495715E-3</v>
      </c>
      <c r="V2">
        <f>IF(VLOOKUP(all_lmics181920[[Setting]:[Setting]],all_cause_mort[],10,FALSE)="",VLOOKUP(all_lmics181920[[who_choice_region]:[who_choice_region]],missing[],14,FALSE),VLOOKUP(all_lmics181920[[Setting]:[Setting]],all_cause_mort[],10,FALSE))*1.05</f>
        <v>2.6901245700000002E-3</v>
      </c>
      <c r="W2">
        <f>IF(VLOOKUP(all_lmics181920[[Setting]:[Setting]],all_cause_mort[],11,FALSE)="",VLOOKUP(all_lmics181920[[who_choice_region]:[who_choice_region]],missing[],15,FALSE),VLOOKUP(all_lmics181920[[Setting]:[Setting]],all_cause_mort[],11,FALSE))*1.05</f>
        <v>3.0820177499999999E-3</v>
      </c>
      <c r="X2">
        <f>IF(VLOOKUP(all_lmics181920[[Setting]:[Setting]],all_cause_mort[],12,FALSE)="",VLOOKUP(all_lmics181920[[who_choice_region]:[who_choice_region]],missing[],16,FALSE),VLOOKUP(all_lmics181920[[Setting]:[Setting]],all_cause_mort[],12,FALSE))*1.05</f>
        <v>3.8226588750000005E-3</v>
      </c>
      <c r="Y2">
        <f>IF(VLOOKUP(all_lmics181920[[Setting]:[Setting]],all_cause_mort[],13,FALSE)="",VLOOKUP(all_lmics181920[[who_choice_region]:[who_choice_region]],missing[],17,FALSE),VLOOKUP(all_lmics181920[[Setting]:[Setting]],all_cause_mort[],13,FALSE))*1.05</f>
        <v>5.0603066850000008E-3</v>
      </c>
      <c r="Z2">
        <f>IF(VLOOKUP(all_lmics181920[[Setting]:[Setting]],all_cause_mort[],14,FALSE)="",VLOOKUP(all_lmics181920[[who_choice_region]:[who_choice_region]],missing[],18,FALSE),VLOOKUP(all_lmics181920[[Setting]:[Setting]],all_cause_mort[],14,FALSE))*1.05</f>
        <v>7.1150150400000004E-3</v>
      </c>
      <c r="AA2">
        <f>IF(VLOOKUP(all_lmics181920[[Setting]:[Setting]],all_cause_mort[],15,FALSE)="",VLOOKUP(all_lmics181920[[who_choice_region]:[who_choice_region]],missing[],19,FALSE),VLOOKUP(all_lmics181920[[Setting]:[Setting]],all_cause_mort[],15,FALSE))*1.05</f>
        <v>1.0435597935000001E-2</v>
      </c>
      <c r="AB2">
        <f>IF(VLOOKUP(all_lmics181920[[Setting]:[Setting]],all_cause_mort[],16,FALSE)="",VLOOKUP(all_lmics181920[[who_choice_region]:[who_choice_region]],missing[],20,FALSE),VLOOKUP(all_lmics181920[[Setting]:[Setting]],all_cause_mort[],16,FALSE))*1.05</f>
        <v>1.556076585E-2</v>
      </c>
      <c r="AC2">
        <f>IF(VLOOKUP(all_lmics181920[[Setting]:[Setting]],all_cause_mort[],17,FALSE)="",VLOOKUP(all_lmics181920[[who_choice_region]:[who_choice_region]],missing[],21,FALSE),VLOOKUP(all_lmics181920[[Setting]:[Setting]],all_cause_mort[],17,FALSE))*1.05</f>
        <v>2.3874523049999999E-2</v>
      </c>
      <c r="AD2">
        <f>IF(VLOOKUP(all_lmics181920[[Setting]:[Setting]],all_cause_mort[],18,FALSE)="",VLOOKUP(all_lmics181920[[who_choice_region]:[who_choice_region]],missing[],22,FALSE),VLOOKUP(all_lmics181920[[Setting]:[Setting]],all_cause_mort[],18,FALSE))*1.05</f>
        <v>3.6988566299999998E-2</v>
      </c>
      <c r="AE2">
        <f>IF(VLOOKUP(all_lmics181920[[Setting]:[Setting]],all_cause_mort[],19,FALSE)="",VLOOKUP(all_lmics181920[[who_choice_region]:[who_choice_region]],missing[],23,FALSE),VLOOKUP(all_lmics181920[[Setting]:[Setting]],all_cause_mort[],19,FALSE))*1.05</f>
        <v>5.910789675E-2</v>
      </c>
      <c r="AF2">
        <f>IF(VLOOKUP(all_lmics181920[[Setting]:[Setting]],all_cause_mort[],20,FALSE)="",VLOOKUP(all_lmics181920[[who_choice_region]:[who_choice_region]],missing[],24,FALSE),VLOOKUP(all_lmics181920[[Setting]:[Setting]],all_cause_mort[],20,FALSE))*1.05</f>
        <v>9.4928411549999994E-2</v>
      </c>
      <c r="AG2">
        <f>IF(VLOOKUP(all_lmics181920[[Setting]:[Setting]],all_cause_mort[],21,FALSE)="",VLOOKUP(all_lmics181920[[who_choice_region]:[who_choice_region]],missing[],25,FALSE),VLOOKUP(all_lmics181920[[Setting]:[Setting]],all_cause_mort[],21,FALSE))*1.05</f>
        <v>0.15162915599999999</v>
      </c>
      <c r="AH2">
        <f>IF(VLOOKUP(all_lmics181920[[Setting]:[Setting]],all_cause_mort[],22,FALSE)="",VLOOKUP(all_lmics181920[[who_choice_region]:[who_choice_region]],missing[],26,FALSE),VLOOKUP(all_lmics181920[[Setting]:[Setting]],all_cause_mort[],22,FALSE))*1.05</f>
        <v>0.23396643900000003</v>
      </c>
      <c r="AI2">
        <f>IF(VLOOKUP(all_lmics181920[[Setting]:[Setting]],all_cause_mort[],23,FALSE)="",VLOOKUP(all_lmics181920[[who_choice_region]:[who_choice_region]],missing[],27,FALSE),VLOOKUP(all_lmics181920[[Setting]:[Setting]],all_cause_mort[],23,FALSE))*1.05</f>
        <v>0.33943434000000006</v>
      </c>
      <c r="AJ2">
        <f>IF(VLOOKUP(all_lmics181920[[Setting]:[Setting]],all_cause_mort[],24,FALSE)="",VLOOKUP(all_lmics181920[[who_choice_region]:[who_choice_region]],missing[],28,FALSE),VLOOKUP(all_lmics181920[[Setting]:[Setting]],all_cause_mort[],24,FALSE))*1.05</f>
        <v>0.46699645649999999</v>
      </c>
      <c r="AK2">
        <f>IF(VLOOKUP(all_lmics181920[[Setting]:[Setting]],all_cause_mort[],25,FALSE)="",VLOOKUP(all_lmics181920[[who_choice_region]:[who_choice_region]],missing[],29,FALSE),VLOOKUP(all_lmics181920[[Setting]:[Setting]],all_cause_mort[],25,FALSE))*1.05</f>
        <v>0.60714790018766096</v>
      </c>
      <c r="AL2">
        <f>VLOOKUP(all_lmics181920[[worldbank_region]:[worldbank_region]],Table13[],2,FALSE)*1.05</f>
        <v>60.801990899999993</v>
      </c>
      <c r="AM2">
        <f>VLOOKUP(all_lmics181920[[worldbank_region]:[worldbank_region]],Table13[],3,FALSE)*1.05</f>
        <v>60.801990899999993</v>
      </c>
      <c r="AN2">
        <f>VLOOKUP(all_lmics181920[[worldbank_region]:[worldbank_region]],Table13[],4,FALSE)*1.05</f>
        <v>110.91729389999999</v>
      </c>
      <c r="AO2">
        <f>VLOOKUP(all_lmics181920[[worldbank_region]:[worldbank_region]],Table13[],5,FALSE)*1.05</f>
        <v>110.91729389999999</v>
      </c>
      <c r="AP2">
        <f>VLOOKUP(all_lmics181920[[worldbank_region]:[worldbank_region]],Table13[],6,FALSE)*1.05</f>
        <v>110.91729389999999</v>
      </c>
      <c r="AQ2">
        <f>VLOOKUP(all_lmics181920[[worldbank_region]:[worldbank_region]],Table14[],2,FALSE)*1.05</f>
        <v>1.57893225</v>
      </c>
      <c r="AR2">
        <f>VLOOKUP(all_lmics181920[[worldbank_region]:[worldbank_region]],Table14[],3,FALSE)*1.05</f>
        <v>2.22730725</v>
      </c>
      <c r="AS2">
        <f>VLOOKUP(all_lmics181920[[worldbank_region]:[worldbank_region]],Table14[],4,FALSE)*1.05</f>
        <v>2.0823736500000001</v>
      </c>
      <c r="AT2">
        <f>VLOOKUP(all_lmics181920[[worldbank_region]:[worldbank_region]],Table14[],5,FALSE)*1.05</f>
        <v>2.7307486499999998</v>
      </c>
      <c r="AU2">
        <f>VLOOKUP(all_lmics181920[[worldbank_region]:[worldbank_region]],Table14[],6,FALSE)*1.05</f>
        <v>3.3295132499999998</v>
      </c>
      <c r="AV2">
        <f>MIN(IFERROR(VLOOKUP(all_lmics181920[[Setting]:[Setting]],nFacSBA[],4,FALSE),VLOOKUP(all_lmics181920[[who_choice_region]:[who_choice_region]],missing[],30,FALSE))*1.05, 0.9999)</f>
        <v>0.10400251199047407</v>
      </c>
      <c r="AW2">
        <f>VLOOKUP(all_lmics181920[[worldbank_region]:[worldbank_region]],hbe[],4)</f>
        <v>0.5</v>
      </c>
      <c r="AX2">
        <f>VLOOKUP(all_lmics181920[[worldbank_region]:[worldbank_region]],hbe[],7)</f>
        <v>1</v>
      </c>
      <c r="AY2">
        <f>VLOOKUP(all_lmics181920[[worldbank_region]:[worldbank_region]],hbe[],10)</f>
        <v>0.25</v>
      </c>
    </row>
    <row r="3" spans="1:51" x14ac:dyDescent="0.35">
      <c r="A3" s="12" t="s">
        <v>8</v>
      </c>
      <c r="B3" s="13" t="s">
        <v>10</v>
      </c>
      <c r="C3" s="14" t="s">
        <v>11</v>
      </c>
      <c r="D3">
        <f>VLOOKUP(all_lmics181920[[Setting]:[Setting]],populations[],9,FALSE)</f>
        <v>2873457</v>
      </c>
      <c r="E3">
        <f>VLOOKUP(all_lmics181920[[Setting]:[Setting]],birthrate[],3,FALSE)</f>
        <v>1.1816E-2</v>
      </c>
      <c r="F3">
        <f>all_lmics181920[[#This Row],[2017_population]]*all_lmics181920[[#This Row],[2016_birthrate]]</f>
        <v>33952.767912000003</v>
      </c>
      <c r="G3">
        <f>MIN(VLOOKUP(all_lmics181920[[Setting]:[Setting]],birthdose[],4,FALSE)*1.05,0.9999)</f>
        <v>0.99990000000000001</v>
      </c>
      <c r="H3">
        <f>MIN(VLOOKUP(all_lmics181920[[Setting]:[Setting]],fullvax[],4,FALSE)*1.05,0.9999)</f>
        <v>0.99990000000000001</v>
      </c>
      <c r="I3">
        <f>IFERROR(VLOOKUP(all_lmics181920[[Setting]:[Setting]],prev[],3,FALSE),VLOOKUP(all_lmics181920[[who_choice_region]:[who_choice_region]],missing[],2,FALSE))</f>
        <v>6.9000000000000006E-2</v>
      </c>
      <c r="J3">
        <f>IFERROR(VLOOKUP(all_lmics181920[[Setting]:[Setting]],prev[],4,FALSE),VLOOKUP(all_lmics181920[[who_choice_region]:[who_choice_region]],missing[],3,FALSE))</f>
        <v>4.7E-2</v>
      </c>
      <c r="K3">
        <f>IFERROR(VLOOKUP(all_lmics181920[[Setting]:[Setting]],prev[],5,FALSE),VLOOKUP(all_lmics181920[[who_choice_region]:[who_choice_region]],missing[],4,FALSE))</f>
        <v>9.2999999999999999E-2</v>
      </c>
      <c r="L3">
        <f>IFERROR(VLOOKUP(all_lmics181920[[Setting]:[Setting]],prev[],7,FALSE),VLOOKUP(all_lmics181920[[who_choice_region]:[who_choice_region]],missing[],5,FALSE))</f>
        <v>1.2244897959183671E-2</v>
      </c>
      <c r="M3">
        <f>IFERROR(VLOOKUP(all_lmics181920[[Setting]:[Setting]],prev[],6,FALSE),0)</f>
        <v>2873457</v>
      </c>
      <c r="N3">
        <f>MIN(IFERROR(VLOOKUP(all_lmics181920[[Setting]:[Setting]],SBA[],4,FALSE),VLOOKUP(all_lmics181920[[who_choice_region]:[who_choice_region]],missing[],6,FALSE))*1.05, 0.9999)</f>
        <v>0.99990000000000001</v>
      </c>
      <c r="O3">
        <f>MIN(IFERROR(VLOOKUP(all_lmics181920[[Setting]:[Setting]], facility[], 3,FALSE),VLOOKUP(all_lmics181920[[who_choice_region]:[who_choice_region]],missing[],7,FALSE))*1.05, 0.9999)</f>
        <v>0.99990000000000001</v>
      </c>
      <c r="P3">
        <f>IF(VLOOKUP(all_lmics181920[[Setting]:[Setting]],all_cause_mort[],4,FALSE)="",VLOOKUP(all_lmics181920[[who_choice_region]:[who_choice_region]],missing[],8,FALSE),VLOOKUP(all_lmics181920[[Setting]:[Setting]],all_cause_mort[],4,FALSE))*1.05</f>
        <v>8.4968314200000016E-3</v>
      </c>
      <c r="Q3">
        <f>IF(VLOOKUP(all_lmics181920[[Setting]:[Setting]],all_cause_mort[],5,FALSE)="",VLOOKUP(all_lmics181920[[who_choice_region]:[who_choice_region]],missing[],9,FALSE),VLOOKUP(all_lmics181920[[Setting]:[Setting]],all_cause_mort[],5,FALSE))*1.05</f>
        <v>8.8655857500000005E-4</v>
      </c>
      <c r="R3">
        <f>IF(VLOOKUP(all_lmics181920[[Setting]:[Setting]],all_cause_mort[],6,FALSE)="",VLOOKUP(all_lmics181920[[who_choice_region]:[who_choice_region]],missing[],10,FALSE),VLOOKUP(all_lmics181920[[Setting]:[Setting]],all_cause_mort[],6,FALSE))*1.05</f>
        <v>2.3446885350000002E-4</v>
      </c>
      <c r="S3">
        <f>IF(VLOOKUP(all_lmics181920[[Setting]:[Setting]],all_cause_mort[],7,FALSE)="",VLOOKUP(all_lmics181920[[who_choice_region]:[who_choice_region]],missing[],11,FALSE),VLOOKUP(all_lmics181920[[Setting]:[Setting]],all_cause_mort[],7,FALSE))*1.05</f>
        <v>2.8157059349999999E-4</v>
      </c>
      <c r="T3">
        <f>IF(VLOOKUP(all_lmics181920[[Setting]:[Setting]],all_cause_mort[],8,FALSE)="",VLOOKUP(all_lmics181920[[who_choice_region]:[who_choice_region]],missing[],12,FALSE),VLOOKUP(all_lmics181920[[Setting]:[Setting]],all_cause_mort[],8,FALSE))*1.05</f>
        <v>3.9069891000000003E-4</v>
      </c>
      <c r="U3">
        <f>IF(VLOOKUP(all_lmics181920[[Setting]:[Setting]],all_cause_mort[],9,FALSE)="",VLOOKUP(all_lmics181920[[who_choice_region]:[who_choice_region]],missing[],13,FALSE),VLOOKUP(all_lmics181920[[Setting]:[Setting]],all_cause_mort[],9,FALSE))*1.05</f>
        <v>4.4572265849999998E-4</v>
      </c>
      <c r="V3">
        <f>IF(VLOOKUP(all_lmics181920[[Setting]:[Setting]],all_cause_mort[],10,FALSE)="",VLOOKUP(all_lmics181920[[who_choice_region]:[who_choice_region]],missing[],14,FALSE),VLOOKUP(all_lmics181920[[Setting]:[Setting]],all_cause_mort[],10,FALSE))*1.05</f>
        <v>5.1415747950000004E-4</v>
      </c>
      <c r="W3">
        <f>IF(VLOOKUP(all_lmics181920[[Setting]:[Setting]],all_cause_mort[],11,FALSE)="",VLOOKUP(all_lmics181920[[who_choice_region]:[who_choice_region]],missing[],15,FALSE),VLOOKUP(all_lmics181920[[Setting]:[Setting]],all_cause_mort[],11,FALSE))*1.05</f>
        <v>6.6238287149999998E-4</v>
      </c>
      <c r="X3">
        <f>IF(VLOOKUP(all_lmics181920[[Setting]:[Setting]],all_cause_mort[],12,FALSE)="",VLOOKUP(all_lmics181920[[who_choice_region]:[who_choice_region]],missing[],16,FALSE),VLOOKUP(all_lmics181920[[Setting]:[Setting]],all_cause_mort[],12,FALSE))*1.05</f>
        <v>1.085577255E-3</v>
      </c>
      <c r="Y3">
        <f>IF(VLOOKUP(all_lmics181920[[Setting]:[Setting]],all_cause_mort[],13,FALSE)="",VLOOKUP(all_lmics181920[[who_choice_region]:[who_choice_region]],missing[],17,FALSE),VLOOKUP(all_lmics181920[[Setting]:[Setting]],all_cause_mort[],13,FALSE))*1.05</f>
        <v>1.47059346E-3</v>
      </c>
      <c r="Z3">
        <f>IF(VLOOKUP(all_lmics181920[[Setting]:[Setting]],all_cause_mort[],14,FALSE)="",VLOOKUP(all_lmics181920[[who_choice_region]:[who_choice_region]],missing[],18,FALSE),VLOOKUP(all_lmics181920[[Setting]:[Setting]],all_cause_mort[],14,FALSE))*1.05</f>
        <v>2.2905337350000001E-3</v>
      </c>
      <c r="AA3">
        <f>IF(VLOOKUP(all_lmics181920[[Setting]:[Setting]],all_cause_mort[],15,FALSE)="",VLOOKUP(all_lmics181920[[who_choice_region]:[who_choice_region]],missing[],19,FALSE),VLOOKUP(all_lmics181920[[Setting]:[Setting]],all_cause_mort[],15,FALSE))*1.05</f>
        <v>3.4939831500000003E-3</v>
      </c>
      <c r="AB3">
        <f>IF(VLOOKUP(all_lmics181920[[Setting]:[Setting]],all_cause_mort[],16,FALSE)="",VLOOKUP(all_lmics181920[[who_choice_region]:[who_choice_region]],missing[],20,FALSE),VLOOKUP(all_lmics181920[[Setting]:[Setting]],all_cause_mort[],16,FALSE))*1.05</f>
        <v>5.3766157200000001E-3</v>
      </c>
      <c r="AC3">
        <f>IF(VLOOKUP(all_lmics181920[[Setting]:[Setting]],all_cause_mort[],17,FALSE)="",VLOOKUP(all_lmics181920[[who_choice_region]:[who_choice_region]],missing[],21,FALSE),VLOOKUP(all_lmics181920[[Setting]:[Setting]],all_cause_mort[],17,FALSE))*1.05</f>
        <v>8.4132686400000007E-3</v>
      </c>
      <c r="AD3">
        <f>IF(VLOOKUP(all_lmics181920[[Setting]:[Setting]],all_cause_mort[],18,FALSE)="",VLOOKUP(all_lmics181920[[who_choice_region]:[who_choice_region]],missing[],22,FALSE),VLOOKUP(all_lmics181920[[Setting]:[Setting]],all_cause_mort[],18,FALSE))*1.05</f>
        <v>1.4207936400000001E-2</v>
      </c>
      <c r="AE3">
        <f>IF(VLOOKUP(all_lmics181920[[Setting]:[Setting]],all_cause_mort[],19,FALSE)="",VLOOKUP(all_lmics181920[[who_choice_region]:[who_choice_region]],missing[],23,FALSE),VLOOKUP(all_lmics181920[[Setting]:[Setting]],all_cause_mort[],19,FALSE))*1.05</f>
        <v>2.5559227050000001E-2</v>
      </c>
      <c r="AF3">
        <f>IF(VLOOKUP(all_lmics181920[[Setting]:[Setting]],all_cause_mort[],20,FALSE)="",VLOOKUP(all_lmics181920[[who_choice_region]:[who_choice_region]],missing[],24,FALSE),VLOOKUP(all_lmics181920[[Setting]:[Setting]],all_cause_mort[],20,FALSE))*1.05</f>
        <v>4.8760618200000001E-2</v>
      </c>
      <c r="AG3">
        <f>IF(VLOOKUP(all_lmics181920[[Setting]:[Setting]],all_cause_mort[],21,FALSE)="",VLOOKUP(all_lmics181920[[who_choice_region]:[who_choice_region]],missing[],25,FALSE),VLOOKUP(all_lmics181920[[Setting]:[Setting]],all_cause_mort[],21,FALSE))*1.05</f>
        <v>9.8007622650000001E-2</v>
      </c>
      <c r="AH3">
        <f>IF(VLOOKUP(all_lmics181920[[Setting]:[Setting]],all_cause_mort[],22,FALSE)="",VLOOKUP(all_lmics181920[[who_choice_region]:[who_choice_region]],missing[],26,FALSE),VLOOKUP(all_lmics181920[[Setting]:[Setting]],all_cause_mort[],22,FALSE))*1.05</f>
        <v>0.16931380199999999</v>
      </c>
      <c r="AI3">
        <f>IF(VLOOKUP(all_lmics181920[[Setting]:[Setting]],all_cause_mort[],23,FALSE)="",VLOOKUP(all_lmics181920[[who_choice_region]:[who_choice_region]],missing[],27,FALSE),VLOOKUP(all_lmics181920[[Setting]:[Setting]],all_cause_mort[],23,FALSE))*1.05</f>
        <v>0.27701102100000002</v>
      </c>
      <c r="AJ3">
        <f>IF(VLOOKUP(all_lmics181920[[Setting]:[Setting]],all_cause_mort[],24,FALSE)="",VLOOKUP(all_lmics181920[[who_choice_region]:[who_choice_region]],missing[],28,FALSE),VLOOKUP(all_lmics181920[[Setting]:[Setting]],all_cause_mort[],24,FALSE))*1.05</f>
        <v>0.42934204950000004</v>
      </c>
      <c r="AK3">
        <f>IF(VLOOKUP(all_lmics181920[[Setting]:[Setting]],all_cause_mort[],25,FALSE)="",VLOOKUP(all_lmics181920[[who_choice_region]:[who_choice_region]],missing[],29,FALSE),VLOOKUP(all_lmics181920[[Setting]:[Setting]],all_cause_mort[],25,FALSE))*1.05</f>
        <v>0.61522592765962658</v>
      </c>
      <c r="AL3">
        <f>VLOOKUP(all_lmics181920[[worldbank_region]:[worldbank_region]],Table13[],2,FALSE)*1.05</f>
        <v>46.7513991</v>
      </c>
      <c r="AM3">
        <f>VLOOKUP(all_lmics181920[[worldbank_region]:[worldbank_region]],Table13[],3,FALSE)*1.05</f>
        <v>46.7513991</v>
      </c>
      <c r="AN3">
        <f>VLOOKUP(all_lmics181920[[worldbank_region]:[worldbank_region]],Table13[],4,FALSE)*1.05</f>
        <v>96.866702099999983</v>
      </c>
      <c r="AO3">
        <f>VLOOKUP(all_lmics181920[[worldbank_region]:[worldbank_region]],Table13[],5,FALSE)*1.05</f>
        <v>96.866702099999983</v>
      </c>
      <c r="AP3">
        <f>VLOOKUP(all_lmics181920[[worldbank_region]:[worldbank_region]],Table13[],6,FALSE)*1.05</f>
        <v>96.866702099999983</v>
      </c>
      <c r="AQ3">
        <f>VLOOKUP(all_lmics181920[[worldbank_region]:[worldbank_region]],Table14[],2,FALSE)*1.05</f>
        <v>6.7392065999999993</v>
      </c>
      <c r="AR3">
        <f>VLOOKUP(all_lmics181920[[worldbank_region]:[worldbank_region]],Table14[],3,FALSE)*1.05</f>
        <v>7.3875815999999999</v>
      </c>
      <c r="AS3">
        <f>VLOOKUP(all_lmics181920[[worldbank_region]:[worldbank_region]],Table14[],4,FALSE)*1.05</f>
        <v>11.007016649999999</v>
      </c>
      <c r="AT3">
        <f>VLOOKUP(all_lmics181920[[worldbank_region]:[worldbank_region]],Table14[],5,FALSE)*1.05</f>
        <v>11.65539165</v>
      </c>
      <c r="AU3">
        <f>VLOOKUP(all_lmics181920[[worldbank_region]:[worldbank_region]],Table14[],6,FALSE)*1.05</f>
        <v>12.254156249999999</v>
      </c>
      <c r="AV3">
        <f>MIN(IFERROR(VLOOKUP(all_lmics181920[[Setting]:[Setting]],nFacSBA[],4,FALSE),VLOOKUP(all_lmics181920[[who_choice_region]:[who_choice_region]],missing[],30,FALSE))*1.05, 0.9999)</f>
        <v>0.81431829268870271</v>
      </c>
      <c r="AW3">
        <f>VLOOKUP(all_lmics181920[[worldbank_region]:[worldbank_region]],hbe[],4)</f>
        <v>0.5</v>
      </c>
      <c r="AX3">
        <f>VLOOKUP(all_lmics181920[[worldbank_region]:[worldbank_region]],hbe[],7)</f>
        <v>1</v>
      </c>
      <c r="AY3">
        <f>VLOOKUP(all_lmics181920[[worldbank_region]:[worldbank_region]],hbe[],10)</f>
        <v>0.25</v>
      </c>
    </row>
    <row r="4" spans="1:51" x14ac:dyDescent="0.35">
      <c r="A4" s="8" t="s">
        <v>12</v>
      </c>
      <c r="B4" s="10" t="s">
        <v>14</v>
      </c>
      <c r="C4" s="11" t="s">
        <v>15</v>
      </c>
      <c r="D4">
        <f>VLOOKUP(all_lmics181920[[Setting]:[Setting]],populations[],9,FALSE)</f>
        <v>41318142</v>
      </c>
      <c r="E4">
        <f>VLOOKUP(all_lmics181920[[Setting]:[Setting]],birthrate[],3,FALSE)</f>
        <v>2.3132E-2</v>
      </c>
      <c r="F4">
        <f>all_lmics181920[[#This Row],[2017_population]]*all_lmics181920[[#This Row],[2016_birthrate]]</f>
        <v>955771.26074399997</v>
      </c>
      <c r="G4">
        <f>MIN(VLOOKUP(all_lmics181920[[Setting]:[Setting]],birthdose[],4,FALSE)*1.05,0.9999)</f>
        <v>0.99990000000000001</v>
      </c>
      <c r="H4">
        <f>MIN(VLOOKUP(all_lmics181920[[Setting]:[Setting]],fullvax[],4,FALSE)*1.05,0.9999)</f>
        <v>0.95550000000000013</v>
      </c>
      <c r="I4">
        <f>IFERROR(VLOOKUP(all_lmics181920[[Setting]:[Setting]],prev[],3,FALSE),VLOOKUP(all_lmics181920[[who_choice_region]:[who_choice_region]],missing[],2,FALSE))</f>
        <v>2.1499999999999998E-2</v>
      </c>
      <c r="J4">
        <f>IFERROR(VLOOKUP(all_lmics181920[[Setting]:[Setting]],prev[],4,FALSE),VLOOKUP(all_lmics181920[[who_choice_region]:[who_choice_region]],missing[],3,FALSE))</f>
        <v>1.4E-2</v>
      </c>
      <c r="K4">
        <f>IFERROR(VLOOKUP(all_lmics181920[[Setting]:[Setting]],prev[],5,FALSE),VLOOKUP(all_lmics181920[[who_choice_region]:[who_choice_region]],missing[],4,FALSE))</f>
        <v>3.2300000000000002E-2</v>
      </c>
      <c r="L4">
        <f>IFERROR(VLOOKUP(all_lmics181920[[Setting]:[Setting]],prev[],7,FALSE),VLOOKUP(all_lmics181920[[who_choice_region]:[who_choice_region]],missing[],5,FALSE))</f>
        <v>5.5102040816326549E-3</v>
      </c>
      <c r="M4">
        <f>IFERROR(VLOOKUP(all_lmics181920[[Setting]:[Setting]],prev[],6,FALSE),0)</f>
        <v>36117637</v>
      </c>
      <c r="N4">
        <f>MIN(IFERROR(VLOOKUP(all_lmics181920[[Setting]:[Setting]],SBA[],4,FALSE),VLOOKUP(all_lmics181920[[who_choice_region]:[who_choice_region]],missing[],6,FALSE))*1.05, 0.9999)</f>
        <v>0.99990000000000001</v>
      </c>
      <c r="O4">
        <f>MIN(IFERROR(VLOOKUP(all_lmics181920[[Setting]:[Setting]], facility[], 3,FALSE),VLOOKUP(all_lmics181920[[who_choice_region]:[who_choice_region]],missing[],7,FALSE))*1.05, 0.9999)</f>
        <v>0.99990000000000001</v>
      </c>
      <c r="P4">
        <f>IF(VLOOKUP(all_lmics181920[[Setting]:[Setting]],all_cause_mort[],4,FALSE)="",VLOOKUP(all_lmics181920[[who_choice_region]:[who_choice_region]],missing[],8,FALSE),VLOOKUP(all_lmics181920[[Setting]:[Setting]],all_cause_mort[],4,FALSE))*1.05</f>
        <v>2.2742480249999999E-2</v>
      </c>
      <c r="Q4">
        <f>IF(VLOOKUP(all_lmics181920[[Setting]:[Setting]],all_cause_mort[],5,FALSE)="",VLOOKUP(all_lmics181920[[who_choice_region]:[who_choice_region]],missing[],9,FALSE),VLOOKUP(all_lmics181920[[Setting]:[Setting]],all_cause_mort[],5,FALSE))*1.05</f>
        <v>9.192606465E-4</v>
      </c>
      <c r="R4">
        <f>IF(VLOOKUP(all_lmics181920[[Setting]:[Setting]],all_cause_mort[],6,FALSE)="",VLOOKUP(all_lmics181920[[who_choice_region]:[who_choice_region]],missing[],10,FALSE),VLOOKUP(all_lmics181920[[Setting]:[Setting]],all_cause_mort[],6,FALSE))*1.05</f>
        <v>4.6844900549999999E-4</v>
      </c>
      <c r="S4">
        <f>IF(VLOOKUP(all_lmics181920[[Setting]:[Setting]],all_cause_mort[],7,FALSE)="",VLOOKUP(all_lmics181920[[who_choice_region]:[who_choice_region]],missing[],11,FALSE),VLOOKUP(all_lmics181920[[Setting]:[Setting]],all_cause_mort[],7,FALSE))*1.05</f>
        <v>4.1613834150000002E-4</v>
      </c>
      <c r="T4">
        <f>IF(VLOOKUP(all_lmics181920[[Setting]:[Setting]],all_cause_mort[],8,FALSE)="",VLOOKUP(all_lmics181920[[who_choice_region]:[who_choice_region]],missing[],12,FALSE),VLOOKUP(all_lmics181920[[Setting]:[Setting]],all_cause_mort[],8,FALSE))*1.05</f>
        <v>5.962044165000001E-4</v>
      </c>
      <c r="U4">
        <f>IF(VLOOKUP(all_lmics181920[[Setting]:[Setting]],all_cause_mort[],9,FALSE)="",VLOOKUP(all_lmics181920[[who_choice_region]:[who_choice_region]],missing[],13,FALSE),VLOOKUP(all_lmics181920[[Setting]:[Setting]],all_cause_mort[],9,FALSE))*1.05</f>
        <v>7.7611158450000006E-4</v>
      </c>
      <c r="V4">
        <f>IF(VLOOKUP(all_lmics181920[[Setting]:[Setting]],all_cause_mort[],10,FALSE)="",VLOOKUP(all_lmics181920[[who_choice_region]:[who_choice_region]],missing[],14,FALSE),VLOOKUP(all_lmics181920[[Setting]:[Setting]],all_cause_mort[],10,FALSE))*1.05</f>
        <v>9.1618112250000001E-4</v>
      </c>
      <c r="W4">
        <f>IF(VLOOKUP(all_lmics181920[[Setting]:[Setting]],all_cause_mort[],11,FALSE)="",VLOOKUP(all_lmics181920[[who_choice_region]:[who_choice_region]],missing[],15,FALSE),VLOOKUP(all_lmics181920[[Setting]:[Setting]],all_cause_mort[],11,FALSE))*1.05</f>
        <v>1.0826749500000002E-3</v>
      </c>
      <c r="X4">
        <f>IF(VLOOKUP(all_lmics181920[[Setting]:[Setting]],all_cause_mort[],12,FALSE)="",VLOOKUP(all_lmics181920[[who_choice_region]:[who_choice_region]],missing[],16,FALSE),VLOOKUP(all_lmics181920[[Setting]:[Setting]],all_cause_mort[],12,FALSE))*1.05</f>
        <v>1.4547679649999999E-3</v>
      </c>
      <c r="Y4">
        <f>IF(VLOOKUP(all_lmics181920[[Setting]:[Setting]],all_cause_mort[],13,FALSE)="",VLOOKUP(all_lmics181920[[who_choice_region]:[who_choice_region]],missing[],17,FALSE),VLOOKUP(all_lmics181920[[Setting]:[Setting]],all_cause_mort[],13,FALSE))*1.05</f>
        <v>1.9740791700000003E-3</v>
      </c>
      <c r="Z4">
        <f>IF(VLOOKUP(all_lmics181920[[Setting]:[Setting]],all_cause_mort[],14,FALSE)="",VLOOKUP(all_lmics181920[[who_choice_region]:[who_choice_region]],missing[],18,FALSE),VLOOKUP(all_lmics181920[[Setting]:[Setting]],all_cause_mort[],14,FALSE))*1.05</f>
        <v>2.8922496750000003E-3</v>
      </c>
      <c r="AA4">
        <f>IF(VLOOKUP(all_lmics181920[[Setting]:[Setting]],all_cause_mort[],15,FALSE)="",VLOOKUP(all_lmics181920[[who_choice_region]:[who_choice_region]],missing[],19,FALSE),VLOOKUP(all_lmics181920[[Setting]:[Setting]],all_cause_mort[],15,FALSE))*1.05</f>
        <v>4.2886198949999999E-3</v>
      </c>
      <c r="AB4">
        <f>IF(VLOOKUP(all_lmics181920[[Setting]:[Setting]],all_cause_mort[],16,FALSE)="",VLOOKUP(all_lmics181920[[who_choice_region]:[who_choice_region]],missing[],20,FALSE),VLOOKUP(all_lmics181920[[Setting]:[Setting]],all_cause_mort[],16,FALSE))*1.05</f>
        <v>6.5222448899999999E-3</v>
      </c>
      <c r="AC4">
        <f>IF(VLOOKUP(all_lmics181920[[Setting]:[Setting]],all_cause_mort[],17,FALSE)="",VLOOKUP(all_lmics181920[[who_choice_region]:[who_choice_region]],missing[],21,FALSE),VLOOKUP(all_lmics181920[[Setting]:[Setting]],all_cause_mort[],17,FALSE))*1.05</f>
        <v>1.04254311E-2</v>
      </c>
      <c r="AD4">
        <f>IF(VLOOKUP(all_lmics181920[[Setting]:[Setting]],all_cause_mort[],18,FALSE)="",VLOOKUP(all_lmics181920[[who_choice_region]:[who_choice_region]],missing[],22,FALSE),VLOOKUP(all_lmics181920[[Setting]:[Setting]],all_cause_mort[],18,FALSE))*1.05</f>
        <v>1.6031356949999999E-2</v>
      </c>
      <c r="AE4">
        <f>IF(VLOOKUP(all_lmics181920[[Setting]:[Setting]],all_cause_mort[],19,FALSE)="",VLOOKUP(all_lmics181920[[who_choice_region]:[who_choice_region]],missing[],23,FALSE),VLOOKUP(all_lmics181920[[Setting]:[Setting]],all_cause_mort[],19,FALSE))*1.05</f>
        <v>2.67174999E-2</v>
      </c>
      <c r="AF4">
        <f>IF(VLOOKUP(all_lmics181920[[Setting]:[Setting]],all_cause_mort[],20,FALSE)="",VLOOKUP(all_lmics181920[[who_choice_region]:[who_choice_region]],missing[],24,FALSE),VLOOKUP(all_lmics181920[[Setting]:[Setting]],all_cause_mort[],20,FALSE))*1.05</f>
        <v>4.7163336149999999E-2</v>
      </c>
      <c r="AG4">
        <f>IF(VLOOKUP(all_lmics181920[[Setting]:[Setting]],all_cause_mort[],21,FALSE)="",VLOOKUP(all_lmics181920[[who_choice_region]:[who_choice_region]],missing[],25,FALSE),VLOOKUP(all_lmics181920[[Setting]:[Setting]],all_cause_mort[],21,FALSE))*1.05</f>
        <v>8.4238909650000013E-2</v>
      </c>
      <c r="AH4">
        <f>IF(VLOOKUP(all_lmics181920[[Setting]:[Setting]],all_cause_mort[],22,FALSE)="",VLOOKUP(all_lmics181920[[who_choice_region]:[who_choice_region]],missing[],26,FALSE),VLOOKUP(all_lmics181920[[Setting]:[Setting]],all_cause_mort[],22,FALSE))*1.05</f>
        <v>0.14319504149999998</v>
      </c>
      <c r="AI4">
        <f>IF(VLOOKUP(all_lmics181920[[Setting]:[Setting]],all_cause_mort[],23,FALSE)="",VLOOKUP(all_lmics181920[[who_choice_region]:[who_choice_region]],missing[],27,FALSE),VLOOKUP(all_lmics181920[[Setting]:[Setting]],all_cause_mort[],23,FALSE))*1.05</f>
        <v>0.22665713700000001</v>
      </c>
      <c r="AJ4">
        <f>IF(VLOOKUP(all_lmics181920[[Setting]:[Setting]],all_cause_mort[],24,FALSE)="",VLOOKUP(all_lmics181920[[who_choice_region]:[who_choice_region]],missing[],28,FALSE),VLOOKUP(all_lmics181920[[Setting]:[Setting]],all_cause_mort[],24,FALSE))*1.05</f>
        <v>0.33226229400000001</v>
      </c>
      <c r="AK4">
        <f>IF(VLOOKUP(all_lmics181920[[Setting]:[Setting]],all_cause_mort[],25,FALSE)="",VLOOKUP(all_lmics181920[[who_choice_region]:[who_choice_region]],missing[],29,FALSE),VLOOKUP(all_lmics181920[[Setting]:[Setting]],all_cause_mort[],25,FALSE))*1.05</f>
        <v>0.47939050017869855</v>
      </c>
      <c r="AL4">
        <f>VLOOKUP(all_lmics181920[[worldbank_region]:[worldbank_region]],Table13[],2,FALSE)*1.05</f>
        <v>31.40787825</v>
      </c>
      <c r="AM4">
        <f>VLOOKUP(all_lmics181920[[worldbank_region]:[worldbank_region]],Table13[],3,FALSE)*1.05</f>
        <v>31.40787825</v>
      </c>
      <c r="AN4">
        <f>VLOOKUP(all_lmics181920[[worldbank_region]:[worldbank_region]],Table13[],4,FALSE)*1.05</f>
        <v>81.523181249999993</v>
      </c>
      <c r="AO4">
        <f>VLOOKUP(all_lmics181920[[worldbank_region]:[worldbank_region]],Table13[],5,FALSE)*1.05</f>
        <v>81.523181249999993</v>
      </c>
      <c r="AP4">
        <f>VLOOKUP(all_lmics181920[[worldbank_region]:[worldbank_region]],Table13[],6,FALSE)*1.05</f>
        <v>81.523181249999993</v>
      </c>
      <c r="AQ4">
        <f>VLOOKUP(all_lmics181920[[worldbank_region]:[worldbank_region]],Table14[],2,FALSE)*1.05</f>
        <v>1.0182816000000001</v>
      </c>
      <c r="AR4">
        <f>VLOOKUP(all_lmics181920[[worldbank_region]:[worldbank_region]],Table14[],3,FALSE)*1.05</f>
        <v>1.6666566000000003</v>
      </c>
      <c r="AS4">
        <f>VLOOKUP(all_lmics181920[[worldbank_region]:[worldbank_region]],Table14[],4,FALSE)*1.05</f>
        <v>6.08702115</v>
      </c>
      <c r="AT4">
        <f>VLOOKUP(all_lmics181920[[worldbank_region]:[worldbank_region]],Table14[],5,FALSE)*1.05</f>
        <v>6.7353961499999997</v>
      </c>
      <c r="AU4">
        <f>VLOOKUP(all_lmics181920[[worldbank_region]:[worldbank_region]],Table14[],6,FALSE)*1.05</f>
        <v>7.3341607499999997</v>
      </c>
      <c r="AV4">
        <f>MIN(IFERROR(VLOOKUP(all_lmics181920[[Setting]:[Setting]],nFacSBA[],4,FALSE),VLOOKUP(all_lmics181920[[who_choice_region]:[who_choice_region]],missing[],30,FALSE))*1.05, 0.9999)</f>
        <v>7.2641181126647275E-2</v>
      </c>
      <c r="AW4">
        <f>VLOOKUP(all_lmics181920[[worldbank_region]:[worldbank_region]],hbe[],4)</f>
        <v>0.5</v>
      </c>
      <c r="AX4">
        <f>VLOOKUP(all_lmics181920[[worldbank_region]:[worldbank_region]],hbe[],7)</f>
        <v>1</v>
      </c>
      <c r="AY4">
        <f>VLOOKUP(all_lmics181920[[worldbank_region]:[worldbank_region]],hbe[],10)</f>
        <v>0.25</v>
      </c>
    </row>
    <row r="5" spans="1:51" x14ac:dyDescent="0.35">
      <c r="A5" s="8" t="s">
        <v>24</v>
      </c>
      <c r="B5" s="10" t="s">
        <v>22</v>
      </c>
      <c r="C5" s="11" t="s">
        <v>383</v>
      </c>
      <c r="D5">
        <f>VLOOKUP(all_lmics181920[[Setting]:[Setting]],populations[],9,FALSE)</f>
        <v>44271041</v>
      </c>
      <c r="E5">
        <f>VLOOKUP(all_lmics181920[[Setting]:[Setting]],birthrate[],3,FALSE)</f>
        <v>1.7172E-2</v>
      </c>
      <c r="F5">
        <f>all_lmics181920[[#This Row],[2017_population]]*all_lmics181920[[#This Row],[2016_birthrate]]</f>
        <v>760222.31605200004</v>
      </c>
      <c r="G5">
        <f>MIN(VLOOKUP(all_lmics181920[[Setting]:[Setting]],birthdose[],4,FALSE)*1.05,0.9999)</f>
        <v>0.84000000000000008</v>
      </c>
      <c r="H5">
        <f>MIN(VLOOKUP(all_lmics181920[[Setting]:[Setting]],fullvax[],4,FALSE)*1.05,0.9999)</f>
        <v>0.90300000000000002</v>
      </c>
      <c r="I5">
        <f>IFERROR(VLOOKUP(all_lmics181920[[Setting]:[Setting]],prev[],3,FALSE),VLOOKUP(all_lmics181920[[who_choice_region]:[who_choice_region]],missing[],2,FALSE))</f>
        <v>2E-3</v>
      </c>
      <c r="J5">
        <f>IFERROR(VLOOKUP(all_lmics181920[[Setting]:[Setting]],prev[],4,FALSE),VLOOKUP(all_lmics181920[[who_choice_region]:[who_choice_region]],missing[],3,FALSE))</f>
        <v>1E-3</v>
      </c>
      <c r="K5">
        <f>IFERROR(VLOOKUP(all_lmics181920[[Setting]:[Setting]],prev[],5,FALSE),VLOOKUP(all_lmics181920[[who_choice_region]:[who_choice_region]],missing[],4,FALSE))</f>
        <v>3.0000000000000001E-3</v>
      </c>
      <c r="L5">
        <f>IFERROR(VLOOKUP(all_lmics181920[[Setting]:[Setting]],prev[],7,FALSE),VLOOKUP(all_lmics181920[[who_choice_region]:[who_choice_region]],missing[],5,FALSE))</f>
        <v>5.1020408163265311E-4</v>
      </c>
      <c r="M5">
        <f>IFERROR(VLOOKUP(all_lmics181920[[Setting]:[Setting]],prev[],6,FALSE),0)</f>
        <v>44271041</v>
      </c>
      <c r="N5">
        <f>MIN(IFERROR(VLOOKUP(all_lmics181920[[Setting]:[Setting]],SBA[],4,FALSE),VLOOKUP(all_lmics181920[[who_choice_region]:[who_choice_region]],missing[],6,FALSE))*1.05, 0.9999)</f>
        <v>0.99990000000000001</v>
      </c>
      <c r="O5">
        <f>MIN(IFERROR(VLOOKUP(all_lmics181920[[Setting]:[Setting]], facility[], 3,FALSE),VLOOKUP(all_lmics181920[[who_choice_region]:[who_choice_region]],missing[],7,FALSE))*1.05, 0.9999)</f>
        <v>0.99990000000000001</v>
      </c>
      <c r="P5">
        <f>IF(VLOOKUP(all_lmics181920[[Setting]:[Setting]],all_cause_mort[],4,FALSE)="",VLOOKUP(all_lmics181920[[who_choice_region]:[who_choice_region]],missing[],8,FALSE),VLOOKUP(all_lmics181920[[Setting]:[Setting]],all_cause_mort[],4,FALSE))*1.05</f>
        <v>1.083872265E-2</v>
      </c>
      <c r="Q5">
        <f>IF(VLOOKUP(all_lmics181920[[Setting]:[Setting]],all_cause_mort[],5,FALSE)="",VLOOKUP(all_lmics181920[[who_choice_region]:[who_choice_region]],missing[],9,FALSE),VLOOKUP(all_lmics181920[[Setting]:[Setting]],all_cause_mort[],5,FALSE))*1.05</f>
        <v>4.3460526900000003E-4</v>
      </c>
      <c r="R5">
        <f>IF(VLOOKUP(all_lmics181920[[Setting]:[Setting]],all_cause_mort[],6,FALSE)="",VLOOKUP(all_lmics181920[[who_choice_region]:[who_choice_region]],missing[],10,FALSE),VLOOKUP(all_lmics181920[[Setting]:[Setting]],all_cause_mort[],6,FALSE))*1.05</f>
        <v>1.9150236000000002E-4</v>
      </c>
      <c r="S5">
        <f>IF(VLOOKUP(all_lmics181920[[Setting]:[Setting]],all_cause_mort[],7,FALSE)="",VLOOKUP(all_lmics181920[[who_choice_region]:[who_choice_region]],missing[],11,FALSE),VLOOKUP(all_lmics181920[[Setting]:[Setting]],all_cause_mort[],7,FALSE))*1.05</f>
        <v>2.5072029150000004E-4</v>
      </c>
      <c r="T5">
        <f>IF(VLOOKUP(all_lmics181920[[Setting]:[Setting]],all_cause_mort[],8,FALSE)="",VLOOKUP(all_lmics181920[[who_choice_region]:[who_choice_region]],missing[],12,FALSE),VLOOKUP(all_lmics181920[[Setting]:[Setting]],all_cause_mort[],8,FALSE))*1.05</f>
        <v>7.8140879250000001E-4</v>
      </c>
      <c r="U5">
        <f>IF(VLOOKUP(all_lmics181920[[Setting]:[Setting]],all_cause_mort[],9,FALSE)="",VLOOKUP(all_lmics181920[[who_choice_region]:[who_choice_region]],missing[],13,FALSE),VLOOKUP(all_lmics181920[[Setting]:[Setting]],all_cause_mort[],9,FALSE))*1.05</f>
        <v>1.0758737850000001E-3</v>
      </c>
      <c r="V5">
        <f>IF(VLOOKUP(all_lmics181920[[Setting]:[Setting]],all_cause_mort[],10,FALSE)="",VLOOKUP(all_lmics181920[[who_choice_region]:[who_choice_region]],missing[],14,FALSE),VLOOKUP(all_lmics181920[[Setting]:[Setting]],all_cause_mort[],10,FALSE))*1.05</f>
        <v>1.0821311550000001E-3</v>
      </c>
      <c r="W5">
        <f>IF(VLOOKUP(all_lmics181920[[Setting]:[Setting]],all_cause_mort[],11,FALSE)="",VLOOKUP(all_lmics181920[[who_choice_region]:[who_choice_region]],missing[],15,FALSE),VLOOKUP(all_lmics181920[[Setting]:[Setting]],all_cause_mort[],11,FALSE))*1.05</f>
        <v>1.2268709250000001E-3</v>
      </c>
      <c r="X5">
        <f>IF(VLOOKUP(all_lmics181920[[Setting]:[Setting]],all_cause_mort[],12,FALSE)="",VLOOKUP(all_lmics181920[[who_choice_region]:[who_choice_region]],missing[],16,FALSE),VLOOKUP(all_lmics181920[[Setting]:[Setting]],all_cause_mort[],12,FALSE))*1.05</f>
        <v>1.4860580699999999E-3</v>
      </c>
      <c r="Y5">
        <f>IF(VLOOKUP(all_lmics181920[[Setting]:[Setting]],all_cause_mort[],13,FALSE)="",VLOOKUP(all_lmics181920[[who_choice_region]:[who_choice_region]],missing[],17,FALSE),VLOOKUP(all_lmics181920[[Setting]:[Setting]],all_cause_mort[],13,FALSE))*1.05</f>
        <v>2.0974699200000005E-3</v>
      </c>
      <c r="Z5">
        <f>IF(VLOOKUP(all_lmics181920[[Setting]:[Setting]],all_cause_mort[],14,FALSE)="",VLOOKUP(all_lmics181920[[who_choice_region]:[who_choice_region]],missing[],18,FALSE),VLOOKUP(all_lmics181920[[Setting]:[Setting]],all_cause_mort[],14,FALSE))*1.05</f>
        <v>3.32979087E-3</v>
      </c>
      <c r="AA5">
        <f>IF(VLOOKUP(all_lmics181920[[Setting]:[Setting]],all_cause_mort[],15,FALSE)="",VLOOKUP(all_lmics181920[[who_choice_region]:[who_choice_region]],missing[],19,FALSE),VLOOKUP(all_lmics181920[[Setting]:[Setting]],all_cause_mort[],15,FALSE))*1.05</f>
        <v>5.3957781149999995E-3</v>
      </c>
      <c r="AB5">
        <f>IF(VLOOKUP(all_lmics181920[[Setting]:[Setting]],all_cause_mort[],16,FALSE)="",VLOOKUP(all_lmics181920[[who_choice_region]:[who_choice_region]],missing[],20,FALSE),VLOOKUP(all_lmics181920[[Setting]:[Setting]],all_cause_mort[],16,FALSE))*1.05</f>
        <v>8.9459612550000008E-3</v>
      </c>
      <c r="AC5">
        <f>IF(VLOOKUP(all_lmics181920[[Setting]:[Setting]],all_cause_mort[],17,FALSE)="",VLOOKUP(all_lmics181920[[who_choice_region]:[who_choice_region]],missing[],21,FALSE),VLOOKUP(all_lmics181920[[Setting]:[Setting]],all_cause_mort[],17,FALSE))*1.05</f>
        <v>1.3578814199999999E-2</v>
      </c>
      <c r="AD5">
        <f>IF(VLOOKUP(all_lmics181920[[Setting]:[Setting]],all_cause_mort[],18,FALSE)="",VLOOKUP(all_lmics181920[[who_choice_region]:[who_choice_region]],missing[],22,FALSE),VLOOKUP(all_lmics181920[[Setting]:[Setting]],all_cause_mort[],18,FALSE))*1.05</f>
        <v>2.0776143149999999E-2</v>
      </c>
      <c r="AE5">
        <f>IF(VLOOKUP(all_lmics181920[[Setting]:[Setting]],all_cause_mort[],19,FALSE)="",VLOOKUP(all_lmics181920[[who_choice_region]:[who_choice_region]],missing[],23,FALSE),VLOOKUP(all_lmics181920[[Setting]:[Setting]],all_cause_mort[],19,FALSE))*1.05</f>
        <v>3.1010927850000002E-2</v>
      </c>
      <c r="AF5">
        <f>IF(VLOOKUP(all_lmics181920[[Setting]:[Setting]],all_cause_mort[],20,FALSE)="",VLOOKUP(all_lmics181920[[who_choice_region]:[who_choice_region]],missing[],24,FALSE),VLOOKUP(all_lmics181920[[Setting]:[Setting]],all_cause_mort[],20,FALSE))*1.05</f>
        <v>4.8714835050000002E-2</v>
      </c>
      <c r="AG5">
        <f>IF(VLOOKUP(all_lmics181920[[Setting]:[Setting]],all_cause_mort[],21,FALSE)="",VLOOKUP(all_lmics181920[[who_choice_region]:[who_choice_region]],missing[],25,FALSE),VLOOKUP(all_lmics181920[[Setting]:[Setting]],all_cause_mort[],21,FALSE))*1.05</f>
        <v>8.0604271650000003E-2</v>
      </c>
      <c r="AH5">
        <f>IF(VLOOKUP(all_lmics181920[[Setting]:[Setting]],all_cause_mort[],22,FALSE)="",VLOOKUP(all_lmics181920[[who_choice_region]:[who_choice_region]],missing[],26,FALSE),VLOOKUP(all_lmics181920[[Setting]:[Setting]],all_cause_mort[],22,FALSE))*1.05</f>
        <v>0.131904822</v>
      </c>
      <c r="AI5">
        <f>IF(VLOOKUP(all_lmics181920[[Setting]:[Setting]],all_cause_mort[],23,FALSE)="",VLOOKUP(all_lmics181920[[who_choice_region]:[who_choice_region]],missing[],27,FALSE),VLOOKUP(all_lmics181920[[Setting]:[Setting]],all_cause_mort[],23,FALSE))*1.05</f>
        <v>0.20992869450000001</v>
      </c>
      <c r="AJ5">
        <f>IF(VLOOKUP(all_lmics181920[[Setting]:[Setting]],all_cause_mort[],24,FALSE)="",VLOOKUP(all_lmics181920[[who_choice_region]:[who_choice_region]],missing[],28,FALSE),VLOOKUP(all_lmics181920[[Setting]:[Setting]],all_cause_mort[],24,FALSE))*1.05</f>
        <v>0.32452480200000006</v>
      </c>
      <c r="AK5">
        <f>IF(VLOOKUP(all_lmics181920[[Setting]:[Setting]],all_cause_mort[],25,FALSE)="",VLOOKUP(all_lmics181920[[who_choice_region]:[who_choice_region]],missing[],29,FALSE),VLOOKUP(all_lmics181920[[Setting]:[Setting]],all_cause_mort[],25,FALSE))*1.05</f>
        <v>0.48472242624163475</v>
      </c>
      <c r="AL5">
        <f>VLOOKUP(all_lmics181920[[worldbank_region]:[worldbank_region]],Table13[],2,FALSE)*1.05</f>
        <v>91.202986349999989</v>
      </c>
      <c r="AM5">
        <f>VLOOKUP(all_lmics181920[[worldbank_region]:[worldbank_region]],Table13[],3,FALSE)*1.05</f>
        <v>91.202986349999989</v>
      </c>
      <c r="AN5">
        <f>VLOOKUP(all_lmics181920[[worldbank_region]:[worldbank_region]],Table13[],4,FALSE)*1.05</f>
        <v>141.31828934999999</v>
      </c>
      <c r="AO5">
        <f>VLOOKUP(all_lmics181920[[worldbank_region]:[worldbank_region]],Table13[],5,FALSE)*1.05</f>
        <v>141.31828934999999</v>
      </c>
      <c r="AP5">
        <f>VLOOKUP(all_lmics181920[[worldbank_region]:[worldbank_region]],Table13[],6,FALSE)*1.05</f>
        <v>141.31828934999999</v>
      </c>
      <c r="AQ5">
        <f>VLOOKUP(all_lmics181920[[worldbank_region]:[worldbank_region]],Table14[],2,FALSE)*1.05</f>
        <v>1.5903741</v>
      </c>
      <c r="AR5">
        <f>VLOOKUP(all_lmics181920[[worldbank_region]:[worldbank_region]],Table14[],3,FALSE)*1.05</f>
        <v>2.2387491000000002</v>
      </c>
      <c r="AS5">
        <f>VLOOKUP(all_lmics181920[[worldbank_region]:[worldbank_region]],Table14[],4,FALSE)*1.05</f>
        <v>1.6132578000000002</v>
      </c>
      <c r="AT5">
        <f>VLOOKUP(all_lmics181920[[worldbank_region]:[worldbank_region]],Table14[],5,FALSE)*1.05</f>
        <v>2.2616328000000001</v>
      </c>
      <c r="AU5">
        <f>VLOOKUP(all_lmics181920[[worldbank_region]:[worldbank_region]],Table14[],6,FALSE)*1.05</f>
        <v>2.8603974000000001</v>
      </c>
      <c r="AV5">
        <f>MIN(IFERROR(VLOOKUP(all_lmics181920[[Setting]:[Setting]],nFacSBA[],4,FALSE),VLOOKUP(all_lmics181920[[who_choice_region]:[who_choice_region]],missing[],30,FALSE))*1.05, 0.9999)</f>
        <v>0.21428754022970595</v>
      </c>
      <c r="AW5">
        <f>VLOOKUP(all_lmics181920[[worldbank_region]:[worldbank_region]],hbe[],4)</f>
        <v>0.5</v>
      </c>
      <c r="AX5">
        <f>VLOOKUP(all_lmics181920[[worldbank_region]:[worldbank_region]],hbe[],7)</f>
        <v>1</v>
      </c>
      <c r="AY5">
        <f>VLOOKUP(all_lmics181920[[worldbank_region]:[worldbank_region]],hbe[],10)</f>
        <v>0.25</v>
      </c>
    </row>
    <row r="6" spans="1:51" x14ac:dyDescent="0.35">
      <c r="A6" s="12" t="s">
        <v>25</v>
      </c>
      <c r="B6" s="13" t="s">
        <v>10</v>
      </c>
      <c r="C6" s="14" t="s">
        <v>11</v>
      </c>
      <c r="D6">
        <f>VLOOKUP(all_lmics181920[[Setting]:[Setting]],populations[],9,FALSE)</f>
        <v>2930450</v>
      </c>
      <c r="E6">
        <f>VLOOKUP(all_lmics181920[[Setting]:[Setting]],birthrate[],3,FALSE)</f>
        <v>1.3455999999999999E-2</v>
      </c>
      <c r="F6">
        <f>all_lmics181920[[#This Row],[2017_population]]*all_lmics181920[[#This Row],[2016_birthrate]]</f>
        <v>39432.135199999997</v>
      </c>
      <c r="G6">
        <f>MIN(VLOOKUP(all_lmics181920[[Setting]:[Setting]],birthdose[],4,FALSE)*1.05,0.9999)</f>
        <v>0.99990000000000001</v>
      </c>
      <c r="H6">
        <f>MIN(VLOOKUP(all_lmics181920[[Setting]:[Setting]],fullvax[],4,FALSE)*1.05,0.9999)</f>
        <v>0.98699999999999999</v>
      </c>
      <c r="I6">
        <f>IFERROR(VLOOKUP(all_lmics181920[[Setting]:[Setting]],prev[],3,FALSE),VLOOKUP(all_lmics181920[[who_choice_region]:[who_choice_region]],missing[],2,FALSE))</f>
        <v>1.9E-2</v>
      </c>
      <c r="J6">
        <f>IFERROR(VLOOKUP(all_lmics181920[[Setting]:[Setting]],prev[],4,FALSE),VLOOKUP(all_lmics181920[[who_choice_region]:[who_choice_region]],missing[],3,FALSE))</f>
        <v>1.7000000000000001E-2</v>
      </c>
      <c r="K6">
        <f>IFERROR(VLOOKUP(all_lmics181920[[Setting]:[Setting]],prev[],5,FALSE),VLOOKUP(all_lmics181920[[who_choice_region]:[who_choice_region]],missing[],4,FALSE))</f>
        <v>2.1000000000000001E-2</v>
      </c>
      <c r="L6">
        <f>IFERROR(VLOOKUP(all_lmics181920[[Setting]:[Setting]],prev[],7,FALSE),VLOOKUP(all_lmics181920[[who_choice_region]:[who_choice_region]],missing[],5,FALSE))</f>
        <v>1.0204081632653071E-3</v>
      </c>
      <c r="M6">
        <f>IFERROR(VLOOKUP(all_lmics181920[[Setting]:[Setting]],prev[],6,FALSE),0)</f>
        <v>2930450</v>
      </c>
      <c r="N6">
        <f>MIN(IFERROR(VLOOKUP(all_lmics181920[[Setting]:[Setting]],SBA[],4,FALSE),VLOOKUP(all_lmics181920[[who_choice_region]:[who_choice_region]],missing[],6,FALSE))*1.05, 0.9999)</f>
        <v>0.99990000000000001</v>
      </c>
      <c r="O6">
        <f>MIN(IFERROR(VLOOKUP(all_lmics181920[[Setting]:[Setting]], facility[], 3,FALSE),VLOOKUP(all_lmics181920[[who_choice_region]:[who_choice_region]],missing[],7,FALSE))*1.05, 0.9999)</f>
        <v>0.99990000000000001</v>
      </c>
      <c r="P6">
        <f>IF(VLOOKUP(all_lmics181920[[Setting]:[Setting]],all_cause_mort[],4,FALSE)="",VLOOKUP(all_lmics181920[[who_choice_region]:[who_choice_region]],missing[],8,FALSE),VLOOKUP(all_lmics181920[[Setting]:[Setting]],all_cause_mort[],4,FALSE))*1.05</f>
        <v>1.1419011450000001E-2</v>
      </c>
      <c r="Q6">
        <f>IF(VLOOKUP(all_lmics181920[[Setting]:[Setting]],all_cause_mort[],5,FALSE)="",VLOOKUP(all_lmics181920[[who_choice_region]:[who_choice_region]],missing[],9,FALSE),VLOOKUP(all_lmics181920[[Setting]:[Setting]],all_cause_mort[],5,FALSE))*1.05</f>
        <v>6.3632387700000002E-4</v>
      </c>
      <c r="R6">
        <f>IF(VLOOKUP(all_lmics181920[[Setting]:[Setting]],all_cause_mort[],6,FALSE)="",VLOOKUP(all_lmics181920[[who_choice_region]:[who_choice_region]],missing[],10,FALSE),VLOOKUP(all_lmics181920[[Setting]:[Setting]],all_cause_mort[],6,FALSE))*1.05</f>
        <v>2.0371945650000001E-4</v>
      </c>
      <c r="S6">
        <f>IF(VLOOKUP(all_lmics181920[[Setting]:[Setting]],all_cause_mort[],7,FALSE)="",VLOOKUP(all_lmics181920[[who_choice_region]:[who_choice_region]],missing[],11,FALSE),VLOOKUP(all_lmics181920[[Setting]:[Setting]],all_cause_mort[],7,FALSE))*1.05</f>
        <v>2.6088680099999999E-4</v>
      </c>
      <c r="T6">
        <f>IF(VLOOKUP(all_lmics181920[[Setting]:[Setting]],all_cause_mort[],8,FALSE)="",VLOOKUP(all_lmics181920[[who_choice_region]:[who_choice_region]],missing[],12,FALSE),VLOOKUP(all_lmics181920[[Setting]:[Setting]],all_cause_mort[],8,FALSE))*1.05</f>
        <v>6.6235905749999994E-4</v>
      </c>
      <c r="U6">
        <f>IF(VLOOKUP(all_lmics181920[[Setting]:[Setting]],all_cause_mort[],9,FALSE)="",VLOOKUP(all_lmics181920[[who_choice_region]:[who_choice_region]],missing[],13,FALSE),VLOOKUP(all_lmics181920[[Setting]:[Setting]],all_cause_mort[],9,FALSE))*1.05</f>
        <v>6.4909720050000002E-4</v>
      </c>
      <c r="V6">
        <f>IF(VLOOKUP(all_lmics181920[[Setting]:[Setting]],all_cause_mort[],10,FALSE)="",VLOOKUP(all_lmics181920[[who_choice_region]:[who_choice_region]],missing[],14,FALSE),VLOOKUP(all_lmics181920[[Setting]:[Setting]],all_cause_mort[],10,FALSE))*1.05</f>
        <v>6.1391826300000001E-4</v>
      </c>
      <c r="W6">
        <f>IF(VLOOKUP(all_lmics181920[[Setting]:[Setting]],all_cause_mort[],11,FALSE)="",VLOOKUP(all_lmics181920[[who_choice_region]:[who_choice_region]],missing[],15,FALSE),VLOOKUP(all_lmics181920[[Setting]:[Setting]],all_cause_mort[],11,FALSE))*1.05</f>
        <v>8.0872282049999997E-4</v>
      </c>
      <c r="X6">
        <f>IF(VLOOKUP(all_lmics181920[[Setting]:[Setting]],all_cause_mort[],12,FALSE)="",VLOOKUP(all_lmics181920[[who_choice_region]:[who_choice_region]],missing[],16,FALSE),VLOOKUP(all_lmics181920[[Setting]:[Setting]],all_cause_mort[],12,FALSE))*1.05</f>
        <v>1.2172102950000002E-3</v>
      </c>
      <c r="Y6">
        <f>IF(VLOOKUP(all_lmics181920[[Setting]:[Setting]],all_cause_mort[],13,FALSE)="",VLOOKUP(all_lmics181920[[who_choice_region]:[who_choice_region]],missing[],17,FALSE),VLOOKUP(all_lmics181920[[Setting]:[Setting]],all_cause_mort[],13,FALSE))*1.05</f>
        <v>2.29523448E-3</v>
      </c>
      <c r="Z6">
        <f>IF(VLOOKUP(all_lmics181920[[Setting]:[Setting]],all_cause_mort[],14,FALSE)="",VLOOKUP(all_lmics181920[[who_choice_region]:[who_choice_region]],missing[],18,FALSE),VLOOKUP(all_lmics181920[[Setting]:[Setting]],all_cause_mort[],14,FALSE))*1.05</f>
        <v>3.8235500100000002E-3</v>
      </c>
      <c r="AA6">
        <f>IF(VLOOKUP(all_lmics181920[[Setting]:[Setting]],all_cause_mort[],15,FALSE)="",VLOOKUP(all_lmics181920[[who_choice_region]:[who_choice_region]],missing[],19,FALSE),VLOOKUP(all_lmics181920[[Setting]:[Setting]],all_cause_mort[],15,FALSE))*1.05</f>
        <v>6.3228551399999999E-3</v>
      </c>
      <c r="AB6">
        <f>IF(VLOOKUP(all_lmics181920[[Setting]:[Setting]],all_cause_mort[],16,FALSE)="",VLOOKUP(all_lmics181920[[who_choice_region]:[who_choice_region]],missing[],20,FALSE),VLOOKUP(all_lmics181920[[Setting]:[Setting]],all_cause_mort[],16,FALSE))*1.05</f>
        <v>9.5723806500000001E-3</v>
      </c>
      <c r="AC6">
        <f>IF(VLOOKUP(all_lmics181920[[Setting]:[Setting]],all_cause_mort[],17,FALSE)="",VLOOKUP(all_lmics181920[[who_choice_region]:[who_choice_region]],missing[],21,FALSE),VLOOKUP(all_lmics181920[[Setting]:[Setting]],all_cause_mort[],17,FALSE))*1.05</f>
        <v>1.5090397350000001E-2</v>
      </c>
      <c r="AD6">
        <f>IF(VLOOKUP(all_lmics181920[[Setting]:[Setting]],all_cause_mort[],18,FALSE)="",VLOOKUP(all_lmics181920[[who_choice_region]:[who_choice_region]],missing[],22,FALSE),VLOOKUP(all_lmics181920[[Setting]:[Setting]],all_cause_mort[],18,FALSE))*1.05</f>
        <v>2.3176606950000001E-2</v>
      </c>
      <c r="AE6">
        <f>IF(VLOOKUP(all_lmics181920[[Setting]:[Setting]],all_cause_mort[],19,FALSE)="",VLOOKUP(all_lmics181920[[who_choice_region]:[who_choice_region]],missing[],23,FALSE),VLOOKUP(all_lmics181920[[Setting]:[Setting]],all_cause_mort[],19,FALSE))*1.05</f>
        <v>3.8068888200000005E-2</v>
      </c>
      <c r="AF6">
        <f>IF(VLOOKUP(all_lmics181920[[Setting]:[Setting]],all_cause_mort[],20,FALSE)="",VLOOKUP(all_lmics181920[[who_choice_region]:[who_choice_region]],missing[],24,FALSE),VLOOKUP(all_lmics181920[[Setting]:[Setting]],all_cause_mort[],20,FALSE))*1.05</f>
        <v>6.6099229349999997E-2</v>
      </c>
      <c r="AG6">
        <f>IF(VLOOKUP(all_lmics181920[[Setting]:[Setting]],all_cause_mort[],21,FALSE)="",VLOOKUP(all_lmics181920[[who_choice_region]:[who_choice_region]],missing[],25,FALSE),VLOOKUP(all_lmics181920[[Setting]:[Setting]],all_cause_mort[],21,FALSE))*1.05</f>
        <v>0.10999139550000001</v>
      </c>
      <c r="AH6">
        <f>IF(VLOOKUP(all_lmics181920[[Setting]:[Setting]],all_cause_mort[],22,FALSE)="",VLOOKUP(all_lmics181920[[who_choice_region]:[who_choice_region]],missing[],26,FALSE),VLOOKUP(all_lmics181920[[Setting]:[Setting]],all_cause_mort[],22,FALSE))*1.05</f>
        <v>0.17625825000000001</v>
      </c>
      <c r="AI6">
        <f>IF(VLOOKUP(all_lmics181920[[Setting]:[Setting]],all_cause_mort[],23,FALSE)="",VLOOKUP(all_lmics181920[[who_choice_region]:[who_choice_region]],missing[],27,FALSE),VLOOKUP(all_lmics181920[[Setting]:[Setting]],all_cause_mort[],23,FALSE))*1.05</f>
        <v>0.274751568</v>
      </c>
      <c r="AJ6">
        <f>IF(VLOOKUP(all_lmics181920[[Setting]:[Setting]],all_cause_mort[],24,FALSE)="",VLOOKUP(all_lmics181920[[who_choice_region]:[who_choice_region]],missing[],28,FALSE),VLOOKUP(all_lmics181920[[Setting]:[Setting]],all_cause_mort[],24,FALSE))*1.05</f>
        <v>0.38373741000000006</v>
      </c>
      <c r="AK6">
        <f>IF(VLOOKUP(all_lmics181920[[Setting]:[Setting]],all_cause_mort[],25,FALSE)="",VLOOKUP(all_lmics181920[[who_choice_region]:[who_choice_region]],missing[],29,FALSE),VLOOKUP(all_lmics181920[[Setting]:[Setting]],all_cause_mort[],25,FALSE))*1.05</f>
        <v>0.53099708103318866</v>
      </c>
      <c r="AL6">
        <f>VLOOKUP(all_lmics181920[[worldbank_region]:[worldbank_region]],Table13[],2,FALSE)*1.05</f>
        <v>46.7513991</v>
      </c>
      <c r="AM6">
        <f>VLOOKUP(all_lmics181920[[worldbank_region]:[worldbank_region]],Table13[],3,FALSE)*1.05</f>
        <v>46.7513991</v>
      </c>
      <c r="AN6">
        <f>VLOOKUP(all_lmics181920[[worldbank_region]:[worldbank_region]],Table13[],4,FALSE)*1.05</f>
        <v>96.866702099999983</v>
      </c>
      <c r="AO6">
        <f>VLOOKUP(all_lmics181920[[worldbank_region]:[worldbank_region]],Table13[],5,FALSE)*1.05</f>
        <v>96.866702099999983</v>
      </c>
      <c r="AP6">
        <f>VLOOKUP(all_lmics181920[[worldbank_region]:[worldbank_region]],Table13[],6,FALSE)*1.05</f>
        <v>96.866702099999983</v>
      </c>
      <c r="AQ6">
        <f>VLOOKUP(all_lmics181920[[worldbank_region]:[worldbank_region]],Table14[],2,FALSE)*1.05</f>
        <v>6.7392065999999993</v>
      </c>
      <c r="AR6">
        <f>VLOOKUP(all_lmics181920[[worldbank_region]:[worldbank_region]],Table14[],3,FALSE)*1.05</f>
        <v>7.3875815999999999</v>
      </c>
      <c r="AS6">
        <f>VLOOKUP(all_lmics181920[[worldbank_region]:[worldbank_region]],Table14[],4,FALSE)*1.05</f>
        <v>11.007016649999999</v>
      </c>
      <c r="AT6">
        <f>VLOOKUP(all_lmics181920[[worldbank_region]:[worldbank_region]],Table14[],5,FALSE)*1.05</f>
        <v>11.65539165</v>
      </c>
      <c r="AU6">
        <f>VLOOKUP(all_lmics181920[[worldbank_region]:[worldbank_region]],Table14[],6,FALSE)*1.05</f>
        <v>12.254156249999999</v>
      </c>
      <c r="AV6">
        <f>MIN(IFERROR(VLOOKUP(all_lmics181920[[Setting]:[Setting]],nFacSBA[],4,FALSE),VLOOKUP(all_lmics181920[[who_choice_region]:[who_choice_region]],missing[],30,FALSE))*1.05, 0.9999)</f>
        <v>0.60734979009970269</v>
      </c>
      <c r="AW6">
        <f>VLOOKUP(all_lmics181920[[worldbank_region]:[worldbank_region]],hbe[],4)</f>
        <v>0.5</v>
      </c>
      <c r="AX6">
        <f>VLOOKUP(all_lmics181920[[worldbank_region]:[worldbank_region]],hbe[],7)</f>
        <v>1</v>
      </c>
      <c r="AY6">
        <f>VLOOKUP(all_lmics181920[[worldbank_region]:[worldbank_region]],hbe[],10)</f>
        <v>0.25</v>
      </c>
    </row>
    <row r="7" spans="1:51" x14ac:dyDescent="0.35">
      <c r="A7" s="8" t="s">
        <v>30</v>
      </c>
      <c r="B7" s="10" t="s">
        <v>10</v>
      </c>
      <c r="C7" s="11" t="s">
        <v>11</v>
      </c>
      <c r="D7">
        <f>VLOOKUP(all_lmics181920[[Setting]:[Setting]],populations[],9,FALSE)</f>
        <v>9862429</v>
      </c>
      <c r="E7">
        <f>VLOOKUP(all_lmics181920[[Setting]:[Setting]],birthrate[],3,FALSE)</f>
        <v>1.6300000000000002E-2</v>
      </c>
      <c r="F7">
        <f>all_lmics181920[[#This Row],[2017_population]]*all_lmics181920[[#This Row],[2016_birthrate]]</f>
        <v>160757.59270000001</v>
      </c>
      <c r="G7">
        <f>MIN(VLOOKUP(all_lmics181920[[Setting]:[Setting]],birthdose[],4,FALSE)*1.05,0.9999)</f>
        <v>0.99990000000000001</v>
      </c>
      <c r="H7">
        <f>MIN(VLOOKUP(all_lmics181920[[Setting]:[Setting]],fullvax[],4,FALSE)*1.05,0.9999)</f>
        <v>0.99749999999999994</v>
      </c>
      <c r="I7">
        <f>IFERROR(VLOOKUP(all_lmics181920[[Setting]:[Setting]],prev[],3,FALSE),VLOOKUP(all_lmics181920[[who_choice_region]:[who_choice_region]],missing[],2,FALSE))</f>
        <v>1.7999999999999999E-2</v>
      </c>
      <c r="J7">
        <f>IFERROR(VLOOKUP(all_lmics181920[[Setting]:[Setting]],prev[],4,FALSE),VLOOKUP(all_lmics181920[[who_choice_region]:[who_choice_region]],missing[],3,FALSE))</f>
        <v>1.4999999999999999E-2</v>
      </c>
      <c r="K7">
        <f>IFERROR(VLOOKUP(all_lmics181920[[Setting]:[Setting]],prev[],5,FALSE),VLOOKUP(all_lmics181920[[who_choice_region]:[who_choice_region]],missing[],4,FALSE))</f>
        <v>2.1000000000000001E-2</v>
      </c>
      <c r="L7">
        <f>IFERROR(VLOOKUP(all_lmics181920[[Setting]:[Setting]],prev[],7,FALSE),VLOOKUP(all_lmics181920[[who_choice_region]:[who_choice_region]],missing[],5,FALSE))</f>
        <v>1.5306122448979606E-3</v>
      </c>
      <c r="M7">
        <f>IFERROR(VLOOKUP(all_lmics181920[[Setting]:[Setting]],prev[],6,FALSE),0)</f>
        <v>9862429</v>
      </c>
      <c r="N7">
        <f>MIN(IFERROR(VLOOKUP(all_lmics181920[[Setting]:[Setting]],SBA[],4,FALSE),VLOOKUP(all_lmics181920[[who_choice_region]:[who_choice_region]],missing[],6,FALSE))*1.05, 0.9999)</f>
        <v>0.99990000000000001</v>
      </c>
      <c r="O7">
        <f>MIN(IFERROR(VLOOKUP(all_lmics181920[[Setting]:[Setting]], facility[], 3,FALSE),VLOOKUP(all_lmics181920[[who_choice_region]:[who_choice_region]],missing[],7,FALSE))*1.05, 0.9999)</f>
        <v>0.97755000000000003</v>
      </c>
      <c r="P7">
        <f>IF(VLOOKUP(all_lmics181920[[Setting]:[Setting]],all_cause_mort[],4,FALSE)="",VLOOKUP(all_lmics181920[[who_choice_region]:[who_choice_region]],missing[],8,FALSE),VLOOKUP(all_lmics181920[[Setting]:[Setting]],all_cause_mort[],4,FALSE))*1.05</f>
        <v>2.2259736450000001E-2</v>
      </c>
      <c r="Q7">
        <f>IF(VLOOKUP(all_lmics181920[[Setting]:[Setting]],all_cause_mort[],5,FALSE)="",VLOOKUP(all_lmics181920[[who_choice_region]:[who_choice_region]],missing[],9,FALSE),VLOOKUP(all_lmics181920[[Setting]:[Setting]],all_cause_mort[],5,FALSE))*1.05</f>
        <v>1.1826531150000001E-3</v>
      </c>
      <c r="R7">
        <f>IF(VLOOKUP(all_lmics181920[[Setting]:[Setting]],all_cause_mort[],6,FALSE)="",VLOOKUP(all_lmics181920[[who_choice_region]:[who_choice_region]],missing[],10,FALSE),VLOOKUP(all_lmics181920[[Setting]:[Setting]],all_cause_mort[],6,FALSE))*1.05</f>
        <v>4.0269625200000004E-4</v>
      </c>
      <c r="S7">
        <f>IF(VLOOKUP(all_lmics181920[[Setting]:[Setting]],all_cause_mort[],7,FALSE)="",VLOOKUP(all_lmics181920[[who_choice_region]:[who_choice_region]],missing[],11,FALSE),VLOOKUP(all_lmics181920[[Setting]:[Setting]],all_cause_mort[],7,FALSE))*1.05</f>
        <v>3.4418022450000005E-4</v>
      </c>
      <c r="T7">
        <f>IF(VLOOKUP(all_lmics181920[[Setting]:[Setting]],all_cause_mort[],8,FALSE)="",VLOOKUP(all_lmics181920[[who_choice_region]:[who_choice_region]],missing[],12,FALSE),VLOOKUP(all_lmics181920[[Setting]:[Setting]],all_cause_mort[],8,FALSE))*1.05</f>
        <v>7.0570716300000008E-4</v>
      </c>
      <c r="U7">
        <f>IF(VLOOKUP(all_lmics181920[[Setting]:[Setting]],all_cause_mort[],9,FALSE)="",VLOOKUP(all_lmics181920[[who_choice_region]:[who_choice_region]],missing[],13,FALSE),VLOOKUP(all_lmics181920[[Setting]:[Setting]],all_cause_mort[],9,FALSE))*1.05</f>
        <v>8.7774080100000006E-4</v>
      </c>
      <c r="V7">
        <f>IF(VLOOKUP(all_lmics181920[[Setting]:[Setting]],all_cause_mort[],10,FALSE)="",VLOOKUP(all_lmics181920[[who_choice_region]:[who_choice_region]],missing[],14,FALSE),VLOOKUP(all_lmics181920[[Setting]:[Setting]],all_cause_mort[],10,FALSE))*1.05</f>
        <v>8.8418138550000003E-4</v>
      </c>
      <c r="W7">
        <f>IF(VLOOKUP(all_lmics181920[[Setting]:[Setting]],all_cause_mort[],11,FALSE)="",VLOOKUP(all_lmics181920[[who_choice_region]:[who_choice_region]],missing[],15,FALSE),VLOOKUP(all_lmics181920[[Setting]:[Setting]],all_cause_mort[],11,FALSE))*1.05</f>
        <v>1.0607648100000001E-3</v>
      </c>
      <c r="X7">
        <f>IF(VLOOKUP(all_lmics181920[[Setting]:[Setting]],all_cause_mort[],12,FALSE)="",VLOOKUP(all_lmics181920[[who_choice_region]:[who_choice_region]],missing[],16,FALSE),VLOOKUP(all_lmics181920[[Setting]:[Setting]],all_cause_mort[],12,FALSE))*1.05</f>
        <v>1.4868452549999999E-3</v>
      </c>
      <c r="Y7">
        <f>IF(VLOOKUP(all_lmics181920[[Setting]:[Setting]],all_cause_mort[],13,FALSE)="",VLOOKUP(all_lmics181920[[who_choice_region]:[who_choice_region]],missing[],17,FALSE),VLOOKUP(all_lmics181920[[Setting]:[Setting]],all_cause_mort[],13,FALSE))*1.05</f>
        <v>2.2519774200000001E-3</v>
      </c>
      <c r="Z7">
        <f>IF(VLOOKUP(all_lmics181920[[Setting]:[Setting]],all_cause_mort[],14,FALSE)="",VLOOKUP(all_lmics181920[[who_choice_region]:[who_choice_region]],missing[],18,FALSE),VLOOKUP(all_lmics181920[[Setting]:[Setting]],all_cause_mort[],14,FALSE))*1.05</f>
        <v>3.6665465550000001E-3</v>
      </c>
      <c r="AA7">
        <f>IF(VLOOKUP(all_lmics181920[[Setting]:[Setting]],all_cause_mort[],15,FALSE)="",VLOOKUP(all_lmics181920[[who_choice_region]:[who_choice_region]],missing[],19,FALSE),VLOOKUP(all_lmics181920[[Setting]:[Setting]],all_cause_mort[],15,FALSE))*1.05</f>
        <v>5.9935615950000003E-3</v>
      </c>
      <c r="AB7">
        <f>IF(VLOOKUP(all_lmics181920[[Setting]:[Setting]],all_cause_mort[],16,FALSE)="",VLOOKUP(all_lmics181920[[who_choice_region]:[who_choice_region]],missing[],20,FALSE),VLOOKUP(all_lmics181920[[Setting]:[Setting]],all_cause_mort[],16,FALSE))*1.05</f>
        <v>9.79632234E-3</v>
      </c>
      <c r="AC7">
        <f>IF(VLOOKUP(all_lmics181920[[Setting]:[Setting]],all_cause_mort[],17,FALSE)="",VLOOKUP(all_lmics181920[[who_choice_region]:[who_choice_region]],missing[],21,FALSE),VLOOKUP(all_lmics181920[[Setting]:[Setting]],all_cause_mort[],17,FALSE))*1.05</f>
        <v>1.6204012650000002E-2</v>
      </c>
      <c r="AD7">
        <f>IF(VLOOKUP(all_lmics181920[[Setting]:[Setting]],all_cause_mort[],18,FALSE)="",VLOOKUP(all_lmics181920[[who_choice_region]:[who_choice_region]],missing[],22,FALSE),VLOOKUP(all_lmics181920[[Setting]:[Setting]],all_cause_mort[],18,FALSE))*1.05</f>
        <v>2.6803984199999999E-2</v>
      </c>
      <c r="AE7">
        <f>IF(VLOOKUP(all_lmics181920[[Setting]:[Setting]],all_cause_mort[],19,FALSE)="",VLOOKUP(all_lmics181920[[who_choice_region]:[who_choice_region]],missing[],23,FALSE),VLOOKUP(all_lmics181920[[Setting]:[Setting]],all_cause_mort[],19,FALSE))*1.05</f>
        <v>4.4994225150000004E-2</v>
      </c>
      <c r="AF7">
        <f>IF(VLOOKUP(all_lmics181920[[Setting]:[Setting]],all_cause_mort[],20,FALSE)="",VLOOKUP(all_lmics181920[[who_choice_region]:[who_choice_region]],missing[],24,FALSE),VLOOKUP(all_lmics181920[[Setting]:[Setting]],all_cause_mort[],20,FALSE))*1.05</f>
        <v>7.6141433549999998E-2</v>
      </c>
      <c r="AG7">
        <f>IF(VLOOKUP(all_lmics181920[[Setting]:[Setting]],all_cause_mort[],21,FALSE)="",VLOOKUP(all_lmics181920[[who_choice_region]:[who_choice_region]],missing[],25,FALSE),VLOOKUP(all_lmics181920[[Setting]:[Setting]],all_cause_mort[],21,FALSE))*1.05</f>
        <v>0.12521541899999999</v>
      </c>
      <c r="AH7">
        <f>IF(VLOOKUP(all_lmics181920[[Setting]:[Setting]],all_cause_mort[],22,FALSE)="",VLOOKUP(all_lmics181920[[who_choice_region]:[who_choice_region]],missing[],26,FALSE),VLOOKUP(all_lmics181920[[Setting]:[Setting]],all_cause_mort[],22,FALSE))*1.05</f>
        <v>0.1996181565</v>
      </c>
      <c r="AI7">
        <f>IF(VLOOKUP(all_lmics181920[[Setting]:[Setting]],all_cause_mort[],23,FALSE)="",VLOOKUP(all_lmics181920[[who_choice_region]:[who_choice_region]],missing[],27,FALSE),VLOOKUP(all_lmics181920[[Setting]:[Setting]],all_cause_mort[],23,FALSE))*1.05</f>
        <v>0.29710121700000003</v>
      </c>
      <c r="AJ7">
        <f>IF(VLOOKUP(all_lmics181920[[Setting]:[Setting]],all_cause_mort[],24,FALSE)="",VLOOKUP(all_lmics181920[[who_choice_region]:[who_choice_region]],missing[],28,FALSE),VLOOKUP(all_lmics181920[[Setting]:[Setting]],all_cause_mort[],24,FALSE))*1.05</f>
        <v>0.40260666600000006</v>
      </c>
      <c r="AK7">
        <f>IF(VLOOKUP(all_lmics181920[[Setting]:[Setting]],all_cause_mort[],25,FALSE)="",VLOOKUP(all_lmics181920[[who_choice_region]:[who_choice_region]],missing[],29,FALSE),VLOOKUP(all_lmics181920[[Setting]:[Setting]],all_cause_mort[],25,FALSE))*1.05</f>
        <v>0.5442671383372083</v>
      </c>
      <c r="AL7">
        <f>VLOOKUP(all_lmics181920[[worldbank_region]:[worldbank_region]],Table13[],2,FALSE)*1.05</f>
        <v>46.7513991</v>
      </c>
      <c r="AM7">
        <f>VLOOKUP(all_lmics181920[[worldbank_region]:[worldbank_region]],Table13[],3,FALSE)*1.05</f>
        <v>46.7513991</v>
      </c>
      <c r="AN7">
        <f>VLOOKUP(all_lmics181920[[worldbank_region]:[worldbank_region]],Table13[],4,FALSE)*1.05</f>
        <v>96.866702099999983</v>
      </c>
      <c r="AO7">
        <f>VLOOKUP(all_lmics181920[[worldbank_region]:[worldbank_region]],Table13[],5,FALSE)*1.05</f>
        <v>96.866702099999983</v>
      </c>
      <c r="AP7">
        <f>VLOOKUP(all_lmics181920[[worldbank_region]:[worldbank_region]],Table13[],6,FALSE)*1.05</f>
        <v>96.866702099999983</v>
      </c>
      <c r="AQ7">
        <f>VLOOKUP(all_lmics181920[[worldbank_region]:[worldbank_region]],Table14[],2,FALSE)*1.05</f>
        <v>6.7392065999999993</v>
      </c>
      <c r="AR7">
        <f>VLOOKUP(all_lmics181920[[worldbank_region]:[worldbank_region]],Table14[],3,FALSE)*1.05</f>
        <v>7.3875815999999999</v>
      </c>
      <c r="AS7">
        <f>VLOOKUP(all_lmics181920[[worldbank_region]:[worldbank_region]],Table14[],4,FALSE)*1.05</f>
        <v>11.007016649999999</v>
      </c>
      <c r="AT7">
        <f>VLOOKUP(all_lmics181920[[worldbank_region]:[worldbank_region]],Table14[],5,FALSE)*1.05</f>
        <v>11.65539165</v>
      </c>
      <c r="AU7">
        <f>VLOOKUP(all_lmics181920[[worldbank_region]:[worldbank_region]],Table14[],6,FALSE)*1.05</f>
        <v>12.254156249999999</v>
      </c>
      <c r="AV7">
        <f>MIN(IFERROR(VLOOKUP(all_lmics181920[[Setting]:[Setting]],nFacSBA[],4,FALSE),VLOOKUP(all_lmics181920[[who_choice_region]:[who_choice_region]],missing[],30,FALSE))*1.05, 0.9999)</f>
        <v>0.53795819289725799</v>
      </c>
      <c r="AW7">
        <f>VLOOKUP(all_lmics181920[[worldbank_region]:[worldbank_region]],hbe[],4)</f>
        <v>0.5</v>
      </c>
      <c r="AX7">
        <f>VLOOKUP(all_lmics181920[[worldbank_region]:[worldbank_region]],hbe[],7)</f>
        <v>1</v>
      </c>
      <c r="AY7">
        <f>VLOOKUP(all_lmics181920[[worldbank_region]:[worldbank_region]],hbe[],10)</f>
        <v>0.25</v>
      </c>
    </row>
    <row r="8" spans="1:51" x14ac:dyDescent="0.35">
      <c r="A8" s="8" t="s">
        <v>32</v>
      </c>
      <c r="B8" s="10" t="s">
        <v>33</v>
      </c>
      <c r="C8" s="11" t="s">
        <v>7</v>
      </c>
      <c r="D8">
        <f>VLOOKUP(all_lmics181920[[Setting]:[Setting]],populations[],9,FALSE)</f>
        <v>1492584</v>
      </c>
      <c r="E8">
        <f>VLOOKUP(all_lmics181920[[Setting]:[Setting]],birthrate[],3,FALSE)</f>
        <v>1.4762000000000001E-2</v>
      </c>
      <c r="F8">
        <f>all_lmics181920[[#This Row],[2017_population]]*all_lmics181920[[#This Row],[2016_birthrate]]</f>
        <v>22033.525008000001</v>
      </c>
      <c r="G8">
        <f>MIN(VLOOKUP(all_lmics181920[[Setting]:[Setting]],birthdose[],4,FALSE)*1.05,0.9999)</f>
        <v>0.99990000000000001</v>
      </c>
      <c r="H8">
        <f>MIN(VLOOKUP(all_lmics181920[[Setting]:[Setting]],fullvax[],4,FALSE)*1.05,0.9999)</f>
        <v>0.99990000000000001</v>
      </c>
      <c r="I8">
        <f>IFERROR(VLOOKUP(all_lmics181920[[Setting]:[Setting]],prev[],3,FALSE),VLOOKUP(all_lmics181920[[who_choice_region]:[who_choice_region]],missing[],2,FALSE))</f>
        <v>0.01</v>
      </c>
      <c r="J8">
        <f>IFERROR(VLOOKUP(all_lmics181920[[Setting]:[Setting]],prev[],4,FALSE),VLOOKUP(all_lmics181920[[who_choice_region]:[who_choice_region]],missing[],3,FALSE))</f>
        <v>6.0000000000000001E-3</v>
      </c>
      <c r="K8">
        <f>IFERROR(VLOOKUP(all_lmics181920[[Setting]:[Setting]],prev[],5,FALSE),VLOOKUP(all_lmics181920[[who_choice_region]:[who_choice_region]],missing[],4,FALSE))</f>
        <v>1.0999999999999999E-2</v>
      </c>
      <c r="L8">
        <f>IFERROR(VLOOKUP(all_lmics181920[[Setting]:[Setting]],prev[],7,FALSE),VLOOKUP(all_lmics181920[[who_choice_region]:[who_choice_region]],missing[],5,FALSE))</f>
        <v>5.1020408163265267E-4</v>
      </c>
      <c r="M8">
        <f>IFERROR(VLOOKUP(all_lmics181920[[Setting]:[Setting]],prev[],6,FALSE),0)</f>
        <v>1492584</v>
      </c>
      <c r="N8">
        <f>MIN(IFERROR(VLOOKUP(all_lmics181920[[Setting]:[Setting]],SBA[],4,FALSE),VLOOKUP(all_lmics181920[[who_choice_region]:[who_choice_region]],missing[],6,FALSE))*1.05, 0.9999)</f>
        <v>0.99990000000000001</v>
      </c>
      <c r="O8">
        <f>MIN(IFERROR(VLOOKUP(all_lmics181920[[Setting]:[Setting]], facility[], 3,FALSE),VLOOKUP(all_lmics181920[[who_choice_region]:[who_choice_region]],missing[],7,FALSE))*1.05, 0.9999)</f>
        <v>0.99990000000000001</v>
      </c>
      <c r="P8">
        <f>IF(VLOOKUP(all_lmics181920[[Setting]:[Setting]],all_cause_mort[],4,FALSE)="",VLOOKUP(all_lmics181920[[who_choice_region]:[who_choice_region]],missing[],8,FALSE),VLOOKUP(all_lmics181920[[Setting]:[Setting]],all_cause_mort[],4,FALSE))*1.05</f>
        <v>6.255197865000001E-3</v>
      </c>
      <c r="Q8">
        <f>IF(VLOOKUP(all_lmics181920[[Setting]:[Setting]],all_cause_mort[],5,FALSE)="",VLOOKUP(all_lmics181920[[who_choice_region]:[who_choice_region]],missing[],9,FALSE),VLOOKUP(all_lmics181920[[Setting]:[Setting]],all_cause_mort[],5,FALSE))*1.05</f>
        <v>4.3790921999999999E-4</v>
      </c>
      <c r="R8">
        <f>IF(VLOOKUP(all_lmics181920[[Setting]:[Setting]],all_cause_mort[],6,FALSE)="",VLOOKUP(all_lmics181920[[who_choice_region]:[who_choice_region]],missing[],10,FALSE),VLOOKUP(all_lmics181920[[Setting]:[Setting]],all_cause_mort[],6,FALSE))*1.05</f>
        <v>1.9907450850000001E-4</v>
      </c>
      <c r="S8">
        <f>IF(VLOOKUP(all_lmics181920[[Setting]:[Setting]],all_cause_mort[],7,FALSE)="",VLOOKUP(all_lmics181920[[who_choice_region]:[who_choice_region]],missing[],11,FALSE),VLOOKUP(all_lmics181920[[Setting]:[Setting]],all_cause_mort[],7,FALSE))*1.05</f>
        <v>1.7916544800000001E-4</v>
      </c>
      <c r="T8">
        <f>IF(VLOOKUP(all_lmics181920[[Setting]:[Setting]],all_cause_mort[],8,FALSE)="",VLOOKUP(all_lmics181920[[who_choice_region]:[who_choice_region]],missing[],12,FALSE),VLOOKUP(all_lmics181920[[Setting]:[Setting]],all_cause_mort[],8,FALSE))*1.05</f>
        <v>4.2805828800000003E-4</v>
      </c>
      <c r="U8">
        <f>IF(VLOOKUP(all_lmics181920[[Setting]:[Setting]],all_cause_mort[],9,FALSE)="",VLOOKUP(all_lmics181920[[who_choice_region]:[who_choice_region]],missing[],13,FALSE),VLOOKUP(all_lmics181920[[Setting]:[Setting]],all_cause_mort[],9,FALSE))*1.05</f>
        <v>5.3613452550000003E-4</v>
      </c>
      <c r="V8">
        <f>IF(VLOOKUP(all_lmics181920[[Setting]:[Setting]],all_cause_mort[],10,FALSE)="",VLOOKUP(all_lmics181920[[who_choice_region]:[who_choice_region]],missing[],14,FALSE),VLOOKUP(all_lmics181920[[Setting]:[Setting]],all_cause_mort[],10,FALSE))*1.05</f>
        <v>5.2686305700000002E-4</v>
      </c>
      <c r="W8">
        <f>IF(VLOOKUP(all_lmics181920[[Setting]:[Setting]],all_cause_mort[],11,FALSE)="",VLOOKUP(all_lmics181920[[who_choice_region]:[who_choice_region]],missing[],15,FALSE),VLOOKUP(all_lmics181920[[Setting]:[Setting]],all_cause_mort[],11,FALSE))*1.05</f>
        <v>6.1776144150000006E-4</v>
      </c>
      <c r="X8">
        <f>IF(VLOOKUP(all_lmics181920[[Setting]:[Setting]],all_cause_mort[],12,FALSE)="",VLOOKUP(all_lmics181920[[who_choice_region]:[who_choice_region]],missing[],16,FALSE),VLOOKUP(all_lmics181920[[Setting]:[Setting]],all_cause_mort[],12,FALSE))*1.05</f>
        <v>7.3779336750000009E-4</v>
      </c>
      <c r="Y8">
        <f>IF(VLOOKUP(all_lmics181920[[Setting]:[Setting]],all_cause_mort[],13,FALSE)="",VLOOKUP(all_lmics181920[[who_choice_region]:[who_choice_region]],missing[],17,FALSE),VLOOKUP(all_lmics181920[[Setting]:[Setting]],all_cause_mort[],13,FALSE))*1.05</f>
        <v>1.1088693000000001E-3</v>
      </c>
      <c r="Z8">
        <f>IF(VLOOKUP(all_lmics181920[[Setting]:[Setting]],all_cause_mort[],14,FALSE)="",VLOOKUP(all_lmics181920[[who_choice_region]:[who_choice_region]],missing[],18,FALSE),VLOOKUP(all_lmics181920[[Setting]:[Setting]],all_cause_mort[],14,FALSE))*1.05</f>
        <v>1.7436578250000002E-3</v>
      </c>
      <c r="AA8">
        <f>IF(VLOOKUP(all_lmics181920[[Setting]:[Setting]],all_cause_mort[],15,FALSE)="",VLOOKUP(all_lmics181920[[who_choice_region]:[who_choice_region]],missing[],19,FALSE),VLOOKUP(all_lmics181920[[Setting]:[Setting]],all_cause_mort[],15,FALSE))*1.05</f>
        <v>2.8203921900000002E-3</v>
      </c>
      <c r="AB8">
        <f>IF(VLOOKUP(all_lmics181920[[Setting]:[Setting]],all_cause_mort[],16,FALSE)="",VLOOKUP(all_lmics181920[[who_choice_region]:[who_choice_region]],missing[],20,FALSE),VLOOKUP(all_lmics181920[[Setting]:[Setting]],all_cause_mort[],16,FALSE))*1.05</f>
        <v>6.0638019749999997E-3</v>
      </c>
      <c r="AC8">
        <f>IF(VLOOKUP(all_lmics181920[[Setting]:[Setting]],all_cause_mort[],17,FALSE)="",VLOOKUP(all_lmics181920[[who_choice_region]:[who_choice_region]],missing[],21,FALSE),VLOOKUP(all_lmics181920[[Setting]:[Setting]],all_cause_mort[],17,FALSE))*1.05</f>
        <v>1.19041062E-2</v>
      </c>
      <c r="AD8">
        <f>IF(VLOOKUP(all_lmics181920[[Setting]:[Setting]],all_cause_mort[],18,FALSE)="",VLOOKUP(all_lmics181920[[who_choice_region]:[who_choice_region]],missing[],22,FALSE),VLOOKUP(all_lmics181920[[Setting]:[Setting]],all_cause_mort[],18,FALSE))*1.05</f>
        <v>2.2031238600000003E-2</v>
      </c>
      <c r="AE8">
        <f>IF(VLOOKUP(all_lmics181920[[Setting]:[Setting]],all_cause_mort[],19,FALSE)="",VLOOKUP(all_lmics181920[[who_choice_region]:[who_choice_region]],missing[],23,FALSE),VLOOKUP(all_lmics181920[[Setting]:[Setting]],all_cause_mort[],19,FALSE))*1.05</f>
        <v>3.8213669549999996E-2</v>
      </c>
      <c r="AF8">
        <f>IF(VLOOKUP(all_lmics181920[[Setting]:[Setting]],all_cause_mort[],20,FALSE)="",VLOOKUP(all_lmics181920[[who_choice_region]:[who_choice_region]],missing[],24,FALSE),VLOOKUP(all_lmics181920[[Setting]:[Setting]],all_cause_mort[],20,FALSE))*1.05</f>
        <v>6.6724630350000008E-2</v>
      </c>
      <c r="AG8">
        <f>IF(VLOOKUP(all_lmics181920[[Setting]:[Setting]],all_cause_mort[],21,FALSE)="",VLOOKUP(all_lmics181920[[who_choice_region]:[who_choice_region]],missing[],25,FALSE),VLOOKUP(all_lmics181920[[Setting]:[Setting]],all_cause_mort[],21,FALSE))*1.05</f>
        <v>0.1106002905</v>
      </c>
      <c r="AH8">
        <f>IF(VLOOKUP(all_lmics181920[[Setting]:[Setting]],all_cause_mort[],22,FALSE)="",VLOOKUP(all_lmics181920[[who_choice_region]:[who_choice_region]],missing[],26,FALSE),VLOOKUP(all_lmics181920[[Setting]:[Setting]],all_cause_mort[],22,FALSE))*1.05</f>
        <v>0.17406863250000001</v>
      </c>
      <c r="AI8">
        <f>IF(VLOOKUP(all_lmics181920[[Setting]:[Setting]],all_cause_mort[],23,FALSE)="",VLOOKUP(all_lmics181920[[who_choice_region]:[who_choice_region]],missing[],27,FALSE),VLOOKUP(all_lmics181920[[Setting]:[Setting]],all_cause_mort[],23,FALSE))*1.05</f>
        <v>0.25658185350000001</v>
      </c>
      <c r="AJ8">
        <f>IF(VLOOKUP(all_lmics181920[[Setting]:[Setting]],all_cause_mort[],24,FALSE)="",VLOOKUP(all_lmics181920[[who_choice_region]:[who_choice_region]],missing[],28,FALSE),VLOOKUP(all_lmics181920[[Setting]:[Setting]],all_cause_mort[],24,FALSE))*1.05</f>
        <v>0.36238468350000003</v>
      </c>
      <c r="AK8">
        <f>IF(VLOOKUP(all_lmics181920[[Setting]:[Setting]],all_cause_mort[],25,FALSE)="",VLOOKUP(all_lmics181920[[who_choice_region]:[who_choice_region]],missing[],29,FALSE),VLOOKUP(all_lmics181920[[Setting]:[Setting]],all_cause_mort[],25,FALSE))*1.05</f>
        <v>0.50697929424136678</v>
      </c>
      <c r="AL8">
        <f>VLOOKUP(all_lmics181920[[worldbank_region]:[worldbank_region]],Table13[],2,FALSE)*1.05</f>
        <v>60.801990899999993</v>
      </c>
      <c r="AM8">
        <f>VLOOKUP(all_lmics181920[[worldbank_region]:[worldbank_region]],Table13[],3,FALSE)*1.05</f>
        <v>60.801990899999993</v>
      </c>
      <c r="AN8">
        <f>VLOOKUP(all_lmics181920[[worldbank_region]:[worldbank_region]],Table13[],4,FALSE)*1.05</f>
        <v>110.91729389999999</v>
      </c>
      <c r="AO8">
        <f>VLOOKUP(all_lmics181920[[worldbank_region]:[worldbank_region]],Table13[],5,FALSE)*1.05</f>
        <v>110.91729389999999</v>
      </c>
      <c r="AP8">
        <f>VLOOKUP(all_lmics181920[[worldbank_region]:[worldbank_region]],Table13[],6,FALSE)*1.05</f>
        <v>110.91729389999999</v>
      </c>
      <c r="AQ8">
        <f>VLOOKUP(all_lmics181920[[worldbank_region]:[worldbank_region]],Table14[],2,FALSE)*1.05</f>
        <v>1.57893225</v>
      </c>
      <c r="AR8">
        <f>VLOOKUP(all_lmics181920[[worldbank_region]:[worldbank_region]],Table14[],3,FALSE)*1.05</f>
        <v>2.22730725</v>
      </c>
      <c r="AS8">
        <f>VLOOKUP(all_lmics181920[[worldbank_region]:[worldbank_region]],Table14[],4,FALSE)*1.05</f>
        <v>2.0823736500000001</v>
      </c>
      <c r="AT8">
        <f>VLOOKUP(all_lmics181920[[worldbank_region]:[worldbank_region]],Table14[],5,FALSE)*1.05</f>
        <v>2.7307486499999998</v>
      </c>
      <c r="AU8">
        <f>VLOOKUP(all_lmics181920[[worldbank_region]:[worldbank_region]],Table14[],6,FALSE)*1.05</f>
        <v>3.3295132499999998</v>
      </c>
      <c r="AV8">
        <f>MIN(IFERROR(VLOOKUP(all_lmics181920[[Setting]:[Setting]],nFacSBA[],4,FALSE),VLOOKUP(all_lmics181920[[who_choice_region]:[who_choice_region]],missing[],30,FALSE))*1.05, 0.9999)</f>
        <v>0.40722609472787386</v>
      </c>
      <c r="AW8">
        <f>VLOOKUP(all_lmics181920[[worldbank_region]:[worldbank_region]],hbe[],4)</f>
        <v>0.5</v>
      </c>
      <c r="AX8">
        <f>VLOOKUP(all_lmics181920[[worldbank_region]:[worldbank_region]],hbe[],7)</f>
        <v>1</v>
      </c>
      <c r="AY8">
        <f>VLOOKUP(all_lmics181920[[worldbank_region]:[worldbank_region]],hbe[],10)</f>
        <v>0.25</v>
      </c>
    </row>
    <row r="9" spans="1:51" x14ac:dyDescent="0.35">
      <c r="A9" s="12" t="s">
        <v>39</v>
      </c>
      <c r="B9" s="13" t="s">
        <v>40</v>
      </c>
      <c r="C9" s="14" t="s">
        <v>11</v>
      </c>
      <c r="D9">
        <f>VLOOKUP(all_lmics181920[[Setting]:[Setting]],populations[],9,FALSE)</f>
        <v>9507875</v>
      </c>
      <c r="E9">
        <f>VLOOKUP(all_lmics181920[[Setting]:[Setting]],birthrate[],3,FALSE)</f>
        <v>1.24E-2</v>
      </c>
      <c r="F9">
        <f>all_lmics181920[[#This Row],[2017_population]]*all_lmics181920[[#This Row],[2016_birthrate]]</f>
        <v>117897.65</v>
      </c>
      <c r="G9">
        <f>MIN(VLOOKUP(all_lmics181920[[Setting]:[Setting]],birthdose[],4,FALSE)*1.05,0.9999)</f>
        <v>0.99990000000000001</v>
      </c>
      <c r="H9">
        <f>MIN(VLOOKUP(all_lmics181920[[Setting]:[Setting]],fullvax[],4,FALSE)*1.05,0.9999)</f>
        <v>0.99990000000000001</v>
      </c>
      <c r="I9">
        <f>IFERROR(VLOOKUP(all_lmics181920[[Setting]:[Setting]],prev[],3,FALSE),VLOOKUP(all_lmics181920[[who_choice_region]:[who_choice_region]],missing[],2,FALSE))</f>
        <v>4.2999999999999997E-2</v>
      </c>
      <c r="J9">
        <f>IFERROR(VLOOKUP(all_lmics181920[[Setting]:[Setting]],prev[],4,FALSE),VLOOKUP(all_lmics181920[[who_choice_region]:[who_choice_region]],missing[],3,FALSE))</f>
        <v>3.9E-2</v>
      </c>
      <c r="K9">
        <f>IFERROR(VLOOKUP(all_lmics181920[[Setting]:[Setting]],prev[],5,FALSE),VLOOKUP(all_lmics181920[[who_choice_region]:[who_choice_region]],missing[],4,FALSE))</f>
        <v>4.8000000000000001E-2</v>
      </c>
      <c r="L9">
        <f>IFERROR(VLOOKUP(all_lmics181920[[Setting]:[Setting]],prev[],7,FALSE),VLOOKUP(all_lmics181920[[who_choice_region]:[who_choice_region]],missing[],5,FALSE))</f>
        <v>2.5510204081632677E-3</v>
      </c>
      <c r="M9">
        <f>IFERROR(VLOOKUP(all_lmics181920[[Setting]:[Setting]],prev[],6,FALSE),0)</f>
        <v>9507875</v>
      </c>
      <c r="N9">
        <f>MIN(IFERROR(VLOOKUP(all_lmics181920[[Setting]:[Setting]],SBA[],4,FALSE),VLOOKUP(all_lmics181920[[who_choice_region]:[who_choice_region]],missing[],6,FALSE))*1.05, 0.9999)</f>
        <v>0.99990000000000001</v>
      </c>
      <c r="O9">
        <f>MIN(IFERROR(VLOOKUP(all_lmics181920[[Setting]:[Setting]], facility[], 3,FALSE),VLOOKUP(all_lmics181920[[who_choice_region]:[who_choice_region]],missing[],7,FALSE))*1.05, 0.9999)</f>
        <v>0.99990000000000001</v>
      </c>
      <c r="P9">
        <f>IF(VLOOKUP(all_lmics181920[[Setting]:[Setting]],all_cause_mort[],4,FALSE)="",VLOOKUP(all_lmics181920[[who_choice_region]:[who_choice_region]],missing[],8,FALSE),VLOOKUP(all_lmics181920[[Setting]:[Setting]],all_cause_mort[],4,FALSE))*1.05</f>
        <v>3.1229698500000003E-3</v>
      </c>
      <c r="Q9">
        <f>IF(VLOOKUP(all_lmics181920[[Setting]:[Setting]],all_cause_mort[],5,FALSE)="",VLOOKUP(all_lmics181920[[who_choice_region]:[who_choice_region]],missing[],9,FALSE),VLOOKUP(all_lmics181920[[Setting]:[Setting]],all_cause_mort[],5,FALSE))*1.05</f>
        <v>2.2915754400000001E-4</v>
      </c>
      <c r="R9">
        <f>IF(VLOOKUP(all_lmics181920[[Setting]:[Setting]],all_cause_mort[],6,FALSE)="",VLOOKUP(all_lmics181920[[who_choice_region]:[who_choice_region]],missing[],10,FALSE),VLOOKUP(all_lmics181920[[Setting]:[Setting]],all_cause_mort[],6,FALSE))*1.05</f>
        <v>1.456824705E-4</v>
      </c>
      <c r="S9">
        <f>IF(VLOOKUP(all_lmics181920[[Setting]:[Setting]],all_cause_mort[],7,FALSE)="",VLOOKUP(all_lmics181920[[who_choice_region]:[who_choice_region]],missing[],11,FALSE),VLOOKUP(all_lmics181920[[Setting]:[Setting]],all_cause_mort[],7,FALSE))*1.05</f>
        <v>1.383121005E-4</v>
      </c>
      <c r="T9">
        <f>IF(VLOOKUP(all_lmics181920[[Setting]:[Setting]],all_cause_mort[],8,FALSE)="",VLOOKUP(all_lmics181920[[who_choice_region]:[who_choice_region]],missing[],12,FALSE),VLOOKUP(all_lmics181920[[Setting]:[Setting]],all_cause_mort[],8,FALSE))*1.05</f>
        <v>3.6956570700000002E-4</v>
      </c>
      <c r="U9">
        <f>IF(VLOOKUP(all_lmics181920[[Setting]:[Setting]],all_cause_mort[],9,FALSE)="",VLOOKUP(all_lmics181920[[who_choice_region]:[who_choice_region]],missing[],13,FALSE),VLOOKUP(all_lmics181920[[Setting]:[Setting]],all_cause_mort[],9,FALSE))*1.05</f>
        <v>6.2953388399999998E-4</v>
      </c>
      <c r="V9">
        <f>IF(VLOOKUP(all_lmics181920[[Setting]:[Setting]],all_cause_mort[],10,FALSE)="",VLOOKUP(all_lmics181920[[who_choice_region]:[who_choice_region]],missing[],14,FALSE),VLOOKUP(all_lmics181920[[Setting]:[Setting]],all_cause_mort[],10,FALSE))*1.05</f>
        <v>9.2020232850000005E-4</v>
      </c>
      <c r="W9">
        <f>IF(VLOOKUP(all_lmics181920[[Setting]:[Setting]],all_cause_mort[],11,FALSE)="",VLOOKUP(all_lmics181920[[who_choice_region]:[who_choice_region]],missing[],15,FALSE),VLOOKUP(all_lmics181920[[Setting]:[Setting]],all_cause_mort[],11,FALSE))*1.05</f>
        <v>1.5097198200000001E-3</v>
      </c>
      <c r="X9">
        <f>IF(VLOOKUP(all_lmics181920[[Setting]:[Setting]],all_cause_mort[],12,FALSE)="",VLOOKUP(all_lmics181920[[who_choice_region]:[who_choice_region]],missing[],16,FALSE),VLOOKUP(all_lmics181920[[Setting]:[Setting]],all_cause_mort[],12,FALSE))*1.05</f>
        <v>2.4221595300000002E-3</v>
      </c>
      <c r="Y9">
        <f>IF(VLOOKUP(all_lmics181920[[Setting]:[Setting]],all_cause_mort[],13,FALSE)="",VLOOKUP(all_lmics181920[[who_choice_region]:[who_choice_region]],missing[],17,FALSE),VLOOKUP(all_lmics181920[[Setting]:[Setting]],all_cause_mort[],13,FALSE))*1.05</f>
        <v>3.5086714950000003E-3</v>
      </c>
      <c r="Z9">
        <f>IF(VLOOKUP(all_lmics181920[[Setting]:[Setting]],all_cause_mort[],14,FALSE)="",VLOOKUP(all_lmics181920[[who_choice_region]:[who_choice_region]],missing[],18,FALSE),VLOOKUP(all_lmics181920[[Setting]:[Setting]],all_cause_mort[],14,FALSE))*1.05</f>
        <v>5.2862792849999998E-3</v>
      </c>
      <c r="AA9">
        <f>IF(VLOOKUP(all_lmics181920[[Setting]:[Setting]],all_cause_mort[],15,FALSE)="",VLOOKUP(all_lmics181920[[who_choice_region]:[who_choice_region]],missing[],19,FALSE),VLOOKUP(all_lmics181920[[Setting]:[Setting]],all_cause_mort[],15,FALSE))*1.05</f>
        <v>7.8029025900000007E-3</v>
      </c>
      <c r="AB9">
        <f>IF(VLOOKUP(all_lmics181920[[Setting]:[Setting]],all_cause_mort[],16,FALSE)="",VLOOKUP(all_lmics181920[[who_choice_region]:[who_choice_region]],missing[],20,FALSE),VLOOKUP(all_lmics181920[[Setting]:[Setting]],all_cause_mort[],16,FALSE))*1.05</f>
        <v>1.17076596E-2</v>
      </c>
      <c r="AC9">
        <f>IF(VLOOKUP(all_lmics181920[[Setting]:[Setting]],all_cause_mort[],17,FALSE)="",VLOOKUP(all_lmics181920[[who_choice_region]:[who_choice_region]],missing[],21,FALSE),VLOOKUP(all_lmics181920[[Setting]:[Setting]],all_cause_mort[],17,FALSE))*1.05</f>
        <v>1.79577699E-2</v>
      </c>
      <c r="AD9">
        <f>IF(VLOOKUP(all_lmics181920[[Setting]:[Setting]],all_cause_mort[],18,FALSE)="",VLOOKUP(all_lmics181920[[who_choice_region]:[who_choice_region]],missing[],22,FALSE),VLOOKUP(all_lmics181920[[Setting]:[Setting]],all_cause_mort[],18,FALSE))*1.05</f>
        <v>2.575434855E-2</v>
      </c>
      <c r="AE9">
        <f>IF(VLOOKUP(all_lmics181920[[Setting]:[Setting]],all_cause_mort[],19,FALSE)="",VLOOKUP(all_lmics181920[[who_choice_region]:[who_choice_region]],missing[],23,FALSE),VLOOKUP(all_lmics181920[[Setting]:[Setting]],all_cause_mort[],19,FALSE))*1.05</f>
        <v>3.7977789150000003E-2</v>
      </c>
      <c r="AF9">
        <f>IF(VLOOKUP(all_lmics181920[[Setting]:[Setting]],all_cause_mort[],20,FALSE)="",VLOOKUP(all_lmics181920[[who_choice_region]:[who_choice_region]],missing[],24,FALSE),VLOOKUP(all_lmics181920[[Setting]:[Setting]],all_cause_mort[],20,FALSE))*1.05</f>
        <v>6.0159573600000002E-2</v>
      </c>
      <c r="AG9">
        <f>IF(VLOOKUP(all_lmics181920[[Setting]:[Setting]],all_cause_mort[],21,FALSE)="",VLOOKUP(all_lmics181920[[who_choice_region]:[who_choice_region]],missing[],25,FALSE),VLOOKUP(all_lmics181920[[Setting]:[Setting]],all_cause_mort[],21,FALSE))*1.05</f>
        <v>0.10064235930000001</v>
      </c>
      <c r="AH9">
        <f>IF(VLOOKUP(all_lmics181920[[Setting]:[Setting]],all_cause_mort[],22,FALSE)="",VLOOKUP(all_lmics181920[[who_choice_region]:[who_choice_region]],missing[],26,FALSE),VLOOKUP(all_lmics181920[[Setting]:[Setting]],all_cause_mort[],22,FALSE))*1.05</f>
        <v>0.1615500705</v>
      </c>
      <c r="AI9">
        <f>IF(VLOOKUP(all_lmics181920[[Setting]:[Setting]],all_cause_mort[],23,FALSE)="",VLOOKUP(all_lmics181920[[who_choice_region]:[who_choice_region]],missing[],27,FALSE),VLOOKUP(all_lmics181920[[Setting]:[Setting]],all_cause_mort[],23,FALSE))*1.05</f>
        <v>0.258342399</v>
      </c>
      <c r="AJ9">
        <f>IF(VLOOKUP(all_lmics181920[[Setting]:[Setting]],all_cause_mort[],24,FALSE)="",VLOOKUP(all_lmics181920[[who_choice_region]:[who_choice_region]],missing[],28,FALSE),VLOOKUP(all_lmics181920[[Setting]:[Setting]],all_cause_mort[],24,FALSE))*1.05</f>
        <v>0.38473867950000001</v>
      </c>
      <c r="AK9">
        <f>IF(VLOOKUP(all_lmics181920[[Setting]:[Setting]],all_cause_mort[],25,FALSE)="",VLOOKUP(all_lmics181920[[who_choice_region]:[who_choice_region]],missing[],29,FALSE),VLOOKUP(all_lmics181920[[Setting]:[Setting]],all_cause_mort[],25,FALSE))*1.05</f>
        <v>0.54436321738777027</v>
      </c>
      <c r="AL9">
        <f>VLOOKUP(all_lmics181920[[worldbank_region]:[worldbank_region]],Table13[],2,FALSE)*1.05</f>
        <v>46.7513991</v>
      </c>
      <c r="AM9">
        <f>VLOOKUP(all_lmics181920[[worldbank_region]:[worldbank_region]],Table13[],3,FALSE)*1.05</f>
        <v>46.7513991</v>
      </c>
      <c r="AN9">
        <f>VLOOKUP(all_lmics181920[[worldbank_region]:[worldbank_region]],Table13[],4,FALSE)*1.05</f>
        <v>96.866702099999983</v>
      </c>
      <c r="AO9">
        <f>VLOOKUP(all_lmics181920[[worldbank_region]:[worldbank_region]],Table13[],5,FALSE)*1.05</f>
        <v>96.866702099999983</v>
      </c>
      <c r="AP9">
        <f>VLOOKUP(all_lmics181920[[worldbank_region]:[worldbank_region]],Table13[],6,FALSE)*1.05</f>
        <v>96.866702099999983</v>
      </c>
      <c r="AQ9">
        <f>VLOOKUP(all_lmics181920[[worldbank_region]:[worldbank_region]],Table14[],2,FALSE)*1.05</f>
        <v>6.7392065999999993</v>
      </c>
      <c r="AR9">
        <f>VLOOKUP(all_lmics181920[[worldbank_region]:[worldbank_region]],Table14[],3,FALSE)*1.05</f>
        <v>7.3875815999999999</v>
      </c>
      <c r="AS9">
        <f>VLOOKUP(all_lmics181920[[worldbank_region]:[worldbank_region]],Table14[],4,FALSE)*1.05</f>
        <v>11.007016649999999</v>
      </c>
      <c r="AT9">
        <f>VLOOKUP(all_lmics181920[[worldbank_region]:[worldbank_region]],Table14[],5,FALSE)*1.05</f>
        <v>11.65539165</v>
      </c>
      <c r="AU9">
        <f>VLOOKUP(all_lmics181920[[worldbank_region]:[worldbank_region]],Table14[],6,FALSE)*1.05</f>
        <v>12.254156249999999</v>
      </c>
      <c r="AV9">
        <f>MIN(IFERROR(VLOOKUP(all_lmics181920[[Setting]:[Setting]],nFacSBA[],4,FALSE),VLOOKUP(all_lmics181920[[who_choice_region]:[who_choice_region]],missing[],30,FALSE))*1.05, 0.9999)</f>
        <v>0.56572419592179946</v>
      </c>
      <c r="AW9">
        <f>VLOOKUP(all_lmics181920[[worldbank_region]:[worldbank_region]],hbe[],4)</f>
        <v>0.5</v>
      </c>
      <c r="AX9">
        <f>VLOOKUP(all_lmics181920[[worldbank_region]:[worldbank_region]],hbe[],7)</f>
        <v>1</v>
      </c>
      <c r="AY9">
        <f>VLOOKUP(all_lmics181920[[worldbank_region]:[worldbank_region]],hbe[],10)</f>
        <v>0.25</v>
      </c>
    </row>
    <row r="10" spans="1:51" x14ac:dyDescent="0.35">
      <c r="A10" s="12" t="s">
        <v>44</v>
      </c>
      <c r="B10" s="13" t="s">
        <v>36</v>
      </c>
      <c r="C10" s="14" t="s">
        <v>37</v>
      </c>
      <c r="D10">
        <f>VLOOKUP(all_lmics181920[[Setting]:[Setting]],populations[],9,FALSE)</f>
        <v>807610</v>
      </c>
      <c r="E10">
        <f>VLOOKUP(all_lmics181920[[Setting]:[Setting]],birthrate[],3,FALSE)</f>
        <v>1.8165000000000001E-2</v>
      </c>
      <c r="F10">
        <f>all_lmics181920[[#This Row],[2017_population]]*all_lmics181920[[#This Row],[2016_birthrate]]</f>
        <v>14670.235650000001</v>
      </c>
      <c r="G10">
        <f>MIN(VLOOKUP(all_lmics181920[[Setting]:[Setting]],birthdose[],4,FALSE)*1.05,0.9999)</f>
        <v>0.86099999999999999</v>
      </c>
      <c r="H10">
        <f>MIN(VLOOKUP(all_lmics181920[[Setting]:[Setting]],fullvax[],4,FALSE)*1.05,0.9999)</f>
        <v>0.99990000000000001</v>
      </c>
      <c r="I10">
        <f>IFERROR(VLOOKUP(all_lmics181920[[Setting]:[Setting]],prev[],3,FALSE),VLOOKUP(all_lmics181920[[who_choice_region]:[who_choice_region]],missing[],2,FALSE))</f>
        <v>5.8400000000000001E-2</v>
      </c>
      <c r="J10">
        <f>IFERROR(VLOOKUP(all_lmics181920[[Setting]:[Setting]],prev[],4,FALSE),VLOOKUP(all_lmics181920[[who_choice_region]:[who_choice_region]],missing[],3,FALSE))</f>
        <v>4.9200000000000001E-2</v>
      </c>
      <c r="K10">
        <f>IFERROR(VLOOKUP(all_lmics181920[[Setting]:[Setting]],prev[],5,FALSE),VLOOKUP(all_lmics181920[[who_choice_region]:[who_choice_region]],missing[],4,FALSE))</f>
        <v>6.93E-2</v>
      </c>
      <c r="L10">
        <f>IFERROR(VLOOKUP(all_lmics181920[[Setting]:[Setting]],prev[],7,FALSE),VLOOKUP(all_lmics181920[[who_choice_region]:[who_choice_region]],missing[],5,FALSE))</f>
        <v>5.5612244897959183E-3</v>
      </c>
      <c r="M10">
        <f>IFERROR(VLOOKUP(all_lmics181920[[Setting]:[Setting]],prev[],6,FALSE),0)</f>
        <v>727641</v>
      </c>
      <c r="N10">
        <f>MIN(IFERROR(VLOOKUP(all_lmics181920[[Setting]:[Setting]],SBA[],4,FALSE),VLOOKUP(all_lmics181920[[who_choice_region]:[who_choice_region]],missing[],6,FALSE))*1.05, 0.9999)</f>
        <v>0.93450000000000011</v>
      </c>
      <c r="O10">
        <f>MIN(IFERROR(VLOOKUP(all_lmics181920[[Setting]:[Setting]], facility[], 3,FALSE),VLOOKUP(all_lmics181920[[who_choice_region]:[who_choice_region]],missing[],7,FALSE))*1.05, 0.9999)</f>
        <v>0.77490000000000003</v>
      </c>
      <c r="P10">
        <f>IF(VLOOKUP(all_lmics181920[[Setting]:[Setting]],all_cause_mort[],4,FALSE)="",VLOOKUP(all_lmics181920[[who_choice_region]:[who_choice_region]],missing[],8,FALSE),VLOOKUP(all_lmics181920[[Setting]:[Setting]],all_cause_mort[],4,FALSE))*1.05</f>
        <v>2.5822608E-2</v>
      </c>
      <c r="Q10">
        <f>IF(VLOOKUP(all_lmics181920[[Setting]:[Setting]],all_cause_mort[],5,FALSE)="",VLOOKUP(all_lmics181920[[who_choice_region]:[who_choice_region]],missing[],9,FALSE),VLOOKUP(all_lmics181920[[Setting]:[Setting]],all_cause_mort[],5,FALSE))*1.05</f>
        <v>1.4932857450000001E-3</v>
      </c>
      <c r="R10">
        <f>IF(VLOOKUP(all_lmics181920[[Setting]:[Setting]],all_cause_mort[],6,FALSE)="",VLOOKUP(all_lmics181920[[who_choice_region]:[who_choice_region]],missing[],10,FALSE),VLOOKUP(all_lmics181920[[Setting]:[Setting]],all_cause_mort[],6,FALSE))*1.05</f>
        <v>8.1389659050000007E-4</v>
      </c>
      <c r="S10">
        <f>IF(VLOOKUP(all_lmics181920[[Setting]:[Setting]],all_cause_mort[],7,FALSE)="",VLOOKUP(all_lmics181920[[who_choice_region]:[who_choice_region]],missing[],11,FALSE),VLOOKUP(all_lmics181920[[Setting]:[Setting]],all_cause_mort[],7,FALSE))*1.05</f>
        <v>6.5935367400000002E-4</v>
      </c>
      <c r="T10">
        <f>IF(VLOOKUP(all_lmics181920[[Setting]:[Setting]],all_cause_mort[],8,FALSE)="",VLOOKUP(all_lmics181920[[who_choice_region]:[who_choice_region]],missing[],12,FALSE),VLOOKUP(all_lmics181920[[Setting]:[Setting]],all_cause_mort[],8,FALSE))*1.05</f>
        <v>8.9251118250000005E-4</v>
      </c>
      <c r="U10">
        <f>IF(VLOOKUP(all_lmics181920[[Setting]:[Setting]],all_cause_mort[],9,FALSE)="",VLOOKUP(all_lmics181920[[who_choice_region]:[who_choice_region]],missing[],13,FALSE),VLOOKUP(all_lmics181920[[Setting]:[Setting]],all_cause_mort[],9,FALSE))*1.05</f>
        <v>1.45525569E-3</v>
      </c>
      <c r="V10">
        <f>IF(VLOOKUP(all_lmics181920[[Setting]:[Setting]],all_cause_mort[],10,FALSE)="",VLOOKUP(all_lmics181920[[who_choice_region]:[who_choice_region]],missing[],14,FALSE),VLOOKUP(all_lmics181920[[Setting]:[Setting]],all_cause_mort[],10,FALSE))*1.05</f>
        <v>2.1092944950000005E-3</v>
      </c>
      <c r="W10">
        <f>IF(VLOOKUP(all_lmics181920[[Setting]:[Setting]],all_cause_mort[],11,FALSE)="",VLOOKUP(all_lmics181920[[who_choice_region]:[who_choice_region]],missing[],15,FALSE),VLOOKUP(all_lmics181920[[Setting]:[Setting]],all_cause_mort[],11,FALSE))*1.05</f>
        <v>3.0638753249999998E-3</v>
      </c>
      <c r="X10">
        <f>IF(VLOOKUP(all_lmics181920[[Setting]:[Setting]],all_cause_mort[],12,FALSE)="",VLOOKUP(all_lmics181920[[who_choice_region]:[who_choice_region]],missing[],16,FALSE),VLOOKUP(all_lmics181920[[Setting]:[Setting]],all_cause_mort[],12,FALSE))*1.05</f>
        <v>4.1765645249999999E-3</v>
      </c>
      <c r="Y10">
        <f>IF(VLOOKUP(all_lmics181920[[Setting]:[Setting]],all_cause_mort[],13,FALSE)="",VLOOKUP(all_lmics181920[[who_choice_region]:[who_choice_region]],missing[],17,FALSE),VLOOKUP(all_lmics181920[[Setting]:[Setting]],all_cause_mort[],13,FALSE))*1.05</f>
        <v>5.4776320199999996E-3</v>
      </c>
      <c r="Z10">
        <f>IF(VLOOKUP(all_lmics181920[[Setting]:[Setting]],all_cause_mort[],14,FALSE)="",VLOOKUP(all_lmics181920[[who_choice_region]:[who_choice_region]],missing[],18,FALSE),VLOOKUP(all_lmics181920[[Setting]:[Setting]],all_cause_mort[],14,FALSE))*1.05</f>
        <v>7.1382669750000008E-3</v>
      </c>
      <c r="AA10">
        <f>IF(VLOOKUP(all_lmics181920[[Setting]:[Setting]],all_cause_mort[],15,FALSE)="",VLOOKUP(all_lmics181920[[who_choice_region]:[who_choice_region]],missing[],19,FALSE),VLOOKUP(all_lmics181920[[Setting]:[Setting]],all_cause_mort[],15,FALSE))*1.05</f>
        <v>9.4351415550000001E-3</v>
      </c>
      <c r="AB10">
        <f>IF(VLOOKUP(all_lmics181920[[Setting]:[Setting]],all_cause_mort[],16,FALSE)="",VLOOKUP(all_lmics181920[[who_choice_region]:[who_choice_region]],missing[],20,FALSE),VLOOKUP(all_lmics181920[[Setting]:[Setting]],all_cause_mort[],16,FALSE))*1.05</f>
        <v>1.28778804E-2</v>
      </c>
      <c r="AC10">
        <f>IF(VLOOKUP(all_lmics181920[[Setting]:[Setting]],all_cause_mort[],17,FALSE)="",VLOOKUP(all_lmics181920[[who_choice_region]:[who_choice_region]],missing[],21,FALSE),VLOOKUP(all_lmics181920[[Setting]:[Setting]],all_cause_mort[],17,FALSE))*1.05</f>
        <v>1.7455947600000001E-2</v>
      </c>
      <c r="AD10">
        <f>IF(VLOOKUP(all_lmics181920[[Setting]:[Setting]],all_cause_mort[],18,FALSE)="",VLOOKUP(all_lmics181920[[who_choice_region]:[who_choice_region]],missing[],22,FALSE),VLOOKUP(all_lmics181920[[Setting]:[Setting]],all_cause_mort[],18,FALSE))*1.05</f>
        <v>2.482171755E-2</v>
      </c>
      <c r="AE10">
        <f>IF(VLOOKUP(all_lmics181920[[Setting]:[Setting]],all_cause_mort[],19,FALSE)="",VLOOKUP(all_lmics181920[[who_choice_region]:[who_choice_region]],missing[],23,FALSE),VLOOKUP(all_lmics181920[[Setting]:[Setting]],all_cause_mort[],19,FALSE))*1.05</f>
        <v>3.5997188850000007E-2</v>
      </c>
      <c r="AF10">
        <f>IF(VLOOKUP(all_lmics181920[[Setting]:[Setting]],all_cause_mort[],20,FALSE)="",VLOOKUP(all_lmics181920[[who_choice_region]:[who_choice_region]],missing[],24,FALSE),VLOOKUP(all_lmics181920[[Setting]:[Setting]],all_cause_mort[],20,FALSE))*1.05</f>
        <v>5.33762817E-2</v>
      </c>
      <c r="AG10">
        <f>IF(VLOOKUP(all_lmics181920[[Setting]:[Setting]],all_cause_mort[],21,FALSE)="",VLOOKUP(all_lmics181920[[who_choice_region]:[who_choice_region]],missing[],25,FALSE),VLOOKUP(all_lmics181920[[Setting]:[Setting]],all_cause_mort[],21,FALSE))*1.05</f>
        <v>7.9794473850000006E-2</v>
      </c>
      <c r="AH10">
        <f>IF(VLOOKUP(all_lmics181920[[Setting]:[Setting]],all_cause_mort[],22,FALSE)="",VLOOKUP(all_lmics181920[[who_choice_region]:[who_choice_region]],missing[],26,FALSE),VLOOKUP(all_lmics181920[[Setting]:[Setting]],all_cause_mort[],22,FALSE))*1.05</f>
        <v>0.11283757799999999</v>
      </c>
      <c r="AI10">
        <f>IF(VLOOKUP(all_lmics181920[[Setting]:[Setting]],all_cause_mort[],23,FALSE)="",VLOOKUP(all_lmics181920[[who_choice_region]:[who_choice_region]],missing[],27,FALSE),VLOOKUP(all_lmics181920[[Setting]:[Setting]],all_cause_mort[],23,FALSE))*1.05</f>
        <v>0.1586166225</v>
      </c>
      <c r="AJ10">
        <f>IF(VLOOKUP(all_lmics181920[[Setting]:[Setting]],all_cause_mort[],24,FALSE)="",VLOOKUP(all_lmics181920[[who_choice_region]:[who_choice_region]],missing[],28,FALSE),VLOOKUP(all_lmics181920[[Setting]:[Setting]],all_cause_mort[],24,FALSE))*1.05</f>
        <v>0.21546220500000002</v>
      </c>
      <c r="AK10">
        <f>IF(VLOOKUP(all_lmics181920[[Setting]:[Setting]],all_cause_mort[],25,FALSE)="",VLOOKUP(all_lmics181920[[who_choice_region]:[who_choice_region]],missing[],29,FALSE),VLOOKUP(all_lmics181920[[Setting]:[Setting]],all_cause_mort[],25,FALSE))*1.05</f>
        <v>0.29554146151163552</v>
      </c>
      <c r="AL10">
        <f>VLOOKUP(all_lmics181920[[worldbank_region]:[worldbank_region]],Table13[],2,FALSE)*1.05</f>
        <v>60.229898399999996</v>
      </c>
      <c r="AM10">
        <f>VLOOKUP(all_lmics181920[[worldbank_region]:[worldbank_region]],Table13[],3,FALSE)*1.05</f>
        <v>60.229898399999996</v>
      </c>
      <c r="AN10">
        <f>VLOOKUP(all_lmics181920[[worldbank_region]:[worldbank_region]],Table13[],4,FALSE)*1.05</f>
        <v>110.34520139999999</v>
      </c>
      <c r="AO10">
        <f>VLOOKUP(all_lmics181920[[worldbank_region]:[worldbank_region]],Table13[],5,FALSE)*1.05</f>
        <v>110.34520139999999</v>
      </c>
      <c r="AP10">
        <f>VLOOKUP(all_lmics181920[[worldbank_region]:[worldbank_region]],Table13[],6,FALSE)*1.05</f>
        <v>110.34520139999999</v>
      </c>
      <c r="AQ10">
        <f>VLOOKUP(all_lmics181920[[worldbank_region]:[worldbank_region]],Table14[],2,FALSE)*1.05</f>
        <v>1.0068397500000001</v>
      </c>
      <c r="AR10">
        <f>VLOOKUP(all_lmics181920[[worldbank_region]:[worldbank_region]],Table14[],3,FALSE)*1.05</f>
        <v>1.6552147500000003</v>
      </c>
      <c r="AS10">
        <f>VLOOKUP(all_lmics181920[[worldbank_region]:[worldbank_region]],Table14[],4,FALSE)*1.05</f>
        <v>34.6802043</v>
      </c>
      <c r="AT10">
        <f>VLOOKUP(all_lmics181920[[worldbank_region]:[worldbank_region]],Table14[],5,FALSE)*1.05</f>
        <v>35.328579300000001</v>
      </c>
      <c r="AU10">
        <f>VLOOKUP(all_lmics181920[[worldbank_region]:[worldbank_region]],Table14[],6,FALSE)*1.05</f>
        <v>35.927343900000004</v>
      </c>
      <c r="AV10">
        <f>MIN(IFERROR(VLOOKUP(all_lmics181920[[Setting]:[Setting]],nFacSBA[],4,FALSE),VLOOKUP(all_lmics181920[[who_choice_region]:[who_choice_region]],missing[],30,FALSE))*1.05, 0.9999)</f>
        <v>6.291113243064568E-2</v>
      </c>
      <c r="AW10">
        <f>VLOOKUP(all_lmics181920[[worldbank_region]:[worldbank_region]],hbe[],4)</f>
        <v>0.5</v>
      </c>
      <c r="AX10">
        <f>VLOOKUP(all_lmics181920[[worldbank_region]:[worldbank_region]],hbe[],7)</f>
        <v>1</v>
      </c>
      <c r="AY10">
        <f>VLOOKUP(all_lmics181920[[worldbank_region]:[worldbank_region]],hbe[],10)</f>
        <v>0.25</v>
      </c>
    </row>
    <row r="11" spans="1:51" x14ac:dyDescent="0.35">
      <c r="A11" s="12" t="s">
        <v>50</v>
      </c>
      <c r="B11" s="13" t="s">
        <v>22</v>
      </c>
      <c r="C11" s="14" t="s">
        <v>383</v>
      </c>
      <c r="D11">
        <f>VLOOKUP(all_lmics181920[[Setting]:[Setting]],populations[],9,FALSE)</f>
        <v>209288278</v>
      </c>
      <c r="E11">
        <f>VLOOKUP(all_lmics181920[[Setting]:[Setting]],birthrate[],3,FALSE)</f>
        <v>1.4163E-2</v>
      </c>
      <c r="F11">
        <f>all_lmics181920[[#This Row],[2017_population]]*all_lmics181920[[#This Row],[2016_birthrate]]</f>
        <v>2964149.8813140001</v>
      </c>
      <c r="G11">
        <f>MIN(VLOOKUP(all_lmics181920[[Setting]:[Setting]],birthdose[],4,FALSE)*1.05,0.9999)</f>
        <v>0.84000000000000008</v>
      </c>
      <c r="H11">
        <f>MIN(VLOOKUP(all_lmics181920[[Setting]:[Setting]],fullvax[],4,FALSE)*1.05,0.9999)</f>
        <v>0.97650000000000015</v>
      </c>
      <c r="I11">
        <f>IFERROR(VLOOKUP(all_lmics181920[[Setting]:[Setting]],prev[],3,FALSE),VLOOKUP(all_lmics181920[[who_choice_region]:[who_choice_region]],missing[],2,FALSE))</f>
        <v>4.0000000000000001E-3</v>
      </c>
      <c r="J11">
        <f>IFERROR(VLOOKUP(all_lmics181920[[Setting]:[Setting]],prev[],4,FALSE),VLOOKUP(all_lmics181920[[who_choice_region]:[who_choice_region]],missing[],3,FALSE))</f>
        <v>2E-3</v>
      </c>
      <c r="K11">
        <f>IFERROR(VLOOKUP(all_lmics181920[[Setting]:[Setting]],prev[],5,FALSE),VLOOKUP(all_lmics181920[[who_choice_region]:[who_choice_region]],missing[],4,FALSE))</f>
        <v>6.0000000000000001E-3</v>
      </c>
      <c r="L11">
        <f>IFERROR(VLOOKUP(all_lmics181920[[Setting]:[Setting]],prev[],7,FALSE),VLOOKUP(all_lmics181920[[who_choice_region]:[who_choice_region]],missing[],5,FALSE))</f>
        <v>1.0204081632653062E-3</v>
      </c>
      <c r="M11">
        <f>IFERROR(VLOOKUP(all_lmics181920[[Setting]:[Setting]],prev[],6,FALSE),0)</f>
        <v>209288278</v>
      </c>
      <c r="N11">
        <f>MIN(IFERROR(VLOOKUP(all_lmics181920[[Setting]:[Setting]],SBA[],4,FALSE),VLOOKUP(all_lmics181920[[who_choice_region]:[who_choice_region]],missing[],6,FALSE))*1.05, 0.9999)</f>
        <v>0.99990000000000001</v>
      </c>
      <c r="O11">
        <f>MIN(IFERROR(VLOOKUP(all_lmics181920[[Setting]:[Setting]], facility[], 3,FALSE),VLOOKUP(all_lmics181920[[who_choice_region]:[who_choice_region]],missing[],7,FALSE))*1.05, 0.9999)</f>
        <v>0.99990000000000001</v>
      </c>
      <c r="P11">
        <f>IF(VLOOKUP(all_lmics181920[[Setting]:[Setting]],all_cause_mort[],4,FALSE)="",VLOOKUP(all_lmics181920[[who_choice_region]:[who_choice_region]],missing[],8,FALSE),VLOOKUP(all_lmics181920[[Setting]:[Setting]],all_cause_mort[],4,FALSE))*1.05</f>
        <v>1.3832830200000002E-2</v>
      </c>
      <c r="Q11">
        <f>IF(VLOOKUP(all_lmics181920[[Setting]:[Setting]],all_cause_mort[],5,FALSE)="",VLOOKUP(all_lmics181920[[who_choice_region]:[who_choice_region]],missing[],9,FALSE),VLOOKUP(all_lmics181920[[Setting]:[Setting]],all_cause_mort[],5,FALSE))*1.05</f>
        <v>5.9456654250000004E-4</v>
      </c>
      <c r="R11">
        <f>IF(VLOOKUP(all_lmics181920[[Setting]:[Setting]],all_cause_mort[],6,FALSE)="",VLOOKUP(all_lmics181920[[who_choice_region]:[who_choice_region]],missing[],10,FALSE),VLOOKUP(all_lmics181920[[Setting]:[Setting]],all_cause_mort[],6,FALSE))*1.05</f>
        <v>2.3749281150000002E-4</v>
      </c>
      <c r="S11">
        <f>IF(VLOOKUP(all_lmics181920[[Setting]:[Setting]],all_cause_mort[],7,FALSE)="",VLOOKUP(all_lmics181920[[who_choice_region]:[who_choice_region]],missing[],11,FALSE),VLOOKUP(all_lmics181920[[Setting]:[Setting]],all_cause_mort[],7,FALSE))*1.05</f>
        <v>3.2632951050000001E-4</v>
      </c>
      <c r="T11">
        <f>IF(VLOOKUP(all_lmics181920[[Setting]:[Setting]],all_cause_mort[],8,FALSE)="",VLOOKUP(all_lmics181920[[who_choice_region]:[who_choice_region]],missing[],12,FALSE),VLOOKUP(all_lmics181920[[Setting]:[Setting]],all_cause_mort[],8,FALSE))*1.05</f>
        <v>1.1402532749999999E-3</v>
      </c>
      <c r="U11">
        <f>IF(VLOOKUP(all_lmics181920[[Setting]:[Setting]],all_cause_mort[],9,FALSE)="",VLOOKUP(all_lmics181920[[who_choice_region]:[who_choice_region]],missing[],13,FALSE),VLOOKUP(all_lmics181920[[Setting]:[Setting]],all_cause_mort[],9,FALSE))*1.05</f>
        <v>1.7357384100000002E-3</v>
      </c>
      <c r="V11">
        <f>IF(VLOOKUP(all_lmics181920[[Setting]:[Setting]],all_cause_mort[],10,FALSE)="",VLOOKUP(all_lmics181920[[who_choice_region]:[who_choice_region]],missing[],14,FALSE),VLOOKUP(all_lmics181920[[Setting]:[Setting]],all_cause_mort[],10,FALSE))*1.05</f>
        <v>1.6591029000000001E-3</v>
      </c>
      <c r="W11">
        <f>IF(VLOOKUP(all_lmics181920[[Setting]:[Setting]],all_cause_mort[],11,FALSE)="",VLOOKUP(all_lmics181920[[who_choice_region]:[who_choice_region]],missing[],15,FALSE),VLOOKUP(all_lmics181920[[Setting]:[Setting]],all_cause_mort[],11,FALSE))*1.05</f>
        <v>1.9144725600000001E-3</v>
      </c>
      <c r="X11">
        <f>IF(VLOOKUP(all_lmics181920[[Setting]:[Setting]],all_cause_mort[],12,FALSE)="",VLOOKUP(all_lmics181920[[who_choice_region]:[who_choice_region]],missing[],16,FALSE),VLOOKUP(all_lmics181920[[Setting]:[Setting]],all_cause_mort[],12,FALSE))*1.05</f>
        <v>2.4208696050000002E-3</v>
      </c>
      <c r="Y11">
        <f>IF(VLOOKUP(all_lmics181920[[Setting]:[Setting]],all_cause_mort[],13,FALSE)="",VLOOKUP(all_lmics181920[[who_choice_region]:[who_choice_region]],missing[],17,FALSE),VLOOKUP(all_lmics181920[[Setting]:[Setting]],all_cause_mort[],13,FALSE))*1.05</f>
        <v>3.1185167999999998E-3</v>
      </c>
      <c r="Z11">
        <f>IF(VLOOKUP(all_lmics181920[[Setting]:[Setting]],all_cause_mort[],14,FALSE)="",VLOOKUP(all_lmics181920[[who_choice_region]:[who_choice_region]],missing[],18,FALSE),VLOOKUP(all_lmics181920[[Setting]:[Setting]],all_cause_mort[],14,FALSE))*1.05</f>
        <v>4.5120703949999997E-3</v>
      </c>
      <c r="AA11">
        <f>IF(VLOOKUP(all_lmics181920[[Setting]:[Setting]],all_cause_mort[],15,FALSE)="",VLOOKUP(all_lmics181920[[who_choice_region]:[who_choice_region]],missing[],19,FALSE),VLOOKUP(all_lmics181920[[Setting]:[Setting]],all_cause_mort[],15,FALSE))*1.05</f>
        <v>6.4608910800000004E-3</v>
      </c>
      <c r="AB11">
        <f>IF(VLOOKUP(all_lmics181920[[Setting]:[Setting]],all_cause_mort[],16,FALSE)="",VLOOKUP(all_lmics181920[[who_choice_region]:[who_choice_region]],missing[],20,FALSE),VLOOKUP(all_lmics181920[[Setting]:[Setting]],all_cause_mort[],16,FALSE))*1.05</f>
        <v>9.1868427000000013E-3</v>
      </c>
      <c r="AC11">
        <f>IF(VLOOKUP(all_lmics181920[[Setting]:[Setting]],all_cause_mort[],17,FALSE)="",VLOOKUP(all_lmics181920[[who_choice_region]:[who_choice_region]],missing[],21,FALSE),VLOOKUP(all_lmics181920[[Setting]:[Setting]],all_cause_mort[],17,FALSE))*1.05</f>
        <v>1.3812911700000001E-2</v>
      </c>
      <c r="AD11">
        <f>IF(VLOOKUP(all_lmics181920[[Setting]:[Setting]],all_cause_mort[],18,FALSE)="",VLOOKUP(all_lmics181920[[who_choice_region]:[who_choice_region]],missing[],22,FALSE),VLOOKUP(all_lmics181920[[Setting]:[Setting]],all_cause_mort[],18,FALSE))*1.05</f>
        <v>2.0775317849999999E-2</v>
      </c>
      <c r="AE11">
        <f>IF(VLOOKUP(all_lmics181920[[Setting]:[Setting]],all_cause_mort[],19,FALSE)="",VLOOKUP(all_lmics181920[[who_choice_region]:[who_choice_region]],missing[],23,FALSE),VLOOKUP(all_lmics181920[[Setting]:[Setting]],all_cause_mort[],19,FALSE))*1.05</f>
        <v>3.0140460000000001E-2</v>
      </c>
      <c r="AF11">
        <f>IF(VLOOKUP(all_lmics181920[[Setting]:[Setting]],all_cause_mort[],20,FALSE)="",VLOOKUP(all_lmics181920[[who_choice_region]:[who_choice_region]],missing[],24,FALSE),VLOOKUP(all_lmics181920[[Setting]:[Setting]],all_cause_mort[],20,FALSE))*1.05</f>
        <v>4.6730052600000002E-2</v>
      </c>
      <c r="AG11">
        <f>IF(VLOOKUP(all_lmics181920[[Setting]:[Setting]],all_cause_mort[],21,FALSE)="",VLOOKUP(all_lmics181920[[who_choice_region]:[who_choice_region]],missing[],25,FALSE),VLOOKUP(all_lmics181920[[Setting]:[Setting]],all_cause_mort[],21,FALSE))*1.05</f>
        <v>7.1473089450000013E-2</v>
      </c>
      <c r="AH11">
        <f>IF(VLOOKUP(all_lmics181920[[Setting]:[Setting]],all_cause_mort[],22,FALSE)="",VLOOKUP(all_lmics181920[[who_choice_region]:[who_choice_region]],missing[],26,FALSE),VLOOKUP(all_lmics181920[[Setting]:[Setting]],all_cause_mort[],22,FALSE))*1.05</f>
        <v>0.107020032</v>
      </c>
      <c r="AI11">
        <f>IF(VLOOKUP(all_lmics181920[[Setting]:[Setting]],all_cause_mort[],23,FALSE)="",VLOOKUP(all_lmics181920[[who_choice_region]:[who_choice_region]],missing[],27,FALSE),VLOOKUP(all_lmics181920[[Setting]:[Setting]],all_cause_mort[],23,FALSE))*1.05</f>
        <v>0.15511268850000001</v>
      </c>
      <c r="AJ11">
        <f>IF(VLOOKUP(all_lmics181920[[Setting]:[Setting]],all_cause_mort[],24,FALSE)="",VLOOKUP(all_lmics181920[[who_choice_region]:[who_choice_region]],missing[],28,FALSE),VLOOKUP(all_lmics181920[[Setting]:[Setting]],all_cause_mort[],24,FALSE))*1.05</f>
        <v>0.23487788100000001</v>
      </c>
      <c r="AK11">
        <f>IF(VLOOKUP(all_lmics181920[[Setting]:[Setting]],all_cause_mort[],25,FALSE)="",VLOOKUP(all_lmics181920[[who_choice_region]:[who_choice_region]],missing[],29,FALSE),VLOOKUP(all_lmics181920[[Setting]:[Setting]],all_cause_mort[],25,FALSE))*1.05</f>
        <v>0.35218509721717456</v>
      </c>
      <c r="AL11">
        <f>VLOOKUP(all_lmics181920[[worldbank_region]:[worldbank_region]],Table13[],2,FALSE)*1.05</f>
        <v>91.202986349999989</v>
      </c>
      <c r="AM11">
        <f>VLOOKUP(all_lmics181920[[worldbank_region]:[worldbank_region]],Table13[],3,FALSE)*1.05</f>
        <v>91.202986349999989</v>
      </c>
      <c r="AN11">
        <f>VLOOKUP(all_lmics181920[[worldbank_region]:[worldbank_region]],Table13[],4,FALSE)*1.05</f>
        <v>141.31828934999999</v>
      </c>
      <c r="AO11">
        <f>VLOOKUP(all_lmics181920[[worldbank_region]:[worldbank_region]],Table13[],5,FALSE)*1.05</f>
        <v>141.31828934999999</v>
      </c>
      <c r="AP11">
        <f>VLOOKUP(all_lmics181920[[worldbank_region]:[worldbank_region]],Table13[],6,FALSE)*1.05</f>
        <v>141.31828934999999</v>
      </c>
      <c r="AQ11">
        <f>VLOOKUP(all_lmics181920[[worldbank_region]:[worldbank_region]],Table14[],2,FALSE)*1.05</f>
        <v>1.5903741</v>
      </c>
      <c r="AR11">
        <f>VLOOKUP(all_lmics181920[[worldbank_region]:[worldbank_region]],Table14[],3,FALSE)*1.05</f>
        <v>2.2387491000000002</v>
      </c>
      <c r="AS11">
        <f>VLOOKUP(all_lmics181920[[worldbank_region]:[worldbank_region]],Table14[],4,FALSE)*1.05</f>
        <v>1.6132578000000002</v>
      </c>
      <c r="AT11">
        <f>VLOOKUP(all_lmics181920[[worldbank_region]:[worldbank_region]],Table14[],5,FALSE)*1.05</f>
        <v>2.2616328000000001</v>
      </c>
      <c r="AU11">
        <f>VLOOKUP(all_lmics181920[[worldbank_region]:[worldbank_region]],Table14[],6,FALSE)*1.05</f>
        <v>2.8603974000000001</v>
      </c>
      <c r="AV11">
        <f>MIN(IFERROR(VLOOKUP(all_lmics181920[[Setting]:[Setting]],nFacSBA[],4,FALSE),VLOOKUP(all_lmics181920[[who_choice_region]:[who_choice_region]],missing[],30,FALSE))*1.05, 0.9999)</f>
        <v>0.20967217599819754</v>
      </c>
      <c r="AW11">
        <f>VLOOKUP(all_lmics181920[[worldbank_region]:[worldbank_region]],hbe[],4)</f>
        <v>0.5</v>
      </c>
      <c r="AX11">
        <f>VLOOKUP(all_lmics181920[[worldbank_region]:[worldbank_region]],hbe[],7)</f>
        <v>1</v>
      </c>
      <c r="AY11">
        <f>VLOOKUP(all_lmics181920[[worldbank_region]:[worldbank_region]],hbe[],10)</f>
        <v>0.25</v>
      </c>
    </row>
    <row r="12" spans="1:51" x14ac:dyDescent="0.35">
      <c r="A12" s="12" t="s">
        <v>52</v>
      </c>
      <c r="B12" s="13" t="s">
        <v>10</v>
      </c>
      <c r="C12" s="14" t="s">
        <v>11</v>
      </c>
      <c r="D12">
        <f>VLOOKUP(all_lmics181920[[Setting]:[Setting]],populations[],9,FALSE)</f>
        <v>7075991</v>
      </c>
      <c r="E12">
        <f>VLOOKUP(all_lmics181920[[Setting]:[Setting]],birthrate[],3,FALSE)</f>
        <v>9.1000000000000004E-3</v>
      </c>
      <c r="F12">
        <f>all_lmics181920[[#This Row],[2017_population]]*all_lmics181920[[#This Row],[2016_birthrate]]</f>
        <v>64391.518100000001</v>
      </c>
      <c r="G12">
        <f>MIN(VLOOKUP(all_lmics181920[[Setting]:[Setting]],birthdose[],4,FALSE)*1.05,0.9999)</f>
        <v>0.99990000000000001</v>
      </c>
      <c r="H12">
        <f>MIN(VLOOKUP(all_lmics181920[[Setting]:[Setting]],fullvax[],4,FALSE)*1.05,0.9999)</f>
        <v>0.96600000000000008</v>
      </c>
      <c r="I12">
        <f>IFERROR(VLOOKUP(all_lmics181920[[Setting]:[Setting]],prev[],3,FALSE),VLOOKUP(all_lmics181920[[who_choice_region]:[who_choice_region]],missing[],2,FALSE))</f>
        <v>3.2000000000000001E-2</v>
      </c>
      <c r="J12">
        <f>IFERROR(VLOOKUP(all_lmics181920[[Setting]:[Setting]],prev[],4,FALSE),VLOOKUP(all_lmics181920[[who_choice_region]:[who_choice_region]],missing[],3,FALSE))</f>
        <v>1.9E-2</v>
      </c>
      <c r="K12">
        <f>IFERROR(VLOOKUP(all_lmics181920[[Setting]:[Setting]],prev[],5,FALSE),VLOOKUP(all_lmics181920[[who_choice_region]:[who_choice_region]],missing[],4,FALSE))</f>
        <v>5.6000000000000001E-2</v>
      </c>
      <c r="L12">
        <f>IFERROR(VLOOKUP(all_lmics181920[[Setting]:[Setting]],prev[],7,FALSE),VLOOKUP(all_lmics181920[[who_choice_region]:[who_choice_region]],missing[],5,FALSE))</f>
        <v>1.2244897959183675E-2</v>
      </c>
      <c r="M12">
        <f>IFERROR(VLOOKUP(all_lmics181920[[Setting]:[Setting]],prev[],6,FALSE),0)</f>
        <v>7075991</v>
      </c>
      <c r="N12">
        <f>MIN(IFERROR(VLOOKUP(all_lmics181920[[Setting]:[Setting]],SBA[],4,FALSE),VLOOKUP(all_lmics181920[[who_choice_region]:[who_choice_region]],missing[],6,FALSE))*1.05, 0.9999)</f>
        <v>0.99990000000000001</v>
      </c>
      <c r="O12">
        <f>MIN(IFERROR(VLOOKUP(all_lmics181920[[Setting]:[Setting]], facility[], 3,FALSE),VLOOKUP(all_lmics181920[[who_choice_region]:[who_choice_region]],missing[],7,FALSE))*1.05, 0.9999)</f>
        <v>0.9849</v>
      </c>
      <c r="P12">
        <f>IF(VLOOKUP(all_lmics181920[[Setting]:[Setting]],all_cause_mort[],4,FALSE)="",VLOOKUP(all_lmics181920[[who_choice_region]:[who_choice_region]],missing[],8,FALSE),VLOOKUP(all_lmics181920[[Setting]:[Setting]],all_cause_mort[],4,FALSE))*1.05</f>
        <v>6.6405718050000003E-3</v>
      </c>
      <c r="Q12">
        <f>IF(VLOOKUP(all_lmics181920[[Setting]:[Setting]],all_cause_mort[],5,FALSE)="",VLOOKUP(all_lmics181920[[who_choice_region]:[who_choice_region]],missing[],9,FALSE),VLOOKUP(all_lmics181920[[Setting]:[Setting]],all_cause_mort[],5,FALSE))*1.05</f>
        <v>3.0912340200000003E-4</v>
      </c>
      <c r="R12">
        <f>IF(VLOOKUP(all_lmics181920[[Setting]:[Setting]],all_cause_mort[],6,FALSE)="",VLOOKUP(all_lmics181920[[who_choice_region]:[who_choice_region]],missing[],10,FALSE),VLOOKUP(all_lmics181920[[Setting]:[Setting]],all_cause_mort[],6,FALSE))*1.05</f>
        <v>1.4914846800000002E-4</v>
      </c>
      <c r="S12">
        <f>IF(VLOOKUP(all_lmics181920[[Setting]:[Setting]],all_cause_mort[],7,FALSE)="",VLOOKUP(all_lmics181920[[who_choice_region]:[who_choice_region]],missing[],11,FALSE),VLOOKUP(all_lmics181920[[Setting]:[Setting]],all_cause_mort[],7,FALSE))*1.05</f>
        <v>1.7685331650000002E-4</v>
      </c>
      <c r="T12">
        <f>IF(VLOOKUP(all_lmics181920[[Setting]:[Setting]],all_cause_mort[],8,FALSE)="",VLOOKUP(all_lmics181920[[who_choice_region]:[who_choice_region]],missing[],12,FALSE),VLOOKUP(all_lmics181920[[Setting]:[Setting]],all_cause_mort[],8,FALSE))*1.05</f>
        <v>4.6373959800000001E-4</v>
      </c>
      <c r="U12">
        <f>IF(VLOOKUP(all_lmics181920[[Setting]:[Setting]],all_cause_mort[],9,FALSE)="",VLOOKUP(all_lmics181920[[who_choice_region]:[who_choice_region]],missing[],13,FALSE),VLOOKUP(all_lmics181920[[Setting]:[Setting]],all_cause_mort[],9,FALSE))*1.05</f>
        <v>6.1234379850000006E-4</v>
      </c>
      <c r="V12">
        <f>IF(VLOOKUP(all_lmics181920[[Setting]:[Setting]],all_cause_mort[],10,FALSE)="",VLOOKUP(all_lmics181920[[who_choice_region]:[who_choice_region]],missing[],14,FALSE),VLOOKUP(all_lmics181920[[Setting]:[Setting]],all_cause_mort[],10,FALSE))*1.05</f>
        <v>7.1532680100000001E-4</v>
      </c>
      <c r="W12">
        <f>IF(VLOOKUP(all_lmics181920[[Setting]:[Setting]],all_cause_mort[],11,FALSE)="",VLOOKUP(all_lmics181920[[who_choice_region]:[who_choice_region]],missing[],15,FALSE),VLOOKUP(all_lmics181920[[Setting]:[Setting]],all_cause_mort[],11,FALSE))*1.05</f>
        <v>1.0283075985000002E-3</v>
      </c>
      <c r="X12">
        <f>IF(VLOOKUP(all_lmics181920[[Setting]:[Setting]],all_cause_mort[],12,FALSE)="",VLOOKUP(all_lmics181920[[who_choice_region]:[who_choice_region]],missing[],16,FALSE),VLOOKUP(all_lmics181920[[Setting]:[Setting]],all_cause_mort[],12,FALSE))*1.05</f>
        <v>1.5295628249999999E-3</v>
      </c>
      <c r="Y12">
        <f>IF(VLOOKUP(all_lmics181920[[Setting]:[Setting]],all_cause_mort[],13,FALSE)="",VLOOKUP(all_lmics181920[[who_choice_region]:[who_choice_region]],missing[],17,FALSE),VLOOKUP(all_lmics181920[[Setting]:[Setting]],all_cause_mort[],13,FALSE))*1.05</f>
        <v>2.568587595E-3</v>
      </c>
      <c r="Z12">
        <f>IF(VLOOKUP(all_lmics181920[[Setting]:[Setting]],all_cause_mort[],14,FALSE)="",VLOOKUP(all_lmics181920[[who_choice_region]:[who_choice_region]],missing[],18,FALSE),VLOOKUP(all_lmics181920[[Setting]:[Setting]],all_cause_mort[],14,FALSE))*1.05</f>
        <v>4.5696090300000004E-3</v>
      </c>
      <c r="AA12">
        <f>IF(VLOOKUP(all_lmics181920[[Setting]:[Setting]],all_cause_mort[],15,FALSE)="",VLOOKUP(all_lmics181920[[who_choice_region]:[who_choice_region]],missing[],19,FALSE),VLOOKUP(all_lmics181920[[Setting]:[Setting]],all_cause_mort[],15,FALSE))*1.05</f>
        <v>7.5577441800000001E-3</v>
      </c>
      <c r="AB12">
        <f>IF(VLOOKUP(all_lmics181920[[Setting]:[Setting]],all_cause_mort[],16,FALSE)="",VLOOKUP(all_lmics181920[[who_choice_region]:[who_choice_region]],missing[],20,FALSE),VLOOKUP(all_lmics181920[[Setting]:[Setting]],all_cause_mort[],16,FALSE))*1.05</f>
        <v>1.1737230749999999E-2</v>
      </c>
      <c r="AC12">
        <f>IF(VLOOKUP(all_lmics181920[[Setting]:[Setting]],all_cause_mort[],17,FALSE)="",VLOOKUP(all_lmics181920[[who_choice_region]:[who_choice_region]],missing[],21,FALSE),VLOOKUP(all_lmics181920[[Setting]:[Setting]],all_cause_mort[],17,FALSE))*1.05</f>
        <v>1.7122594650000003E-2</v>
      </c>
      <c r="AD12">
        <f>IF(VLOOKUP(all_lmics181920[[Setting]:[Setting]],all_cause_mort[],18,FALSE)="",VLOOKUP(all_lmics181920[[who_choice_region]:[who_choice_region]],missing[],22,FALSE),VLOOKUP(all_lmics181920[[Setting]:[Setting]],all_cause_mort[],18,FALSE))*1.05</f>
        <v>2.4371504850000003E-2</v>
      </c>
      <c r="AE12">
        <f>IF(VLOOKUP(all_lmics181920[[Setting]:[Setting]],all_cause_mort[],19,FALSE)="",VLOOKUP(all_lmics181920[[who_choice_region]:[who_choice_region]],missing[],23,FALSE),VLOOKUP(all_lmics181920[[Setting]:[Setting]],all_cause_mort[],19,FALSE))*1.05</f>
        <v>3.5546534100000006E-2</v>
      </c>
      <c r="AF12">
        <f>IF(VLOOKUP(all_lmics181920[[Setting]:[Setting]],all_cause_mort[],20,FALSE)="",VLOOKUP(all_lmics181920[[who_choice_region]:[who_choice_region]],missing[],24,FALSE),VLOOKUP(all_lmics181920[[Setting]:[Setting]],all_cause_mort[],20,FALSE))*1.05</f>
        <v>5.6874120450000003E-2</v>
      </c>
      <c r="AG12">
        <f>IF(VLOOKUP(all_lmics181920[[Setting]:[Setting]],all_cause_mort[],21,FALSE)="",VLOOKUP(all_lmics181920[[who_choice_region]:[who_choice_region]],missing[],25,FALSE),VLOOKUP(all_lmics181920[[Setting]:[Setting]],all_cause_mort[],21,FALSE))*1.05</f>
        <v>9.9783680850000014E-2</v>
      </c>
      <c r="AH12">
        <f>IF(VLOOKUP(all_lmics181920[[Setting]:[Setting]],all_cause_mort[],22,FALSE)="",VLOOKUP(all_lmics181920[[who_choice_region]:[who_choice_region]],missing[],26,FALSE),VLOOKUP(all_lmics181920[[Setting]:[Setting]],all_cause_mort[],22,FALSE))*1.05</f>
        <v>0.2076454905</v>
      </c>
      <c r="AI12">
        <f>IF(VLOOKUP(all_lmics181920[[Setting]:[Setting]],all_cause_mort[],23,FALSE)="",VLOOKUP(all_lmics181920[[who_choice_region]:[who_choice_region]],missing[],27,FALSE),VLOOKUP(all_lmics181920[[Setting]:[Setting]],all_cause_mort[],23,FALSE))*1.05</f>
        <v>0.28167723150000001</v>
      </c>
      <c r="AJ12">
        <f>IF(VLOOKUP(all_lmics181920[[Setting]:[Setting]],all_cause_mort[],24,FALSE)="",VLOOKUP(all_lmics181920[[who_choice_region]:[who_choice_region]],missing[],28,FALSE),VLOOKUP(all_lmics181920[[Setting]:[Setting]],all_cause_mort[],24,FALSE))*1.05</f>
        <v>0.429341115</v>
      </c>
      <c r="AK12">
        <f>IF(VLOOKUP(all_lmics181920[[Setting]:[Setting]],all_cause_mort[],25,FALSE)="",VLOOKUP(all_lmics181920[[who_choice_region]:[who_choice_region]],missing[],29,FALSE),VLOOKUP(all_lmics181920[[Setting]:[Setting]],all_cause_mort[],25,FALSE))*1.05</f>
        <v>0.6047925141201772</v>
      </c>
      <c r="AL12">
        <f>VLOOKUP(all_lmics181920[[worldbank_region]:[worldbank_region]],Table13[],2,FALSE)*1.05</f>
        <v>46.7513991</v>
      </c>
      <c r="AM12">
        <f>VLOOKUP(all_lmics181920[[worldbank_region]:[worldbank_region]],Table13[],3,FALSE)*1.05</f>
        <v>46.7513991</v>
      </c>
      <c r="AN12">
        <f>VLOOKUP(all_lmics181920[[worldbank_region]:[worldbank_region]],Table13[],4,FALSE)*1.05</f>
        <v>96.866702099999983</v>
      </c>
      <c r="AO12">
        <f>VLOOKUP(all_lmics181920[[worldbank_region]:[worldbank_region]],Table13[],5,FALSE)*1.05</f>
        <v>96.866702099999983</v>
      </c>
      <c r="AP12">
        <f>VLOOKUP(all_lmics181920[[worldbank_region]:[worldbank_region]],Table13[],6,FALSE)*1.05</f>
        <v>96.866702099999983</v>
      </c>
      <c r="AQ12">
        <f>VLOOKUP(all_lmics181920[[worldbank_region]:[worldbank_region]],Table14[],2,FALSE)*1.05</f>
        <v>6.7392065999999993</v>
      </c>
      <c r="AR12">
        <f>VLOOKUP(all_lmics181920[[worldbank_region]:[worldbank_region]],Table14[],3,FALSE)*1.05</f>
        <v>7.3875815999999999</v>
      </c>
      <c r="AS12">
        <f>VLOOKUP(all_lmics181920[[worldbank_region]:[worldbank_region]],Table14[],4,FALSE)*1.05</f>
        <v>11.007016649999999</v>
      </c>
      <c r="AT12">
        <f>VLOOKUP(all_lmics181920[[worldbank_region]:[worldbank_region]],Table14[],5,FALSE)*1.05</f>
        <v>11.65539165</v>
      </c>
      <c r="AU12">
        <f>VLOOKUP(all_lmics181920[[worldbank_region]:[worldbank_region]],Table14[],6,FALSE)*1.05</f>
        <v>12.254156249999999</v>
      </c>
      <c r="AV12">
        <f>MIN(IFERROR(VLOOKUP(all_lmics181920[[Setting]:[Setting]],nFacSBA[],4,FALSE),VLOOKUP(all_lmics181920[[who_choice_region]:[who_choice_region]],missing[],30,FALSE))*1.05, 0.9999)</f>
        <v>0.5602570271020012</v>
      </c>
      <c r="AW12">
        <f>VLOOKUP(all_lmics181920[[worldbank_region]:[worldbank_region]],hbe[],4)</f>
        <v>0.5</v>
      </c>
      <c r="AX12">
        <f>VLOOKUP(all_lmics181920[[worldbank_region]:[worldbank_region]],hbe[],7)</f>
        <v>1</v>
      </c>
      <c r="AY12">
        <f>VLOOKUP(all_lmics181920[[worldbank_region]:[worldbank_region]],hbe[],10)</f>
        <v>0.25</v>
      </c>
    </row>
    <row r="13" spans="1:51" x14ac:dyDescent="0.35">
      <c r="A13" s="8" t="s">
        <v>55</v>
      </c>
      <c r="B13" s="10" t="s">
        <v>14</v>
      </c>
      <c r="C13" s="11" t="s">
        <v>15</v>
      </c>
      <c r="D13">
        <f>VLOOKUP(all_lmics181920[[Setting]:[Setting]],populations[],9,FALSE)</f>
        <v>546388</v>
      </c>
      <c r="E13">
        <f>VLOOKUP(all_lmics181920[[Setting]:[Setting]],birthrate[],3,FALSE)</f>
        <v>2.0900999999999999E-2</v>
      </c>
      <c r="F13">
        <f>all_lmics181920[[#This Row],[2017_population]]*all_lmics181920[[#This Row],[2016_birthrate]]</f>
        <v>11420.055587999999</v>
      </c>
      <c r="G13">
        <f>MIN(VLOOKUP(all_lmics181920[[Setting]:[Setting]],birthdose[],4,FALSE)*1.05,0.9999)</f>
        <v>0.99990000000000001</v>
      </c>
      <c r="H13">
        <f>MIN(VLOOKUP(all_lmics181920[[Setting]:[Setting]],fullvax[],4,FALSE)*1.05,0.9999)</f>
        <v>0.99990000000000001</v>
      </c>
      <c r="I13">
        <f>IFERROR(VLOOKUP(all_lmics181920[[Setting]:[Setting]],prev[],3,FALSE),VLOOKUP(all_lmics181920[[who_choice_region]:[who_choice_region]],missing[],2,FALSE))</f>
        <v>9.5690136475304097E-2</v>
      </c>
      <c r="J13">
        <f>IFERROR(VLOOKUP(all_lmics181920[[Setting]:[Setting]],prev[],4,FALSE),VLOOKUP(all_lmics181920[[who_choice_region]:[who_choice_region]],missing[],3,FALSE))</f>
        <v>8.3483655386644831E-2</v>
      </c>
      <c r="K13">
        <f>IFERROR(VLOOKUP(all_lmics181920[[Setting]:[Setting]],prev[],5,FALSE),VLOOKUP(all_lmics181920[[who_choice_region]:[who_choice_region]],missing[],4,FALSE))</f>
        <v>0.10963942706260829</v>
      </c>
      <c r="L13">
        <f>IFERROR(VLOOKUP(all_lmics181920[[Setting]:[Setting]],prev[],7,FALSE),VLOOKUP(all_lmics181920[[who_choice_region]:[who_choice_region]],missing[],5,FALSE))</f>
        <v>7.116984993522547E-3</v>
      </c>
      <c r="M13">
        <f>IFERROR(VLOOKUP(all_lmics181920[[Setting]:[Setting]],prev[],6,FALSE),0)</f>
        <v>0</v>
      </c>
      <c r="N13">
        <f>MIN(IFERROR(VLOOKUP(all_lmics181920[[Setting]:[Setting]],SBA[],4,FALSE),VLOOKUP(all_lmics181920[[who_choice_region]:[who_choice_region]],missing[],6,FALSE))*1.05, 0.9999)</f>
        <v>0.95970000000000011</v>
      </c>
      <c r="O13">
        <f>MIN(IFERROR(VLOOKUP(all_lmics181920[[Setting]:[Setting]], facility[], 3,FALSE),VLOOKUP(all_lmics181920[[who_choice_region]:[who_choice_region]],missing[],7,FALSE))*1.05, 0.9999)</f>
        <v>0.54940036220858801</v>
      </c>
      <c r="P13">
        <f>IF(VLOOKUP(all_lmics181920[[Setting]:[Setting]],all_cause_mort[],4,FALSE)="",VLOOKUP(all_lmics181920[[who_choice_region]:[who_choice_region]],missing[],8,FALSE),VLOOKUP(all_lmics181920[[Setting]:[Setting]],all_cause_mort[],4,FALSE))*1.05</f>
        <v>1.80109608E-2</v>
      </c>
      <c r="Q13">
        <f>IF(VLOOKUP(all_lmics181920[[Setting]:[Setting]],all_cause_mort[],5,FALSE)="",VLOOKUP(all_lmics181920[[who_choice_region]:[who_choice_region]],missing[],9,FALSE),VLOOKUP(all_lmics181920[[Setting]:[Setting]],all_cause_mort[],5,FALSE))*1.05</f>
        <v>9.2969425500000007E-4</v>
      </c>
      <c r="R13">
        <f>IF(VLOOKUP(all_lmics181920[[Setting]:[Setting]],all_cause_mort[],6,FALSE)="",VLOOKUP(all_lmics181920[[who_choice_region]:[who_choice_region]],missing[],10,FALSE),VLOOKUP(all_lmics181920[[Setting]:[Setting]],all_cause_mort[],6,FALSE))*1.05</f>
        <v>3.7854143250000004E-4</v>
      </c>
      <c r="S13">
        <f>IF(VLOOKUP(all_lmics181920[[Setting]:[Setting]],all_cause_mort[],7,FALSE)="",VLOOKUP(all_lmics181920[[who_choice_region]:[who_choice_region]],missing[],11,FALSE),VLOOKUP(all_lmics181920[[Setting]:[Setting]],all_cause_mort[],7,FALSE))*1.05</f>
        <v>3.3357166500000001E-4</v>
      </c>
      <c r="T13">
        <f>IF(VLOOKUP(all_lmics181920[[Setting]:[Setting]],all_cause_mort[],8,FALSE)="",VLOOKUP(all_lmics181920[[who_choice_region]:[who_choice_region]],missing[],12,FALSE),VLOOKUP(all_lmics181920[[Setting]:[Setting]],all_cause_mort[],8,FALSE))*1.05</f>
        <v>7.5591616800000001E-4</v>
      </c>
      <c r="U13">
        <f>IF(VLOOKUP(all_lmics181920[[Setting]:[Setting]],all_cause_mort[],9,FALSE)="",VLOOKUP(all_lmics181920[[who_choice_region]:[who_choice_region]],missing[],13,FALSE),VLOOKUP(all_lmics181920[[Setting]:[Setting]],all_cause_mort[],9,FALSE))*1.05</f>
        <v>1.039141845E-3</v>
      </c>
      <c r="V13">
        <f>IF(VLOOKUP(all_lmics181920[[Setting]:[Setting]],all_cause_mort[],10,FALSE)="",VLOOKUP(all_lmics181920[[who_choice_region]:[who_choice_region]],missing[],14,FALSE),VLOOKUP(all_lmics181920[[Setting]:[Setting]],all_cause_mort[],10,FALSE))*1.05</f>
        <v>1.1105284050000001E-3</v>
      </c>
      <c r="W13">
        <f>IF(VLOOKUP(all_lmics181920[[Setting]:[Setting]],all_cause_mort[],11,FALSE)="",VLOOKUP(all_lmics181920[[who_choice_region]:[who_choice_region]],missing[],15,FALSE),VLOOKUP(all_lmics181920[[Setting]:[Setting]],all_cause_mort[],11,FALSE))*1.05</f>
        <v>1.349875695E-3</v>
      </c>
      <c r="X13">
        <f>IF(VLOOKUP(all_lmics181920[[Setting]:[Setting]],all_cause_mort[],12,FALSE)="",VLOOKUP(all_lmics181920[[who_choice_region]:[who_choice_region]],missing[],16,FALSE),VLOOKUP(all_lmics181920[[Setting]:[Setting]],all_cause_mort[],12,FALSE))*1.05</f>
        <v>1.86283482E-3</v>
      </c>
      <c r="Y13">
        <f>IF(VLOOKUP(all_lmics181920[[Setting]:[Setting]],all_cause_mort[],13,FALSE)="",VLOOKUP(all_lmics181920[[who_choice_region]:[who_choice_region]],missing[],17,FALSE),VLOOKUP(all_lmics181920[[Setting]:[Setting]],all_cause_mort[],13,FALSE))*1.05</f>
        <v>2.7806315250000001E-3</v>
      </c>
      <c r="Z13">
        <f>IF(VLOOKUP(all_lmics181920[[Setting]:[Setting]],all_cause_mort[],14,FALSE)="",VLOOKUP(all_lmics181920[[who_choice_region]:[who_choice_region]],missing[],18,FALSE),VLOOKUP(all_lmics181920[[Setting]:[Setting]],all_cause_mort[],14,FALSE))*1.05</f>
        <v>4.3764478800000003E-3</v>
      </c>
      <c r="AA13">
        <f>IF(VLOOKUP(all_lmics181920[[Setting]:[Setting]],all_cause_mort[],15,FALSE)="",VLOOKUP(all_lmics181920[[who_choice_region]:[who_choice_region]],missing[],19,FALSE),VLOOKUP(all_lmics181920[[Setting]:[Setting]],all_cause_mort[],15,FALSE))*1.05</f>
        <v>6.7980197249999999E-3</v>
      </c>
      <c r="AB13">
        <f>IF(VLOOKUP(all_lmics181920[[Setting]:[Setting]],all_cause_mort[],16,FALSE)="",VLOOKUP(all_lmics181920[[who_choice_region]:[who_choice_region]],missing[],20,FALSE),VLOOKUP(all_lmics181920[[Setting]:[Setting]],all_cause_mort[],16,FALSE))*1.05</f>
        <v>1.056545385E-2</v>
      </c>
      <c r="AC13">
        <f>IF(VLOOKUP(all_lmics181920[[Setting]:[Setting]],all_cause_mort[],17,FALSE)="",VLOOKUP(all_lmics181920[[who_choice_region]:[who_choice_region]],missing[],21,FALSE),VLOOKUP(all_lmics181920[[Setting]:[Setting]],all_cause_mort[],17,FALSE))*1.05</f>
        <v>1.6751038500000003E-2</v>
      </c>
      <c r="AD13">
        <f>IF(VLOOKUP(all_lmics181920[[Setting]:[Setting]],all_cause_mort[],18,FALSE)="",VLOOKUP(all_lmics181920[[who_choice_region]:[who_choice_region]],missing[],22,FALSE),VLOOKUP(all_lmics181920[[Setting]:[Setting]],all_cause_mort[],18,FALSE))*1.05</f>
        <v>2.6526053400000003E-2</v>
      </c>
      <c r="AE13">
        <f>IF(VLOOKUP(all_lmics181920[[Setting]:[Setting]],all_cause_mort[],19,FALSE)="",VLOOKUP(all_lmics181920[[who_choice_region]:[who_choice_region]],missing[],23,FALSE),VLOOKUP(all_lmics181920[[Setting]:[Setting]],all_cause_mort[],19,FALSE))*1.05</f>
        <v>4.2883336649999999E-2</v>
      </c>
      <c r="AF13">
        <f>IF(VLOOKUP(all_lmics181920[[Setting]:[Setting]],all_cause_mort[],20,FALSE)="",VLOOKUP(all_lmics181920[[who_choice_region]:[who_choice_region]],missing[],24,FALSE),VLOOKUP(all_lmics181920[[Setting]:[Setting]],all_cause_mort[],20,FALSE))*1.05</f>
        <v>7.2956014950000009E-2</v>
      </c>
      <c r="AG13">
        <f>IF(VLOOKUP(all_lmics181920[[Setting]:[Setting]],all_cause_mort[],21,FALSE)="",VLOOKUP(all_lmics181920[[who_choice_region]:[who_choice_region]],missing[],25,FALSE),VLOOKUP(all_lmics181920[[Setting]:[Setting]],all_cause_mort[],21,FALSE))*1.05</f>
        <v>0.12040772100000001</v>
      </c>
      <c r="AH13">
        <f>IF(VLOOKUP(all_lmics181920[[Setting]:[Setting]],all_cause_mort[],22,FALSE)="",VLOOKUP(all_lmics181920[[who_choice_region]:[who_choice_region]],missing[],26,FALSE),VLOOKUP(all_lmics181920[[Setting]:[Setting]],all_cause_mort[],22,FALSE))*1.05</f>
        <v>0.19201190400000001</v>
      </c>
      <c r="AI13">
        <f>IF(VLOOKUP(all_lmics181920[[Setting]:[Setting]],all_cause_mort[],23,FALSE)="",VLOOKUP(all_lmics181920[[who_choice_region]:[who_choice_region]],missing[],27,FALSE),VLOOKUP(all_lmics181920[[Setting]:[Setting]],all_cause_mort[],23,FALSE))*1.05</f>
        <v>0.29102743950000004</v>
      </c>
      <c r="AJ13">
        <f>IF(VLOOKUP(all_lmics181920[[Setting]:[Setting]],all_cause_mort[],24,FALSE)="",VLOOKUP(all_lmics181920[[who_choice_region]:[who_choice_region]],missing[],28,FALSE),VLOOKUP(all_lmics181920[[Setting]:[Setting]],all_cause_mort[],24,FALSE))*1.05</f>
        <v>0.41890832550000001</v>
      </c>
      <c r="AK13">
        <f>IF(VLOOKUP(all_lmics181920[[Setting]:[Setting]],all_cause_mort[],25,FALSE)="",VLOOKUP(all_lmics181920[[who_choice_region]:[who_choice_region]],missing[],29,FALSE),VLOOKUP(all_lmics181920[[Setting]:[Setting]],all_cause_mort[],25,FALSE))*1.05</f>
        <v>0.56679112500103279</v>
      </c>
      <c r="AL13">
        <f>VLOOKUP(all_lmics181920[[worldbank_region]:[worldbank_region]],Table13[],2,FALSE)*1.05</f>
        <v>31.40787825</v>
      </c>
      <c r="AM13">
        <f>VLOOKUP(all_lmics181920[[worldbank_region]:[worldbank_region]],Table13[],3,FALSE)*1.05</f>
        <v>31.40787825</v>
      </c>
      <c r="AN13">
        <f>VLOOKUP(all_lmics181920[[worldbank_region]:[worldbank_region]],Table13[],4,FALSE)*1.05</f>
        <v>81.523181249999993</v>
      </c>
      <c r="AO13">
        <f>VLOOKUP(all_lmics181920[[worldbank_region]:[worldbank_region]],Table13[],5,FALSE)*1.05</f>
        <v>81.523181249999993</v>
      </c>
      <c r="AP13">
        <f>VLOOKUP(all_lmics181920[[worldbank_region]:[worldbank_region]],Table13[],6,FALSE)*1.05</f>
        <v>81.523181249999993</v>
      </c>
      <c r="AQ13">
        <f>VLOOKUP(all_lmics181920[[worldbank_region]:[worldbank_region]],Table14[],2,FALSE)*1.05</f>
        <v>1.0182816000000001</v>
      </c>
      <c r="AR13">
        <f>VLOOKUP(all_lmics181920[[worldbank_region]:[worldbank_region]],Table14[],3,FALSE)*1.05</f>
        <v>1.6666566000000003</v>
      </c>
      <c r="AS13">
        <f>VLOOKUP(all_lmics181920[[worldbank_region]:[worldbank_region]],Table14[],4,FALSE)*1.05</f>
        <v>6.08702115</v>
      </c>
      <c r="AT13">
        <f>VLOOKUP(all_lmics181920[[worldbank_region]:[worldbank_region]],Table14[],5,FALSE)*1.05</f>
        <v>6.7353961499999997</v>
      </c>
      <c r="AU13">
        <f>VLOOKUP(all_lmics181920[[worldbank_region]:[worldbank_region]],Table14[],6,FALSE)*1.05</f>
        <v>7.3341607499999997</v>
      </c>
      <c r="AV13">
        <f>MIN(IFERROR(VLOOKUP(all_lmics181920[[Setting]:[Setting]],nFacSBA[],4,FALSE),VLOOKUP(all_lmics181920[[who_choice_region]:[who_choice_region]],missing[],30,FALSE))*1.05, 0.9999)</f>
        <v>7.2641181126647275E-2</v>
      </c>
      <c r="AW13">
        <f>VLOOKUP(all_lmics181920[[worldbank_region]:[worldbank_region]],hbe[],4)</f>
        <v>0.5</v>
      </c>
      <c r="AX13">
        <f>VLOOKUP(all_lmics181920[[worldbank_region]:[worldbank_region]],hbe[],7)</f>
        <v>1</v>
      </c>
      <c r="AY13">
        <f>VLOOKUP(all_lmics181920[[worldbank_region]:[worldbank_region]],hbe[],10)</f>
        <v>0.25</v>
      </c>
    </row>
    <row r="14" spans="1:51" x14ac:dyDescent="0.35">
      <c r="A14" s="12" t="s">
        <v>56</v>
      </c>
      <c r="B14" s="13" t="s">
        <v>57</v>
      </c>
      <c r="C14" s="14" t="s">
        <v>58</v>
      </c>
      <c r="D14">
        <f>VLOOKUP(all_lmics181920[[Setting]:[Setting]],populations[],9,FALSE)</f>
        <v>16005373</v>
      </c>
      <c r="E14">
        <f>VLOOKUP(all_lmics181920[[Setting]:[Setting]],birthrate[],3,FALSE)</f>
        <v>2.3296000000000001E-2</v>
      </c>
      <c r="F14">
        <f>all_lmics181920[[#This Row],[2017_population]]*all_lmics181920[[#This Row],[2016_birthrate]]</f>
        <v>372861.16940800002</v>
      </c>
      <c r="G14">
        <f>MIN(VLOOKUP(all_lmics181920[[Setting]:[Setting]],birthdose[],4,FALSE)*1.05,0.9999)</f>
        <v>0.82950000000000013</v>
      </c>
      <c r="H14">
        <f>MIN(VLOOKUP(all_lmics181920[[Setting]:[Setting]],fullvax[],4,FALSE)*1.05,0.9999)</f>
        <v>0.97650000000000015</v>
      </c>
      <c r="I14">
        <f>IFERROR(VLOOKUP(all_lmics181920[[Setting]:[Setting]],prev[],3,FALSE),VLOOKUP(all_lmics181920[[who_choice_region]:[who_choice_region]],missing[],2,FALSE))</f>
        <v>0.03</v>
      </c>
      <c r="J14">
        <f>IFERROR(VLOOKUP(all_lmics181920[[Setting]:[Setting]],prev[],4,FALSE),VLOOKUP(all_lmics181920[[who_choice_region]:[who_choice_region]],missing[],3,FALSE))</f>
        <v>2.9000000000000001E-2</v>
      </c>
      <c r="K14">
        <f>IFERROR(VLOOKUP(all_lmics181920[[Setting]:[Setting]],prev[],5,FALSE),VLOOKUP(all_lmics181920[[who_choice_region]:[who_choice_region]],missing[],4,FALSE))</f>
        <v>5.0999999999999997E-2</v>
      </c>
      <c r="L14">
        <f>IFERROR(VLOOKUP(all_lmics181920[[Setting]:[Setting]],prev[],7,FALSE),VLOOKUP(all_lmics181920[[who_choice_region]:[who_choice_region]],missing[],5,FALSE))</f>
        <v>1.0714285714285713E-2</v>
      </c>
      <c r="M14">
        <f>IFERROR(VLOOKUP(all_lmics181920[[Setting]:[Setting]],prev[],6,FALSE),0)</f>
        <v>16005373</v>
      </c>
      <c r="N14">
        <f>MIN(IFERROR(VLOOKUP(all_lmics181920[[Setting]:[Setting]],SBA[],4,FALSE),VLOOKUP(all_lmics181920[[who_choice_region]:[who_choice_region]],missing[],6,FALSE))*1.05, 0.9999)</f>
        <v>0.93450000000000011</v>
      </c>
      <c r="O14">
        <f>MIN(IFERROR(VLOOKUP(all_lmics181920[[Setting]:[Setting]], facility[], 3,FALSE),VLOOKUP(all_lmics181920[[who_choice_region]:[who_choice_region]],missing[],7,FALSE))*1.05, 0.9999)</f>
        <v>0.87360000000000015</v>
      </c>
      <c r="P14">
        <f>IF(VLOOKUP(all_lmics181920[[Setting]:[Setting]],all_cause_mort[],4,FALSE)="",VLOOKUP(all_lmics181920[[who_choice_region]:[who_choice_region]],missing[],8,FALSE),VLOOKUP(all_lmics181920[[Setting]:[Setting]],all_cause_mort[],4,FALSE))*1.05</f>
        <v>2.5535750100000004E-2</v>
      </c>
      <c r="Q14">
        <f>IF(VLOOKUP(all_lmics181920[[Setting]:[Setting]],all_cause_mort[],5,FALSE)="",VLOOKUP(all_lmics181920[[who_choice_region]:[who_choice_region]],missing[],9,FALSE),VLOOKUP(all_lmics181920[[Setting]:[Setting]],all_cause_mort[],5,FALSE))*1.05</f>
        <v>1.0251974985E-3</v>
      </c>
      <c r="R14">
        <f>IF(VLOOKUP(all_lmics181920[[Setting]:[Setting]],all_cause_mort[],6,FALSE)="",VLOOKUP(all_lmics181920[[who_choice_region]:[who_choice_region]],missing[],10,FALSE),VLOOKUP(all_lmics181920[[Setting]:[Setting]],all_cause_mort[],6,FALSE))*1.05</f>
        <v>1.7619459900000002E-3</v>
      </c>
      <c r="S14">
        <f>IF(VLOOKUP(all_lmics181920[[Setting]:[Setting]],all_cause_mort[],7,FALSE)="",VLOOKUP(all_lmics181920[[who_choice_region]:[who_choice_region]],missing[],11,FALSE),VLOOKUP(all_lmics181920[[Setting]:[Setting]],all_cause_mort[],7,FALSE))*1.05</f>
        <v>1.2580341900000002E-3</v>
      </c>
      <c r="T14">
        <f>IF(VLOOKUP(all_lmics181920[[Setting]:[Setting]],all_cause_mort[],8,FALSE)="",VLOOKUP(all_lmics181920[[who_choice_region]:[who_choice_region]],missing[],12,FALSE),VLOOKUP(all_lmics181920[[Setting]:[Setting]],all_cause_mort[],8,FALSE))*1.05</f>
        <v>1.16800467E-3</v>
      </c>
      <c r="U14">
        <f>IF(VLOOKUP(all_lmics181920[[Setting]:[Setting]],all_cause_mort[],9,FALSE)="",VLOOKUP(all_lmics181920[[who_choice_region]:[who_choice_region]],missing[],13,FALSE),VLOOKUP(all_lmics181920[[Setting]:[Setting]],all_cause_mort[],9,FALSE))*1.05</f>
        <v>1.4084076300000001E-3</v>
      </c>
      <c r="V14">
        <f>IF(VLOOKUP(all_lmics181920[[Setting]:[Setting]],all_cause_mort[],10,FALSE)="",VLOOKUP(all_lmics181920[[who_choice_region]:[who_choice_region]],missing[],14,FALSE),VLOOKUP(all_lmics181920[[Setting]:[Setting]],all_cause_mort[],10,FALSE))*1.05</f>
        <v>1.9273723350000001E-3</v>
      </c>
      <c r="W14">
        <f>IF(VLOOKUP(all_lmics181920[[Setting]:[Setting]],all_cause_mort[],11,FALSE)="",VLOOKUP(all_lmics181920[[who_choice_region]:[who_choice_region]],missing[],15,FALSE),VLOOKUP(all_lmics181920[[Setting]:[Setting]],all_cause_mort[],11,FALSE))*1.05</f>
        <v>2.5365709950000001E-3</v>
      </c>
      <c r="X14">
        <f>IF(VLOOKUP(all_lmics181920[[Setting]:[Setting]],all_cause_mort[],12,FALSE)="",VLOOKUP(all_lmics181920[[who_choice_region]:[who_choice_region]],missing[],16,FALSE),VLOOKUP(all_lmics181920[[Setting]:[Setting]],all_cause_mort[],12,FALSE))*1.05</f>
        <v>3.3491751300000002E-3</v>
      </c>
      <c r="Y14">
        <f>IF(VLOOKUP(all_lmics181920[[Setting]:[Setting]],all_cause_mort[],13,FALSE)="",VLOOKUP(all_lmics181920[[who_choice_region]:[who_choice_region]],missing[],17,FALSE),VLOOKUP(all_lmics181920[[Setting]:[Setting]],all_cause_mort[],13,FALSE))*1.05</f>
        <v>4.3125964350000006E-3</v>
      </c>
      <c r="Z14">
        <f>IF(VLOOKUP(all_lmics181920[[Setting]:[Setting]],all_cause_mort[],14,FALSE)="",VLOOKUP(all_lmics181920[[who_choice_region]:[who_choice_region]],missing[],18,FALSE),VLOOKUP(all_lmics181920[[Setting]:[Setting]],all_cause_mort[],14,FALSE))*1.05</f>
        <v>5.4373738650000001E-3</v>
      </c>
      <c r="AA14">
        <f>IF(VLOOKUP(all_lmics181920[[Setting]:[Setting]],all_cause_mort[],15,FALSE)="",VLOOKUP(all_lmics181920[[who_choice_region]:[who_choice_region]],missing[],19,FALSE),VLOOKUP(all_lmics181920[[Setting]:[Setting]],all_cause_mort[],15,FALSE))*1.05</f>
        <v>7.1040072599999997E-3</v>
      </c>
      <c r="AB14">
        <f>IF(VLOOKUP(all_lmics181920[[Setting]:[Setting]],all_cause_mort[],16,FALSE)="",VLOOKUP(all_lmics181920[[who_choice_region]:[who_choice_region]],missing[],20,FALSE),VLOOKUP(all_lmics181920[[Setting]:[Setting]],all_cause_mort[],16,FALSE))*1.05</f>
        <v>1.10372241E-2</v>
      </c>
      <c r="AC14">
        <f>IF(VLOOKUP(all_lmics181920[[Setting]:[Setting]],all_cause_mort[],17,FALSE)="",VLOOKUP(all_lmics181920[[who_choice_region]:[who_choice_region]],missing[],21,FALSE),VLOOKUP(all_lmics181920[[Setting]:[Setting]],all_cause_mort[],17,FALSE))*1.05</f>
        <v>1.9616360399999998E-2</v>
      </c>
      <c r="AD14">
        <f>IF(VLOOKUP(all_lmics181920[[Setting]:[Setting]],all_cause_mort[],18,FALSE)="",VLOOKUP(all_lmics181920[[who_choice_region]:[who_choice_region]],missing[],22,FALSE),VLOOKUP(all_lmics181920[[Setting]:[Setting]],all_cause_mort[],18,FALSE))*1.05</f>
        <v>3.139709265E-2</v>
      </c>
      <c r="AE14">
        <f>IF(VLOOKUP(all_lmics181920[[Setting]:[Setting]],all_cause_mort[],19,FALSE)="",VLOOKUP(all_lmics181920[[who_choice_region]:[who_choice_region]],missing[],23,FALSE),VLOOKUP(all_lmics181920[[Setting]:[Setting]],all_cause_mort[],19,FALSE))*1.05</f>
        <v>5.2157863800000002E-2</v>
      </c>
      <c r="AF14">
        <f>IF(VLOOKUP(all_lmics181920[[Setting]:[Setting]],all_cause_mort[],20,FALSE)="",VLOOKUP(all_lmics181920[[who_choice_region]:[who_choice_region]],missing[],24,FALSE),VLOOKUP(all_lmics181920[[Setting]:[Setting]],all_cause_mort[],20,FALSE))*1.05</f>
        <v>8.5438190250000004E-2</v>
      </c>
      <c r="AG14">
        <f>IF(VLOOKUP(all_lmics181920[[Setting]:[Setting]],all_cause_mort[],21,FALSE)="",VLOOKUP(all_lmics181920[[who_choice_region]:[who_choice_region]],missing[],25,FALSE),VLOOKUP(all_lmics181920[[Setting]:[Setting]],all_cause_mort[],21,FALSE))*1.05</f>
        <v>0.13381349100000001</v>
      </c>
      <c r="AH14">
        <f>IF(VLOOKUP(all_lmics181920[[Setting]:[Setting]],all_cause_mort[],22,FALSE)="",VLOOKUP(all_lmics181920[[who_choice_region]:[who_choice_region]],missing[],26,FALSE),VLOOKUP(all_lmics181920[[Setting]:[Setting]],all_cause_mort[],22,FALSE))*1.05</f>
        <v>0.20446330800000001</v>
      </c>
      <c r="AI14">
        <f>IF(VLOOKUP(all_lmics181920[[Setting]:[Setting]],all_cause_mort[],23,FALSE)="",VLOOKUP(all_lmics181920[[who_choice_region]:[who_choice_region]],missing[],27,FALSE),VLOOKUP(all_lmics181920[[Setting]:[Setting]],all_cause_mort[],23,FALSE))*1.05</f>
        <v>0.29132368650000001</v>
      </c>
      <c r="AJ14">
        <f>IF(VLOOKUP(all_lmics181920[[Setting]:[Setting]],all_cause_mort[],24,FALSE)="",VLOOKUP(all_lmics181920[[who_choice_region]:[who_choice_region]],missing[],28,FALSE),VLOOKUP(all_lmics181920[[Setting]:[Setting]],all_cause_mort[],24,FALSE))*1.05</f>
        <v>0.41632285800000002</v>
      </c>
      <c r="AK14">
        <f>IF(VLOOKUP(all_lmics181920[[Setting]:[Setting]],all_cause_mort[],25,FALSE)="",VLOOKUP(all_lmics181920[[who_choice_region]:[who_choice_region]],missing[],29,FALSE),VLOOKUP(all_lmics181920[[Setting]:[Setting]],all_cause_mort[],25,FALSE))*1.05</f>
        <v>0.58503298415964677</v>
      </c>
      <c r="AL14">
        <f>VLOOKUP(all_lmics181920[[worldbank_region]:[worldbank_region]],Table13[],2,FALSE)*1.05</f>
        <v>76.717604249999994</v>
      </c>
      <c r="AM14">
        <f>VLOOKUP(all_lmics181920[[worldbank_region]:[worldbank_region]],Table13[],3,FALSE)*1.05</f>
        <v>76.717604249999994</v>
      </c>
      <c r="AN14">
        <f>VLOOKUP(all_lmics181920[[worldbank_region]:[worldbank_region]],Table13[],4,FALSE)*1.05</f>
        <v>126.83290724999999</v>
      </c>
      <c r="AO14">
        <f>VLOOKUP(all_lmics181920[[worldbank_region]:[worldbank_region]],Table13[],5,FALSE)*1.05</f>
        <v>126.83290724999999</v>
      </c>
      <c r="AP14">
        <f>VLOOKUP(all_lmics181920[[worldbank_region]:[worldbank_region]],Table13[],6,FALSE)*1.05</f>
        <v>126.83290724999999</v>
      </c>
      <c r="AQ14">
        <f>VLOOKUP(all_lmics181920[[worldbank_region]:[worldbank_region]],Table14[],2,FALSE)*1.05</f>
        <v>1.4073045</v>
      </c>
      <c r="AR14">
        <f>VLOOKUP(all_lmics181920[[worldbank_region]:[worldbank_region]],Table14[],3,FALSE)*1.05</f>
        <v>2.0556795000000001</v>
      </c>
      <c r="AS14">
        <f>VLOOKUP(all_lmics181920[[worldbank_region]:[worldbank_region]],Table14[],4,FALSE)*1.05</f>
        <v>2.0709317999999999</v>
      </c>
      <c r="AT14">
        <f>VLOOKUP(all_lmics181920[[worldbank_region]:[worldbank_region]],Table14[],5,FALSE)*1.05</f>
        <v>2.7193068</v>
      </c>
      <c r="AU14">
        <f>VLOOKUP(all_lmics181920[[worldbank_region]:[worldbank_region]],Table14[],6,FALSE)*1.05</f>
        <v>3.3180714</v>
      </c>
      <c r="AV14">
        <f>MIN(IFERROR(VLOOKUP(all_lmics181920[[Setting]:[Setting]],nFacSBA[],4,FALSE),VLOOKUP(all_lmics181920[[who_choice_region]:[who_choice_region]],missing[],30,FALSE))*1.05, 0.9999)</f>
        <v>0.39447193556460342</v>
      </c>
      <c r="AW14">
        <f>VLOOKUP(all_lmics181920[[worldbank_region]:[worldbank_region]],hbe[],4)</f>
        <v>0.5</v>
      </c>
      <c r="AX14">
        <f>VLOOKUP(all_lmics181920[[worldbank_region]:[worldbank_region]],hbe[],7)</f>
        <v>1</v>
      </c>
      <c r="AY14">
        <f>VLOOKUP(all_lmics181920[[worldbank_region]:[worldbank_region]],hbe[],10)</f>
        <v>0.25</v>
      </c>
    </row>
    <row r="15" spans="1:51" x14ac:dyDescent="0.35">
      <c r="A15" s="12" t="s">
        <v>65</v>
      </c>
      <c r="B15" s="13" t="s">
        <v>57</v>
      </c>
      <c r="C15" s="14" t="s">
        <v>58</v>
      </c>
      <c r="D15">
        <f>VLOOKUP(all_lmics181920[[Setting]:[Setting]],populations[],9,FALSE)</f>
        <v>1386395000</v>
      </c>
      <c r="E15">
        <f>VLOOKUP(all_lmics181920[[Setting]:[Setting]],birthrate[],3,FALSE)</f>
        <v>1.2E-2</v>
      </c>
      <c r="F15">
        <f>all_lmics181920[[#This Row],[2017_population]]*all_lmics181920[[#This Row],[2016_birthrate]]</f>
        <v>16636740</v>
      </c>
      <c r="G15">
        <f>MIN(VLOOKUP(all_lmics181920[[Setting]:[Setting]],birthdose[],4,FALSE)*1.05,0.9999)</f>
        <v>0.99990000000000001</v>
      </c>
      <c r="H15">
        <f>MIN(VLOOKUP(all_lmics181920[[Setting]:[Setting]],fullvax[],4,FALSE)*1.05,0.9999)</f>
        <v>0.99990000000000001</v>
      </c>
      <c r="I15">
        <f>IFERROR(VLOOKUP(all_lmics181920[[Setting]:[Setting]],prev[],3,FALSE),VLOOKUP(all_lmics181920[[who_choice_region]:[who_choice_region]],missing[],2,FALSE))</f>
        <v>6.0999999999999999E-2</v>
      </c>
      <c r="J15">
        <f>IFERROR(VLOOKUP(all_lmics181920[[Setting]:[Setting]],prev[],4,FALSE),VLOOKUP(all_lmics181920[[who_choice_region]:[who_choice_region]],missing[],3,FALSE))</f>
        <v>5.5E-2</v>
      </c>
      <c r="K15">
        <f>IFERROR(VLOOKUP(all_lmics181920[[Setting]:[Setting]],prev[],5,FALSE),VLOOKUP(all_lmics181920[[who_choice_region]:[who_choice_region]],missing[],4,FALSE))</f>
        <v>6.9000000000000006E-2</v>
      </c>
      <c r="L15">
        <f>IFERROR(VLOOKUP(all_lmics181920[[Setting]:[Setting]],prev[],7,FALSE),VLOOKUP(all_lmics181920[[who_choice_region]:[who_choice_region]],missing[],5,FALSE))</f>
        <v>4.0816326530612283E-3</v>
      </c>
      <c r="M15">
        <f>IFERROR(VLOOKUP(all_lmics181920[[Setting]:[Setting]],prev[],6,FALSE),0)</f>
        <v>1386395000</v>
      </c>
      <c r="N15">
        <f>MIN(IFERROR(VLOOKUP(all_lmics181920[[Setting]:[Setting]],SBA[],4,FALSE),VLOOKUP(all_lmics181920[[who_choice_region]:[who_choice_region]],missing[],6,FALSE))*1.05, 0.9999)</f>
        <v>0.99990000000000001</v>
      </c>
      <c r="O15">
        <f>MIN(IFERROR(VLOOKUP(all_lmics181920[[Setting]:[Setting]], facility[], 3,FALSE),VLOOKUP(all_lmics181920[[who_choice_region]:[who_choice_region]],missing[],7,FALSE))*1.05, 0.9999)</f>
        <v>0.99990000000000001</v>
      </c>
      <c r="P15">
        <f>IF(VLOOKUP(all_lmics181920[[Setting]:[Setting]],all_cause_mort[],4,FALSE)="",VLOOKUP(all_lmics181920[[who_choice_region]:[who_choice_region]],missing[],8,FALSE),VLOOKUP(all_lmics181920[[Setting]:[Setting]],all_cause_mort[],4,FALSE))*1.05</f>
        <v>1.0484313525E-2</v>
      </c>
      <c r="Q15">
        <f>IF(VLOOKUP(all_lmics181920[[Setting]:[Setting]],all_cause_mort[],5,FALSE)="",VLOOKUP(all_lmics181920[[who_choice_region]:[who_choice_region]],missing[],9,FALSE),VLOOKUP(all_lmics181920[[Setting]:[Setting]],all_cause_mort[],5,FALSE))*1.05</f>
        <v>4.3459992450000002E-4</v>
      </c>
      <c r="R15">
        <f>IF(VLOOKUP(all_lmics181920[[Setting]:[Setting]],all_cause_mort[],6,FALSE)="",VLOOKUP(all_lmics181920[[who_choice_region]:[who_choice_region]],missing[],10,FALSE),VLOOKUP(all_lmics181920[[Setting]:[Setting]],all_cause_mort[],6,FALSE))*1.05</f>
        <v>3.2777590650000005E-4</v>
      </c>
      <c r="S15">
        <f>IF(VLOOKUP(all_lmics181920[[Setting]:[Setting]],all_cause_mort[],7,FALSE)="",VLOOKUP(all_lmics181920[[who_choice_region]:[who_choice_region]],missing[],11,FALSE),VLOOKUP(all_lmics181920[[Setting]:[Setting]],all_cause_mort[],7,FALSE))*1.05</f>
        <v>2.4460231950000004E-4</v>
      </c>
      <c r="T15">
        <f>IF(VLOOKUP(all_lmics181920[[Setting]:[Setting]],all_cause_mort[],8,FALSE)="",VLOOKUP(all_lmics181920[[who_choice_region]:[who_choice_region]],missing[],12,FALSE),VLOOKUP(all_lmics181920[[Setting]:[Setting]],all_cause_mort[],8,FALSE))*1.05</f>
        <v>3.5558748750000004E-4</v>
      </c>
      <c r="U15">
        <f>IF(VLOOKUP(all_lmics181920[[Setting]:[Setting]],all_cause_mort[],9,FALSE)="",VLOOKUP(all_lmics181920[[who_choice_region]:[who_choice_region]],missing[],13,FALSE),VLOOKUP(all_lmics181920[[Setting]:[Setting]],all_cause_mort[],9,FALSE))*1.05</f>
        <v>4.99449111E-4</v>
      </c>
      <c r="V15">
        <f>IF(VLOOKUP(all_lmics181920[[Setting]:[Setting]],all_cause_mort[],10,FALSE)="",VLOOKUP(all_lmics181920[[who_choice_region]:[who_choice_region]],missing[],14,FALSE),VLOOKUP(all_lmics181920[[Setting]:[Setting]],all_cause_mort[],10,FALSE))*1.05</f>
        <v>6.6839158050000002E-4</v>
      </c>
      <c r="W15">
        <f>IF(VLOOKUP(all_lmics181920[[Setting]:[Setting]],all_cause_mort[],11,FALSE)="",VLOOKUP(all_lmics181920[[who_choice_region]:[who_choice_region]],missing[],15,FALSE),VLOOKUP(all_lmics181920[[Setting]:[Setting]],all_cause_mort[],11,FALSE))*1.05</f>
        <v>8.4565014450000006E-4</v>
      </c>
      <c r="X15">
        <f>IF(VLOOKUP(all_lmics181920[[Setting]:[Setting]],all_cause_mort[],12,FALSE)="",VLOOKUP(all_lmics181920[[who_choice_region]:[who_choice_region]],missing[],16,FALSE),VLOOKUP(all_lmics181920[[Setting]:[Setting]],all_cause_mort[],12,FALSE))*1.05</f>
        <v>1.0717905450000002E-3</v>
      </c>
      <c r="Y15">
        <f>IF(VLOOKUP(all_lmics181920[[Setting]:[Setting]],all_cause_mort[],13,FALSE)="",VLOOKUP(all_lmics181920[[who_choice_region]:[who_choice_region]],missing[],17,FALSE),VLOOKUP(all_lmics181920[[Setting]:[Setting]],all_cause_mort[],13,FALSE))*1.05</f>
        <v>1.5188365499999999E-3</v>
      </c>
      <c r="Z15">
        <f>IF(VLOOKUP(all_lmics181920[[Setting]:[Setting]],all_cause_mort[],14,FALSE)="",VLOOKUP(all_lmics181920[[who_choice_region]:[who_choice_region]],missing[],18,FALSE),VLOOKUP(all_lmics181920[[Setting]:[Setting]],all_cause_mort[],14,FALSE))*1.05</f>
        <v>2.23422171E-3</v>
      </c>
      <c r="AA15">
        <f>IF(VLOOKUP(all_lmics181920[[Setting]:[Setting]],all_cause_mort[],15,FALSE)="",VLOOKUP(all_lmics181920[[who_choice_region]:[who_choice_region]],missing[],19,FALSE),VLOOKUP(all_lmics181920[[Setting]:[Setting]],all_cause_mort[],15,FALSE))*1.05</f>
        <v>3.71813946E-3</v>
      </c>
      <c r="AB15">
        <f>IF(VLOOKUP(all_lmics181920[[Setting]:[Setting]],all_cause_mort[],16,FALSE)="",VLOOKUP(all_lmics181920[[who_choice_region]:[who_choice_region]],missing[],20,FALSE),VLOOKUP(all_lmics181920[[Setting]:[Setting]],all_cause_mort[],16,FALSE))*1.05</f>
        <v>6.260975385E-3</v>
      </c>
      <c r="AC15">
        <f>IF(VLOOKUP(all_lmics181920[[Setting]:[Setting]],all_cause_mort[],17,FALSE)="",VLOOKUP(all_lmics181920[[who_choice_region]:[who_choice_region]],missing[],21,FALSE),VLOOKUP(all_lmics181920[[Setting]:[Setting]],all_cause_mort[],17,FALSE))*1.05</f>
        <v>1.1796499049999999E-2</v>
      </c>
      <c r="AD15">
        <f>IF(VLOOKUP(all_lmics181920[[Setting]:[Setting]],all_cause_mort[],18,FALSE)="",VLOOKUP(all_lmics181920[[who_choice_region]:[who_choice_region]],missing[],22,FALSE),VLOOKUP(all_lmics181920[[Setting]:[Setting]],all_cause_mort[],18,FALSE))*1.05</f>
        <v>2.1363013350000001E-2</v>
      </c>
      <c r="AE15">
        <f>IF(VLOOKUP(all_lmics181920[[Setting]:[Setting]],all_cause_mort[],19,FALSE)="",VLOOKUP(all_lmics181920[[who_choice_region]:[who_choice_region]],missing[],23,FALSE),VLOOKUP(all_lmics181920[[Setting]:[Setting]],all_cause_mort[],19,FALSE))*1.05</f>
        <v>3.9108705299999998E-2</v>
      </c>
      <c r="AF15">
        <f>IF(VLOOKUP(all_lmics181920[[Setting]:[Setting]],all_cause_mort[],20,FALSE)="",VLOOKUP(all_lmics181920[[who_choice_region]:[who_choice_region]],missing[],24,FALSE),VLOOKUP(all_lmics181920[[Setting]:[Setting]],all_cause_mort[],20,FALSE))*1.05</f>
        <v>6.5878311450000004E-2</v>
      </c>
      <c r="AG15">
        <f>IF(VLOOKUP(all_lmics181920[[Setting]:[Setting]],all_cause_mort[],21,FALSE)="",VLOOKUP(all_lmics181920[[who_choice_region]:[who_choice_region]],missing[],25,FALSE),VLOOKUP(all_lmics181920[[Setting]:[Setting]],all_cause_mort[],21,FALSE))*1.05</f>
        <v>0.10098609045000001</v>
      </c>
      <c r="AH15">
        <f>IF(VLOOKUP(all_lmics181920[[Setting]:[Setting]],all_cause_mort[],22,FALSE)="",VLOOKUP(all_lmics181920[[who_choice_region]:[who_choice_region]],missing[],26,FALSE),VLOOKUP(all_lmics181920[[Setting]:[Setting]],all_cause_mort[],22,FALSE))*1.05</f>
        <v>0.15689818200000002</v>
      </c>
      <c r="AI15">
        <f>IF(VLOOKUP(all_lmics181920[[Setting]:[Setting]],all_cause_mort[],23,FALSE)="",VLOOKUP(all_lmics181920[[who_choice_region]:[who_choice_region]],missing[],27,FALSE),VLOOKUP(all_lmics181920[[Setting]:[Setting]],all_cause_mort[],23,FALSE))*1.05</f>
        <v>0.22342514250000001</v>
      </c>
      <c r="AJ15">
        <f>IF(VLOOKUP(all_lmics181920[[Setting]:[Setting]],all_cause_mort[],24,FALSE)="",VLOOKUP(all_lmics181920[[who_choice_region]:[who_choice_region]],missing[],28,FALSE),VLOOKUP(all_lmics181920[[Setting]:[Setting]],all_cause_mort[],24,FALSE))*1.05</f>
        <v>0.30185047200000004</v>
      </c>
      <c r="AK15">
        <f>IF(VLOOKUP(all_lmics181920[[Setting]:[Setting]],all_cause_mort[],25,FALSE)="",VLOOKUP(all_lmics181920[[who_choice_region]:[who_choice_region]],missing[],29,FALSE),VLOOKUP(all_lmics181920[[Setting]:[Setting]],all_cause_mort[],25,FALSE))*1.05</f>
        <v>0.36666858265551466</v>
      </c>
      <c r="AL15">
        <f>VLOOKUP(all_lmics181920[[worldbank_region]:[worldbank_region]],Table13[],2,FALSE)*1.05</f>
        <v>76.717604249999994</v>
      </c>
      <c r="AM15">
        <f>VLOOKUP(all_lmics181920[[worldbank_region]:[worldbank_region]],Table13[],3,FALSE)*1.05</f>
        <v>76.717604249999994</v>
      </c>
      <c r="AN15">
        <f>VLOOKUP(all_lmics181920[[worldbank_region]:[worldbank_region]],Table13[],4,FALSE)*1.05</f>
        <v>126.83290724999999</v>
      </c>
      <c r="AO15">
        <f>VLOOKUP(all_lmics181920[[worldbank_region]:[worldbank_region]],Table13[],5,FALSE)*1.05</f>
        <v>126.83290724999999</v>
      </c>
      <c r="AP15">
        <f>VLOOKUP(all_lmics181920[[worldbank_region]:[worldbank_region]],Table13[],6,FALSE)*1.05</f>
        <v>126.83290724999999</v>
      </c>
      <c r="AQ15">
        <f>VLOOKUP(all_lmics181920[[worldbank_region]:[worldbank_region]],Table14[],2,FALSE)*1.05</f>
        <v>1.4073045</v>
      </c>
      <c r="AR15">
        <f>VLOOKUP(all_lmics181920[[worldbank_region]:[worldbank_region]],Table14[],3,FALSE)*1.05</f>
        <v>2.0556795000000001</v>
      </c>
      <c r="AS15">
        <f>VLOOKUP(all_lmics181920[[worldbank_region]:[worldbank_region]],Table14[],4,FALSE)*1.05</f>
        <v>2.0709317999999999</v>
      </c>
      <c r="AT15">
        <f>VLOOKUP(all_lmics181920[[worldbank_region]:[worldbank_region]],Table14[],5,FALSE)*1.05</f>
        <v>2.7193068</v>
      </c>
      <c r="AU15">
        <f>VLOOKUP(all_lmics181920[[worldbank_region]:[worldbank_region]],Table14[],6,FALSE)*1.05</f>
        <v>3.3180714</v>
      </c>
      <c r="AV15">
        <f>MIN(IFERROR(VLOOKUP(all_lmics181920[[Setting]:[Setting]],nFacSBA[],4,FALSE),VLOOKUP(all_lmics181920[[who_choice_region]:[who_choice_region]],missing[],30,FALSE))*1.05, 0.9999)</f>
        <v>0.16784953724039575</v>
      </c>
      <c r="AW15">
        <f>VLOOKUP(all_lmics181920[[worldbank_region]:[worldbank_region]],hbe[],4)</f>
        <v>0.5</v>
      </c>
      <c r="AX15">
        <f>VLOOKUP(all_lmics181920[[worldbank_region]:[worldbank_region]],hbe[],7)</f>
        <v>1</v>
      </c>
      <c r="AY15">
        <f>VLOOKUP(all_lmics181920[[worldbank_region]:[worldbank_region]],hbe[],10)</f>
        <v>0.25</v>
      </c>
    </row>
    <row r="16" spans="1:51" x14ac:dyDescent="0.35">
      <c r="A16" s="8" t="s">
        <v>66</v>
      </c>
      <c r="B16" s="10" t="s">
        <v>22</v>
      </c>
      <c r="C16" s="11" t="s">
        <v>383</v>
      </c>
      <c r="D16">
        <f>VLOOKUP(all_lmics181920[[Setting]:[Setting]],populations[],9,FALSE)</f>
        <v>49065615</v>
      </c>
      <c r="E16">
        <f>VLOOKUP(all_lmics181920[[Setting]:[Setting]],birthrate[],3,FALSE)</f>
        <v>1.5198E-2</v>
      </c>
      <c r="F16">
        <f>all_lmics181920[[#This Row],[2017_population]]*all_lmics181920[[#This Row],[2016_birthrate]]</f>
        <v>745699.21676999994</v>
      </c>
      <c r="G16">
        <f>MIN(VLOOKUP(all_lmics181920[[Setting]:[Setting]],birthdose[],4,FALSE)*1.05,0.9999)</f>
        <v>0.85050000000000014</v>
      </c>
      <c r="H16">
        <f>MIN(VLOOKUP(all_lmics181920[[Setting]:[Setting]],fullvax[],4,FALSE)*1.05,0.9999)</f>
        <v>0.96600000000000008</v>
      </c>
      <c r="I16">
        <f>IFERROR(VLOOKUP(all_lmics181920[[Setting]:[Setting]],prev[],3,FALSE),VLOOKUP(all_lmics181920[[who_choice_region]:[who_choice_region]],missing[],2,FALSE))</f>
        <v>3.0000000000000001E-3</v>
      </c>
      <c r="J16">
        <f>IFERROR(VLOOKUP(all_lmics181920[[Setting]:[Setting]],prev[],4,FALSE),VLOOKUP(all_lmics181920[[who_choice_region]:[who_choice_region]],missing[],3,FALSE))</f>
        <v>1E-3</v>
      </c>
      <c r="K16">
        <f>IFERROR(VLOOKUP(all_lmics181920[[Setting]:[Setting]],prev[],5,FALSE),VLOOKUP(all_lmics181920[[who_choice_region]:[who_choice_region]],missing[],4,FALSE))</f>
        <v>2.1999999999999999E-2</v>
      </c>
      <c r="L16">
        <f>IFERROR(VLOOKUP(all_lmics181920[[Setting]:[Setting]],prev[],7,FALSE),VLOOKUP(all_lmics181920[[who_choice_region]:[who_choice_region]],missing[],5,FALSE))</f>
        <v>9.6938775510204082E-3</v>
      </c>
      <c r="M16">
        <f>IFERROR(VLOOKUP(all_lmics181920[[Setting]:[Setting]],prev[],6,FALSE),0)</f>
        <v>49065615</v>
      </c>
      <c r="N16">
        <f>MIN(IFERROR(VLOOKUP(all_lmics181920[[Setting]:[Setting]],SBA[],4,FALSE),VLOOKUP(all_lmics181920[[who_choice_region]:[who_choice_region]],missing[],6,FALSE))*1.05, 0.9999)</f>
        <v>0.99990000000000001</v>
      </c>
      <c r="O16">
        <f>MIN(IFERROR(VLOOKUP(all_lmics181920[[Setting]:[Setting]], facility[], 3,FALSE),VLOOKUP(all_lmics181920[[who_choice_region]:[who_choice_region]],missing[],7,FALSE))*1.05, 0.9999)</f>
        <v>0.99990000000000001</v>
      </c>
      <c r="P16">
        <f>IF(VLOOKUP(all_lmics181920[[Setting]:[Setting]],all_cause_mort[],4,FALSE)="",VLOOKUP(all_lmics181920[[who_choice_region]:[who_choice_region]],missing[],8,FALSE),VLOOKUP(all_lmics181920[[Setting]:[Setting]],all_cause_mort[],4,FALSE))*1.05</f>
        <v>1.3424767650000001E-2</v>
      </c>
      <c r="Q16">
        <f>IF(VLOOKUP(all_lmics181920[[Setting]:[Setting]],all_cause_mort[],5,FALSE)="",VLOOKUP(all_lmics181920[[who_choice_region]:[who_choice_region]],missing[],9,FALSE),VLOOKUP(all_lmics181920[[Setting]:[Setting]],all_cause_mort[],5,FALSE))*1.05</f>
        <v>5.6632902900000007E-4</v>
      </c>
      <c r="R16">
        <f>IF(VLOOKUP(all_lmics181920[[Setting]:[Setting]],all_cause_mort[],6,FALSE)="",VLOOKUP(all_lmics181920[[who_choice_region]:[who_choice_region]],missing[],10,FALSE),VLOOKUP(all_lmics181920[[Setting]:[Setting]],all_cause_mort[],6,FALSE))*1.05</f>
        <v>4.2093670500000001E-4</v>
      </c>
      <c r="S16">
        <f>IF(VLOOKUP(all_lmics181920[[Setting]:[Setting]],all_cause_mort[],7,FALSE)="",VLOOKUP(all_lmics181920[[who_choice_region]:[who_choice_region]],missing[],11,FALSE),VLOOKUP(all_lmics181920[[Setting]:[Setting]],all_cause_mort[],7,FALSE))*1.05</f>
        <v>3.8726133599999998E-4</v>
      </c>
      <c r="T16">
        <f>IF(VLOOKUP(all_lmics181920[[Setting]:[Setting]],all_cause_mort[],8,FALSE)="",VLOOKUP(all_lmics181920[[who_choice_region]:[who_choice_region]],missing[],12,FALSE),VLOOKUP(all_lmics181920[[Setting]:[Setting]],all_cause_mort[],8,FALSE))*1.05</f>
        <v>9.8426714400000012E-4</v>
      </c>
      <c r="U16">
        <f>IF(VLOOKUP(all_lmics181920[[Setting]:[Setting]],all_cause_mort[],9,FALSE)="",VLOOKUP(all_lmics181920[[who_choice_region]:[who_choice_region]],missing[],13,FALSE),VLOOKUP(all_lmics181920[[Setting]:[Setting]],all_cause_mort[],9,FALSE))*1.05</f>
        <v>1.897453845E-3</v>
      </c>
      <c r="V16">
        <f>IF(VLOOKUP(all_lmics181920[[Setting]:[Setting]],all_cause_mort[],10,FALSE)="",VLOOKUP(all_lmics181920[[who_choice_region]:[who_choice_region]],missing[],14,FALSE),VLOOKUP(all_lmics181920[[Setting]:[Setting]],all_cause_mort[],10,FALSE))*1.05</f>
        <v>1.9666115699999999E-3</v>
      </c>
      <c r="W16">
        <f>IF(VLOOKUP(all_lmics181920[[Setting]:[Setting]],all_cause_mort[],11,FALSE)="",VLOOKUP(all_lmics181920[[who_choice_region]:[who_choice_region]],missing[],15,FALSE),VLOOKUP(all_lmics181920[[Setting]:[Setting]],all_cause_mort[],11,FALSE))*1.05</f>
        <v>1.9256083350000001E-3</v>
      </c>
      <c r="X16">
        <f>IF(VLOOKUP(all_lmics181920[[Setting]:[Setting]],all_cause_mort[],12,FALSE)="",VLOOKUP(all_lmics181920[[who_choice_region]:[who_choice_region]],missing[],16,FALSE),VLOOKUP(all_lmics181920[[Setting]:[Setting]],all_cause_mort[],12,FALSE))*1.05</f>
        <v>2.0982255000000002E-3</v>
      </c>
      <c r="Y16">
        <f>IF(VLOOKUP(all_lmics181920[[Setting]:[Setting]],all_cause_mort[],13,FALSE)="",VLOOKUP(all_lmics181920[[who_choice_region]:[who_choice_region]],missing[],17,FALSE),VLOOKUP(all_lmics181920[[Setting]:[Setting]],all_cause_mort[],13,FALSE))*1.05</f>
        <v>2.3784737549999999E-3</v>
      </c>
      <c r="Z16">
        <f>IF(VLOOKUP(all_lmics181920[[Setting]:[Setting]],all_cause_mort[],14,FALSE)="",VLOOKUP(all_lmics181920[[who_choice_region]:[who_choice_region]],missing[],18,FALSE),VLOOKUP(all_lmics181920[[Setting]:[Setting]],all_cause_mort[],14,FALSE))*1.05</f>
        <v>3.0088446150000002E-3</v>
      </c>
      <c r="AA16">
        <f>IF(VLOOKUP(all_lmics181920[[Setting]:[Setting]],all_cause_mort[],15,FALSE)="",VLOOKUP(all_lmics181920[[who_choice_region]:[who_choice_region]],missing[],19,FALSE),VLOOKUP(all_lmics181920[[Setting]:[Setting]],all_cause_mort[],15,FALSE))*1.05</f>
        <v>4.6423527150000008E-3</v>
      </c>
      <c r="AB16">
        <f>IF(VLOOKUP(all_lmics181920[[Setting]:[Setting]],all_cause_mort[],16,FALSE)="",VLOOKUP(all_lmics181920[[who_choice_region]:[who_choice_region]],missing[],20,FALSE),VLOOKUP(all_lmics181920[[Setting]:[Setting]],all_cause_mort[],16,FALSE))*1.05</f>
        <v>6.9652889250000002E-3</v>
      </c>
      <c r="AC16">
        <f>IF(VLOOKUP(all_lmics181920[[Setting]:[Setting]],all_cause_mort[],17,FALSE)="",VLOOKUP(all_lmics181920[[who_choice_region]:[who_choice_region]],missing[],21,FALSE),VLOOKUP(all_lmics181920[[Setting]:[Setting]],all_cause_mort[],17,FALSE))*1.05</f>
        <v>1.085270025E-2</v>
      </c>
      <c r="AD16">
        <f>IF(VLOOKUP(all_lmics181920[[Setting]:[Setting]],all_cause_mort[],18,FALSE)="",VLOOKUP(all_lmics181920[[who_choice_region]:[who_choice_region]],missing[],22,FALSE),VLOOKUP(all_lmics181920[[Setting]:[Setting]],all_cause_mort[],18,FALSE))*1.05</f>
        <v>1.69991556E-2</v>
      </c>
      <c r="AE16">
        <f>IF(VLOOKUP(all_lmics181920[[Setting]:[Setting]],all_cause_mort[],19,FALSE)="",VLOOKUP(all_lmics181920[[who_choice_region]:[who_choice_region]],missing[],23,FALSE),VLOOKUP(all_lmics181920[[Setting]:[Setting]],all_cause_mort[],19,FALSE))*1.05</f>
        <v>2.6528356050000004E-2</v>
      </c>
      <c r="AF16">
        <f>IF(VLOOKUP(all_lmics181920[[Setting]:[Setting]],all_cause_mort[],20,FALSE)="",VLOOKUP(all_lmics181920[[who_choice_region]:[who_choice_region]],missing[],24,FALSE),VLOOKUP(all_lmics181920[[Setting]:[Setting]],all_cause_mort[],20,FALSE))*1.05</f>
        <v>4.1123854800000005E-2</v>
      </c>
      <c r="AG16">
        <f>IF(VLOOKUP(all_lmics181920[[Setting]:[Setting]],all_cause_mort[],21,FALSE)="",VLOOKUP(all_lmics181920[[who_choice_region]:[who_choice_region]],missing[],25,FALSE),VLOOKUP(all_lmics181920[[Setting]:[Setting]],all_cause_mort[],21,FALSE))*1.05</f>
        <v>6.8049267300000008E-2</v>
      </c>
      <c r="AH16">
        <f>IF(VLOOKUP(all_lmics181920[[Setting]:[Setting]],all_cause_mort[],22,FALSE)="",VLOOKUP(all_lmics181920[[who_choice_region]:[who_choice_region]],missing[],26,FALSE),VLOOKUP(all_lmics181920[[Setting]:[Setting]],all_cause_mort[],22,FALSE))*1.05</f>
        <v>0.11868376800000001</v>
      </c>
      <c r="AI16">
        <f>IF(VLOOKUP(all_lmics181920[[Setting]:[Setting]],all_cause_mort[],23,FALSE)="",VLOOKUP(all_lmics181920[[who_choice_region]:[who_choice_region]],missing[],27,FALSE),VLOOKUP(all_lmics181920[[Setting]:[Setting]],all_cause_mort[],23,FALSE))*1.05</f>
        <v>0.14988510599999999</v>
      </c>
      <c r="AJ16">
        <f>IF(VLOOKUP(all_lmics181920[[Setting]:[Setting]],all_cause_mort[],24,FALSE)="",VLOOKUP(all_lmics181920[[who_choice_region]:[who_choice_region]],missing[],28,FALSE),VLOOKUP(all_lmics181920[[Setting]:[Setting]],all_cause_mort[],24,FALSE))*1.05</f>
        <v>0.28588472850000002</v>
      </c>
      <c r="AK16">
        <f>IF(VLOOKUP(all_lmics181920[[Setting]:[Setting]],all_cause_mort[],25,FALSE)="",VLOOKUP(all_lmics181920[[who_choice_region]:[who_choice_region]],missing[],29,FALSE),VLOOKUP(all_lmics181920[[Setting]:[Setting]],all_cause_mort[],25,FALSE))*1.05</f>
        <v>0.46263020782274211</v>
      </c>
      <c r="AL16">
        <f>VLOOKUP(all_lmics181920[[worldbank_region]:[worldbank_region]],Table13[],2,FALSE)*1.05</f>
        <v>91.202986349999989</v>
      </c>
      <c r="AM16">
        <f>VLOOKUP(all_lmics181920[[worldbank_region]:[worldbank_region]],Table13[],3,FALSE)*1.05</f>
        <v>91.202986349999989</v>
      </c>
      <c r="AN16">
        <f>VLOOKUP(all_lmics181920[[worldbank_region]:[worldbank_region]],Table13[],4,FALSE)*1.05</f>
        <v>141.31828934999999</v>
      </c>
      <c r="AO16">
        <f>VLOOKUP(all_lmics181920[[worldbank_region]:[worldbank_region]],Table13[],5,FALSE)*1.05</f>
        <v>141.31828934999999</v>
      </c>
      <c r="AP16">
        <f>VLOOKUP(all_lmics181920[[worldbank_region]:[worldbank_region]],Table13[],6,FALSE)*1.05</f>
        <v>141.31828934999999</v>
      </c>
      <c r="AQ16">
        <f>VLOOKUP(all_lmics181920[[worldbank_region]:[worldbank_region]],Table14[],2,FALSE)*1.05</f>
        <v>1.5903741</v>
      </c>
      <c r="AR16">
        <f>VLOOKUP(all_lmics181920[[worldbank_region]:[worldbank_region]],Table14[],3,FALSE)*1.05</f>
        <v>2.2387491000000002</v>
      </c>
      <c r="AS16">
        <f>VLOOKUP(all_lmics181920[[worldbank_region]:[worldbank_region]],Table14[],4,FALSE)*1.05</f>
        <v>1.6132578000000002</v>
      </c>
      <c r="AT16">
        <f>VLOOKUP(all_lmics181920[[worldbank_region]:[worldbank_region]],Table14[],5,FALSE)*1.05</f>
        <v>2.2616328000000001</v>
      </c>
      <c r="AU16">
        <f>VLOOKUP(all_lmics181920[[worldbank_region]:[worldbank_region]],Table14[],6,FALSE)*1.05</f>
        <v>2.8603974000000001</v>
      </c>
      <c r="AV16">
        <f>MIN(IFERROR(VLOOKUP(all_lmics181920[[Setting]:[Setting]],nFacSBA[],4,FALSE),VLOOKUP(all_lmics181920[[who_choice_region]:[who_choice_region]],missing[],30,FALSE))*1.05, 0.9999)</f>
        <v>0.21428754022970595</v>
      </c>
      <c r="AW16">
        <f>VLOOKUP(all_lmics181920[[worldbank_region]:[worldbank_region]],hbe[],4)</f>
        <v>0.5</v>
      </c>
      <c r="AX16">
        <f>VLOOKUP(all_lmics181920[[worldbank_region]:[worldbank_region]],hbe[],7)</f>
        <v>1</v>
      </c>
      <c r="AY16">
        <f>VLOOKUP(all_lmics181920[[worldbank_region]:[worldbank_region]],hbe[],10)</f>
        <v>0.25</v>
      </c>
    </row>
    <row r="17" spans="1:51" x14ac:dyDescent="0.35">
      <c r="A17" s="12" t="s">
        <v>69</v>
      </c>
      <c r="B17" s="13" t="s">
        <v>57</v>
      </c>
      <c r="C17" s="14" t="s">
        <v>58</v>
      </c>
      <c r="D17">
        <f>VLOOKUP(all_lmics181920[[Setting]:[Setting]],populations[],9,FALSE)</f>
        <v>17424</v>
      </c>
      <c r="E17">
        <f>VLOOKUP(all_lmics181920[[Setting]:[Setting]],birthrate[],3,FALSE)</f>
        <v>1.4E-2</v>
      </c>
      <c r="F17">
        <f>all_lmics181920[[#This Row],[2017_population]]*all_lmics181920[[#This Row],[2016_birthrate]]</f>
        <v>243.93600000000001</v>
      </c>
      <c r="G17">
        <f>MIN(VLOOKUP(all_lmics181920[[Setting]:[Setting]],birthdose[],4,FALSE)*1.05,0.9999)</f>
        <v>0.99990000000000001</v>
      </c>
      <c r="H17">
        <f>MIN(VLOOKUP(all_lmics181920[[Setting]:[Setting]],fullvax[],4,FALSE)*1.05,0.9999)</f>
        <v>0.99990000000000001</v>
      </c>
      <c r="I17">
        <f>IFERROR(VLOOKUP(all_lmics181920[[Setting]:[Setting]],prev[],3,FALSE),VLOOKUP(all_lmics181920[[who_choice_region]:[who_choice_region]],missing[],2,FALSE))</f>
        <v>6.2014367393849211E-2</v>
      </c>
      <c r="J17">
        <f>IFERROR(VLOOKUP(all_lmics181920[[Setting]:[Setting]],prev[],4,FALSE),VLOOKUP(all_lmics181920[[who_choice_region]:[who_choice_region]],missing[],3,FALSE))</f>
        <v>5.5830551219148553E-2</v>
      </c>
      <c r="K17">
        <f>IFERROR(VLOOKUP(all_lmics181920[[Setting]:[Setting]],prev[],5,FALSE),VLOOKUP(all_lmics181920[[who_choice_region]:[who_choice_region]],missing[],4,FALSE))</f>
        <v>7.0881613218274672E-2</v>
      </c>
      <c r="L17">
        <f>IFERROR(VLOOKUP(all_lmics181920[[Setting]:[Setting]],prev[],7,FALSE),VLOOKUP(all_lmics181920[[who_choice_region]:[who_choice_region]],missing[],5,FALSE))</f>
        <v>4.5241050124619608E-3</v>
      </c>
      <c r="M17">
        <f>IFERROR(VLOOKUP(all_lmics181920[[Setting]:[Setting]],prev[],6,FALSE),0)</f>
        <v>0</v>
      </c>
      <c r="N17">
        <f>MIN(IFERROR(VLOOKUP(all_lmics181920[[Setting]:[Setting]],SBA[],4,FALSE),VLOOKUP(all_lmics181920[[who_choice_region]:[who_choice_region]],missing[],6,FALSE))*1.05, 0.9999)</f>
        <v>0.99990000000000001</v>
      </c>
      <c r="O17">
        <f>MIN(IFERROR(VLOOKUP(all_lmics181920[[Setting]:[Setting]], facility[], 3,FALSE),VLOOKUP(all_lmics181920[[who_choice_region]:[who_choice_region]],missing[],7,FALSE))*1.05, 0.9999)</f>
        <v>0.99990000000000001</v>
      </c>
      <c r="P17">
        <f>IF(VLOOKUP(all_lmics181920[[Setting]:[Setting]],all_cause_mort[],4,FALSE)="",VLOOKUP(all_lmics181920[[who_choice_region]:[who_choice_region]],missing[],8,FALSE),VLOOKUP(all_lmics181920[[Setting]:[Setting]],all_cause_mort[],4,FALSE))*1.05</f>
        <v>1.2780109291645556E-2</v>
      </c>
      <c r="Q17">
        <f>IF(VLOOKUP(all_lmics181920[[Setting]:[Setting]],all_cause_mort[],5,FALSE)="",VLOOKUP(all_lmics181920[[who_choice_region]:[who_choice_region]],missing[],9,FALSE),VLOOKUP(all_lmics181920[[Setting]:[Setting]],all_cause_mort[],5,FALSE))*1.05</f>
        <v>7.1786871319156546E-4</v>
      </c>
      <c r="R17">
        <f>IF(VLOOKUP(all_lmics181920[[Setting]:[Setting]],all_cause_mort[],6,FALSE)="",VLOOKUP(all_lmics181920[[who_choice_region]:[who_choice_region]],missing[],10,FALSE),VLOOKUP(all_lmics181920[[Setting]:[Setting]],all_cause_mort[],6,FALSE))*1.05</f>
        <v>4.0767642011616217E-4</v>
      </c>
      <c r="S17">
        <f>IF(VLOOKUP(all_lmics181920[[Setting]:[Setting]],all_cause_mort[],7,FALSE)="",VLOOKUP(all_lmics181920[[who_choice_region]:[who_choice_region]],missing[],11,FALSE),VLOOKUP(all_lmics181920[[Setting]:[Setting]],all_cause_mort[],7,FALSE))*1.05</f>
        <v>3.2205796455142674E-4</v>
      </c>
      <c r="T17">
        <f>IF(VLOOKUP(all_lmics181920[[Setting]:[Setting]],all_cause_mort[],8,FALSE)="",VLOOKUP(all_lmics181920[[who_choice_region]:[who_choice_region]],missing[],12,FALSE),VLOOKUP(all_lmics181920[[Setting]:[Setting]],all_cause_mort[],8,FALSE))*1.05</f>
        <v>5.1717609361841266E-4</v>
      </c>
      <c r="U17">
        <f>IF(VLOOKUP(all_lmics181920[[Setting]:[Setting]],all_cause_mort[],9,FALSE)="",VLOOKUP(all_lmics181920[[who_choice_region]:[who_choice_region]],missing[],13,FALSE),VLOOKUP(all_lmics181920[[Setting]:[Setting]],all_cause_mort[],9,FALSE))*1.05</f>
        <v>7.2047008642704062E-4</v>
      </c>
      <c r="V17">
        <f>IF(VLOOKUP(all_lmics181920[[Setting]:[Setting]],all_cause_mort[],10,FALSE)="",VLOOKUP(all_lmics181920[[who_choice_region]:[who_choice_region]],missing[],14,FALSE),VLOOKUP(all_lmics181920[[Setting]:[Setting]],all_cause_mort[],10,FALSE))*1.05</f>
        <v>8.9773041914274104E-4</v>
      </c>
      <c r="W17">
        <f>IF(VLOOKUP(all_lmics181920[[Setting]:[Setting]],all_cause_mort[],11,FALSE)="",VLOOKUP(all_lmics181920[[who_choice_region]:[who_choice_region]],missing[],15,FALSE),VLOOKUP(all_lmics181920[[Setting]:[Setting]],all_cause_mort[],11,FALSE))*1.05</f>
        <v>1.117932677212313E-3</v>
      </c>
      <c r="X17">
        <f>IF(VLOOKUP(all_lmics181920[[Setting]:[Setting]],all_cause_mort[],12,FALSE)="",VLOOKUP(all_lmics181920[[who_choice_region]:[who_choice_region]],missing[],16,FALSE),VLOOKUP(all_lmics181920[[Setting]:[Setting]],all_cause_mort[],12,FALSE))*1.05</f>
        <v>1.4391494293269772E-3</v>
      </c>
      <c r="Y17">
        <f>IF(VLOOKUP(all_lmics181920[[Setting]:[Setting]],all_cause_mort[],13,FALSE)="",VLOOKUP(all_lmics181920[[who_choice_region]:[who_choice_region]],missing[],17,FALSE),VLOOKUP(all_lmics181920[[Setting]:[Setting]],all_cause_mort[],13,FALSE))*1.05</f>
        <v>2.030563961456885E-3</v>
      </c>
      <c r="Z17">
        <f>IF(VLOOKUP(all_lmics181920[[Setting]:[Setting]],all_cause_mort[],14,FALSE)="",VLOOKUP(all_lmics181920[[who_choice_region]:[who_choice_region]],missing[],18,FALSE),VLOOKUP(all_lmics181920[[Setting]:[Setting]],all_cause_mort[],14,FALSE))*1.05</f>
        <v>2.98716710615395E-3</v>
      </c>
      <c r="AA17">
        <f>IF(VLOOKUP(all_lmics181920[[Setting]:[Setting]],all_cause_mort[],15,FALSE)="",VLOOKUP(all_lmics181920[[who_choice_region]:[who_choice_region]],missing[],19,FALSE),VLOOKUP(all_lmics181920[[Setting]:[Setting]],all_cause_mort[],15,FALSE))*1.05</f>
        <v>4.7667121398962051E-3</v>
      </c>
      <c r="AB17">
        <f>IF(VLOOKUP(all_lmics181920[[Setting]:[Setting]],all_cause_mort[],16,FALSE)="",VLOOKUP(all_lmics181920[[who_choice_region]:[who_choice_region]],missing[],20,FALSE),VLOOKUP(all_lmics181920[[Setting]:[Setting]],all_cause_mort[],16,FALSE))*1.05</f>
        <v>7.6571256051219394E-3</v>
      </c>
      <c r="AC17">
        <f>IF(VLOOKUP(all_lmics181920[[Setting]:[Setting]],all_cause_mort[],17,FALSE)="",VLOOKUP(all_lmics181920[[who_choice_region]:[who_choice_region]],missing[],21,FALSE),VLOOKUP(all_lmics181920[[Setting]:[Setting]],all_cause_mort[],17,FALSE))*1.05</f>
        <v>1.3051511733110725E-2</v>
      </c>
      <c r="AD17">
        <f>IF(VLOOKUP(all_lmics181920[[Setting]:[Setting]],all_cause_mort[],18,FALSE)="",VLOOKUP(all_lmics181920[[who_choice_region]:[who_choice_region]],missing[],22,FALSE),VLOOKUP(all_lmics181920[[Setting]:[Setting]],all_cause_mort[],18,FALSE))*1.05</f>
        <v>2.2286484744731251E-2</v>
      </c>
      <c r="AE17">
        <f>IF(VLOOKUP(all_lmics181920[[Setting]:[Setting]],all_cause_mort[],19,FALSE)="",VLOOKUP(all_lmics181920[[who_choice_region]:[who_choice_region]],missing[],23,FALSE),VLOOKUP(all_lmics181920[[Setting]:[Setting]],all_cause_mort[],19,FALSE))*1.05</f>
        <v>3.8955943544534181E-2</v>
      </c>
      <c r="AF17">
        <f>IF(VLOOKUP(all_lmics181920[[Setting]:[Setting]],all_cause_mort[],20,FALSE)="",VLOOKUP(all_lmics181920[[who_choice_region]:[who_choice_region]],missing[],24,FALSE),VLOOKUP(all_lmics181920[[Setting]:[Setting]],all_cause_mort[],20,FALSE))*1.05</f>
        <v>6.4581156102482717E-2</v>
      </c>
      <c r="AG17">
        <f>IF(VLOOKUP(all_lmics181920[[Setting]:[Setting]],all_cause_mort[],21,FALSE)="",VLOOKUP(all_lmics181920[[who_choice_region]:[who_choice_region]],missing[],25,FALSE),VLOOKUP(all_lmics181920[[Setting]:[Setting]],all_cause_mort[],21,FALSE))*1.05</f>
        <v>9.9613858280717379E-2</v>
      </c>
      <c r="AH17">
        <f>IF(VLOOKUP(all_lmics181920[[Setting]:[Setting]],all_cause_mort[],22,FALSE)="",VLOOKUP(all_lmics181920[[who_choice_region]:[who_choice_region]],missing[],26,FALSE),VLOOKUP(all_lmics181920[[Setting]:[Setting]],all_cause_mort[],22,FALSE))*1.05</f>
        <v>0.15428315676659168</v>
      </c>
      <c r="AI17">
        <f>IF(VLOOKUP(all_lmics181920[[Setting]:[Setting]],all_cause_mort[],23,FALSE)="",VLOOKUP(all_lmics181920[[who_choice_region]:[who_choice_region]],missing[],27,FALSE),VLOOKUP(all_lmics181920[[Setting]:[Setting]],all_cause_mort[],23,FALSE))*1.05</f>
        <v>0.22106963264277682</v>
      </c>
      <c r="AJ17">
        <f>IF(VLOOKUP(all_lmics181920[[Setting]:[Setting]],all_cause_mort[],24,FALSE)="",VLOOKUP(all_lmics181920[[who_choice_region]:[who_choice_region]],missing[],28,FALSE),VLOOKUP(all_lmics181920[[Setting]:[Setting]],all_cause_mort[],24,FALSE))*1.05</f>
        <v>0.30198726062109904</v>
      </c>
      <c r="AK17">
        <f>IF(VLOOKUP(all_lmics181920[[Setting]:[Setting]],all_cause_mort[],25,FALSE)="",VLOOKUP(all_lmics181920[[who_choice_region]:[who_choice_region]],missing[],29,FALSE),VLOOKUP(all_lmics181920[[Setting]:[Setting]],all_cause_mort[],25,FALSE))*1.05</f>
        <v>0.38020281187174959</v>
      </c>
      <c r="AL17">
        <f>VLOOKUP(all_lmics181920[[worldbank_region]:[worldbank_region]],Table13[],2,FALSE)*1.05</f>
        <v>76.717604249999994</v>
      </c>
      <c r="AM17">
        <f>VLOOKUP(all_lmics181920[[worldbank_region]:[worldbank_region]],Table13[],3,FALSE)*1.05</f>
        <v>76.717604249999994</v>
      </c>
      <c r="AN17">
        <f>VLOOKUP(all_lmics181920[[worldbank_region]:[worldbank_region]],Table13[],4,FALSE)*1.05</f>
        <v>126.83290724999999</v>
      </c>
      <c r="AO17">
        <f>VLOOKUP(all_lmics181920[[worldbank_region]:[worldbank_region]],Table13[],5,FALSE)*1.05</f>
        <v>126.83290724999999</v>
      </c>
      <c r="AP17">
        <f>VLOOKUP(all_lmics181920[[worldbank_region]:[worldbank_region]],Table13[],6,FALSE)*1.05</f>
        <v>126.83290724999999</v>
      </c>
      <c r="AQ17">
        <f>VLOOKUP(all_lmics181920[[worldbank_region]:[worldbank_region]],Table14[],2,FALSE)*1.05</f>
        <v>1.4073045</v>
      </c>
      <c r="AR17">
        <f>VLOOKUP(all_lmics181920[[worldbank_region]:[worldbank_region]],Table14[],3,FALSE)*1.05</f>
        <v>2.0556795000000001</v>
      </c>
      <c r="AS17">
        <f>VLOOKUP(all_lmics181920[[worldbank_region]:[worldbank_region]],Table14[],4,FALSE)*1.05</f>
        <v>2.0709317999999999</v>
      </c>
      <c r="AT17">
        <f>VLOOKUP(all_lmics181920[[worldbank_region]:[worldbank_region]],Table14[],5,FALSE)*1.05</f>
        <v>2.7193068</v>
      </c>
      <c r="AU17">
        <f>VLOOKUP(all_lmics181920[[worldbank_region]:[worldbank_region]],Table14[],6,FALSE)*1.05</f>
        <v>3.3180714</v>
      </c>
      <c r="AV17">
        <f>MIN(IFERROR(VLOOKUP(all_lmics181920[[Setting]:[Setting]],nFacSBA[],4,FALSE),VLOOKUP(all_lmics181920[[who_choice_region]:[who_choice_region]],missing[],30,FALSE))*1.05, 0.9999)</f>
        <v>0.16784953724039575</v>
      </c>
      <c r="AW17">
        <f>VLOOKUP(all_lmics181920[[worldbank_region]:[worldbank_region]],hbe[],4)</f>
        <v>0.5</v>
      </c>
      <c r="AX17">
        <f>VLOOKUP(all_lmics181920[[worldbank_region]:[worldbank_region]],hbe[],7)</f>
        <v>1</v>
      </c>
      <c r="AY17">
        <f>VLOOKUP(all_lmics181920[[worldbank_region]:[worldbank_region]],hbe[],10)</f>
        <v>0.25</v>
      </c>
    </row>
    <row r="18" spans="1:51" x14ac:dyDescent="0.35">
      <c r="A18" s="8" t="s">
        <v>70</v>
      </c>
      <c r="B18" s="10" t="s">
        <v>22</v>
      </c>
      <c r="C18" s="11" t="s">
        <v>383</v>
      </c>
      <c r="D18">
        <f>VLOOKUP(all_lmics181920[[Setting]:[Setting]],populations[],9,FALSE)</f>
        <v>4905769</v>
      </c>
      <c r="E18">
        <f>VLOOKUP(all_lmics181920[[Setting]:[Setting]],birthrate[],3,FALSE)</f>
        <v>1.4289E-2</v>
      </c>
      <c r="F18">
        <f>all_lmics181920[[#This Row],[2017_population]]*all_lmics181920[[#This Row],[2016_birthrate]]</f>
        <v>70098.533240999997</v>
      </c>
      <c r="G18">
        <f>MIN(VLOOKUP(all_lmics181920[[Setting]:[Setting]],birthdose[],4,FALSE)*1.05,0.9999)</f>
        <v>0.91349999999999998</v>
      </c>
      <c r="H18">
        <f>MIN(VLOOKUP(all_lmics181920[[Setting]:[Setting]],fullvax[],4,FALSE)*1.05,0.9999)</f>
        <v>0.99990000000000001</v>
      </c>
      <c r="I18">
        <f>IFERROR(VLOOKUP(all_lmics181920[[Setting]:[Setting]],prev[],3,FALSE),VLOOKUP(all_lmics181920[[who_choice_region]:[who_choice_region]],missing[],2,FALSE))</f>
        <v>2E-3</v>
      </c>
      <c r="J18">
        <f>IFERROR(VLOOKUP(all_lmics181920[[Setting]:[Setting]],prev[],4,FALSE),VLOOKUP(all_lmics181920[[who_choice_region]:[who_choice_region]],missing[],3,FALSE))</f>
        <v>1E-3</v>
      </c>
      <c r="K18">
        <f>IFERROR(VLOOKUP(all_lmics181920[[Setting]:[Setting]],prev[],5,FALSE),VLOOKUP(all_lmics181920[[who_choice_region]:[who_choice_region]],missing[],4,FALSE))</f>
        <v>2E-3</v>
      </c>
      <c r="L18">
        <f>IFERROR(VLOOKUP(all_lmics181920[[Setting]:[Setting]],prev[],7,FALSE),VLOOKUP(all_lmics181920[[who_choice_region]:[who_choice_region]],missing[],5,FALSE))</f>
        <v>5.102040816326522E-5</v>
      </c>
      <c r="M18">
        <f>IFERROR(VLOOKUP(all_lmics181920[[Setting]:[Setting]],prev[],6,FALSE),0)</f>
        <v>4905769</v>
      </c>
      <c r="N18">
        <f>MIN(IFERROR(VLOOKUP(all_lmics181920[[Setting]:[Setting]],SBA[],4,FALSE),VLOOKUP(all_lmics181920[[who_choice_region]:[who_choice_region]],missing[],6,FALSE))*1.05, 0.9999)</f>
        <v>0.94500000000000006</v>
      </c>
      <c r="O18">
        <f>MIN(IFERROR(VLOOKUP(all_lmics181920[[Setting]:[Setting]], facility[], 3,FALSE),VLOOKUP(all_lmics181920[[who_choice_region]:[who_choice_region]],missing[],7,FALSE))*1.05, 0.9999)</f>
        <v>0.99990000000000001</v>
      </c>
      <c r="P18">
        <f>IF(VLOOKUP(all_lmics181920[[Setting]:[Setting]],all_cause_mort[],4,FALSE)="",VLOOKUP(all_lmics181920[[who_choice_region]:[who_choice_region]],missing[],8,FALSE),VLOOKUP(all_lmics181920[[Setting]:[Setting]],all_cause_mort[],4,FALSE))*1.05</f>
        <v>7.7367466049999998E-3</v>
      </c>
      <c r="Q18">
        <f>IF(VLOOKUP(all_lmics181920[[Setting]:[Setting]],all_cause_mort[],5,FALSE)="",VLOOKUP(all_lmics181920[[who_choice_region]:[who_choice_region]],missing[],9,FALSE),VLOOKUP(all_lmics181920[[Setting]:[Setting]],all_cause_mort[],5,FALSE))*1.05</f>
        <v>4.8503766150000002E-4</v>
      </c>
      <c r="R18">
        <f>IF(VLOOKUP(all_lmics181920[[Setting]:[Setting]],all_cause_mort[],6,FALSE)="",VLOOKUP(all_lmics181920[[who_choice_region]:[who_choice_region]],missing[],10,FALSE),VLOOKUP(all_lmics181920[[Setting]:[Setting]],all_cause_mort[],6,FALSE))*1.05</f>
        <v>1.9874370600000003E-4</v>
      </c>
      <c r="S18">
        <f>IF(VLOOKUP(all_lmics181920[[Setting]:[Setting]],all_cause_mort[],7,FALSE)="",VLOOKUP(all_lmics181920[[who_choice_region]:[who_choice_region]],missing[],11,FALSE),VLOOKUP(all_lmics181920[[Setting]:[Setting]],all_cause_mort[],7,FALSE))*1.05</f>
        <v>2.6509761599999998E-4</v>
      </c>
      <c r="T18">
        <f>IF(VLOOKUP(all_lmics181920[[Setting]:[Setting]],all_cause_mort[],8,FALSE)="",VLOOKUP(all_lmics181920[[who_choice_region]:[who_choice_region]],missing[],12,FALSE),VLOOKUP(all_lmics181920[[Setting]:[Setting]],all_cause_mort[],8,FALSE))*1.05</f>
        <v>5.4845784000000003E-4</v>
      </c>
      <c r="U18">
        <f>IF(VLOOKUP(all_lmics181920[[Setting]:[Setting]],all_cause_mort[],9,FALSE)="",VLOOKUP(all_lmics181920[[who_choice_region]:[who_choice_region]],missing[],13,FALSE),VLOOKUP(all_lmics181920[[Setting]:[Setting]],all_cause_mort[],9,FALSE))*1.05</f>
        <v>8.319748605E-4</v>
      </c>
      <c r="V18">
        <f>IF(VLOOKUP(all_lmics181920[[Setting]:[Setting]],all_cause_mort[],10,FALSE)="",VLOOKUP(all_lmics181920[[who_choice_region]:[who_choice_region]],missing[],14,FALSE),VLOOKUP(all_lmics181920[[Setting]:[Setting]],all_cause_mort[],10,FALSE))*1.05</f>
        <v>9.6763491300000002E-4</v>
      </c>
      <c r="W18">
        <f>IF(VLOOKUP(all_lmics181920[[Setting]:[Setting]],all_cause_mort[],11,FALSE)="",VLOOKUP(all_lmics181920[[who_choice_region]:[who_choice_region]],missing[],15,FALSE),VLOOKUP(all_lmics181920[[Setting]:[Setting]],all_cause_mort[],11,FALSE))*1.05</f>
        <v>1.1429704650000002E-3</v>
      </c>
      <c r="X18">
        <f>IF(VLOOKUP(all_lmics181920[[Setting]:[Setting]],all_cause_mort[],12,FALSE)="",VLOOKUP(all_lmics181920[[who_choice_region]:[who_choice_region]],missing[],16,FALSE),VLOOKUP(all_lmics181920[[Setting]:[Setting]],all_cause_mort[],12,FALSE))*1.05</f>
        <v>1.40305305E-3</v>
      </c>
      <c r="Y18">
        <f>IF(VLOOKUP(all_lmics181920[[Setting]:[Setting]],all_cause_mort[],13,FALSE)="",VLOOKUP(all_lmics181920[[who_choice_region]:[who_choice_region]],missing[],17,FALSE),VLOOKUP(all_lmics181920[[Setting]:[Setting]],all_cause_mort[],13,FALSE))*1.05</f>
        <v>1.843477335E-3</v>
      </c>
      <c r="Z18">
        <f>IF(VLOOKUP(all_lmics181920[[Setting]:[Setting]],all_cause_mort[],14,FALSE)="",VLOOKUP(all_lmics181920[[who_choice_region]:[who_choice_region]],missing[],18,FALSE),VLOOKUP(all_lmics181920[[Setting]:[Setting]],all_cause_mort[],14,FALSE))*1.05</f>
        <v>2.6073147450000004E-3</v>
      </c>
      <c r="AA18">
        <f>IF(VLOOKUP(all_lmics181920[[Setting]:[Setting]],all_cause_mort[],15,FALSE)="",VLOOKUP(all_lmics181920[[who_choice_region]:[who_choice_region]],missing[],19,FALSE),VLOOKUP(all_lmics181920[[Setting]:[Setting]],all_cause_mort[],15,FALSE))*1.05</f>
        <v>3.8328449250000004E-3</v>
      </c>
      <c r="AB18">
        <f>IF(VLOOKUP(all_lmics181920[[Setting]:[Setting]],all_cause_mort[],16,FALSE)="",VLOOKUP(all_lmics181920[[who_choice_region]:[who_choice_region]],missing[],20,FALSE),VLOOKUP(all_lmics181920[[Setting]:[Setting]],all_cause_mort[],16,FALSE))*1.05</f>
        <v>5.8404505950000003E-3</v>
      </c>
      <c r="AC18">
        <f>IF(VLOOKUP(all_lmics181920[[Setting]:[Setting]],all_cause_mort[],17,FALSE)="",VLOOKUP(all_lmics181920[[who_choice_region]:[who_choice_region]],missing[],21,FALSE),VLOOKUP(all_lmics181920[[Setting]:[Setting]],all_cause_mort[],17,FALSE))*1.05</f>
        <v>9.0583989300000011E-3</v>
      </c>
      <c r="AD18">
        <f>IF(VLOOKUP(all_lmics181920[[Setting]:[Setting]],all_cause_mort[],18,FALSE)="",VLOOKUP(all_lmics181920[[who_choice_region]:[who_choice_region]],missing[],22,FALSE),VLOOKUP(all_lmics181920[[Setting]:[Setting]],all_cause_mort[],18,FALSE))*1.05</f>
        <v>1.434823635E-2</v>
      </c>
      <c r="AE18">
        <f>IF(VLOOKUP(all_lmics181920[[Setting]:[Setting]],all_cause_mort[],19,FALSE)="",VLOOKUP(all_lmics181920[[who_choice_region]:[who_choice_region]],missing[],23,FALSE),VLOOKUP(all_lmics181920[[Setting]:[Setting]],all_cause_mort[],19,FALSE))*1.05</f>
        <v>2.2597504649999999E-2</v>
      </c>
      <c r="AF18">
        <f>IF(VLOOKUP(all_lmics181920[[Setting]:[Setting]],all_cause_mort[],20,FALSE)="",VLOOKUP(all_lmics181920[[who_choice_region]:[who_choice_region]],missing[],24,FALSE),VLOOKUP(all_lmics181920[[Setting]:[Setting]],all_cause_mort[],20,FALSE))*1.05</f>
        <v>3.6939318150000004E-2</v>
      </c>
      <c r="AG18">
        <f>IF(VLOOKUP(all_lmics181920[[Setting]:[Setting]],all_cause_mort[],21,FALSE)="",VLOOKUP(all_lmics181920[[who_choice_region]:[who_choice_region]],missing[],25,FALSE),VLOOKUP(all_lmics181920[[Setting]:[Setting]],all_cause_mort[],21,FALSE))*1.05</f>
        <v>6.0334736700000002E-2</v>
      </c>
      <c r="AH18">
        <f>IF(VLOOKUP(all_lmics181920[[Setting]:[Setting]],all_cause_mort[],22,FALSE)="",VLOOKUP(all_lmics181920[[who_choice_region]:[who_choice_region]],missing[],26,FALSE),VLOOKUP(all_lmics181920[[Setting]:[Setting]],all_cause_mort[],22,FALSE))*1.05</f>
        <v>9.7112412600000003E-2</v>
      </c>
      <c r="AI18">
        <f>IF(VLOOKUP(all_lmics181920[[Setting]:[Setting]],all_cause_mort[],23,FALSE)="",VLOOKUP(all_lmics181920[[who_choice_region]:[who_choice_region]],missing[],27,FALSE),VLOOKUP(all_lmics181920[[Setting]:[Setting]],all_cause_mort[],23,FALSE))*1.05</f>
        <v>0.15557546550000001</v>
      </c>
      <c r="AJ18">
        <f>IF(VLOOKUP(all_lmics181920[[Setting]:[Setting]],all_cause_mort[],24,FALSE)="",VLOOKUP(all_lmics181920[[who_choice_region]:[who_choice_region]],missing[],28,FALSE),VLOOKUP(all_lmics181920[[Setting]:[Setting]],all_cause_mort[],24,FALSE))*1.05</f>
        <v>0.24875994150000003</v>
      </c>
      <c r="AK18">
        <f>IF(VLOOKUP(all_lmics181920[[Setting]:[Setting]],all_cause_mort[],25,FALSE)="",VLOOKUP(all_lmics181920[[who_choice_region]:[who_choice_region]],missing[],29,FALSE),VLOOKUP(all_lmics181920[[Setting]:[Setting]],all_cause_mort[],25,FALSE))*1.05</f>
        <v>0.42382250604068133</v>
      </c>
      <c r="AL18">
        <f>VLOOKUP(all_lmics181920[[worldbank_region]:[worldbank_region]],Table13[],2,FALSE)*1.05</f>
        <v>91.202986349999989</v>
      </c>
      <c r="AM18">
        <f>VLOOKUP(all_lmics181920[[worldbank_region]:[worldbank_region]],Table13[],3,FALSE)*1.05</f>
        <v>91.202986349999989</v>
      </c>
      <c r="AN18">
        <f>VLOOKUP(all_lmics181920[[worldbank_region]:[worldbank_region]],Table13[],4,FALSE)*1.05</f>
        <v>141.31828934999999</v>
      </c>
      <c r="AO18">
        <f>VLOOKUP(all_lmics181920[[worldbank_region]:[worldbank_region]],Table13[],5,FALSE)*1.05</f>
        <v>141.31828934999999</v>
      </c>
      <c r="AP18">
        <f>VLOOKUP(all_lmics181920[[worldbank_region]:[worldbank_region]],Table13[],6,FALSE)*1.05</f>
        <v>141.31828934999999</v>
      </c>
      <c r="AQ18">
        <f>VLOOKUP(all_lmics181920[[worldbank_region]:[worldbank_region]],Table14[],2,FALSE)*1.05</f>
        <v>1.5903741</v>
      </c>
      <c r="AR18">
        <f>VLOOKUP(all_lmics181920[[worldbank_region]:[worldbank_region]],Table14[],3,FALSE)*1.05</f>
        <v>2.2387491000000002</v>
      </c>
      <c r="AS18">
        <f>VLOOKUP(all_lmics181920[[worldbank_region]:[worldbank_region]],Table14[],4,FALSE)*1.05</f>
        <v>1.6132578000000002</v>
      </c>
      <c r="AT18">
        <f>VLOOKUP(all_lmics181920[[worldbank_region]:[worldbank_region]],Table14[],5,FALSE)*1.05</f>
        <v>2.2616328000000001</v>
      </c>
      <c r="AU18">
        <f>VLOOKUP(all_lmics181920[[worldbank_region]:[worldbank_region]],Table14[],6,FALSE)*1.05</f>
        <v>2.8603974000000001</v>
      </c>
      <c r="AV18">
        <f>MIN(IFERROR(VLOOKUP(all_lmics181920[[Setting]:[Setting]],nFacSBA[],4,FALSE),VLOOKUP(all_lmics181920[[who_choice_region]:[who_choice_region]],missing[],30,FALSE))*1.05, 0.9999)</f>
        <v>0.48499813288592725</v>
      </c>
      <c r="AW18">
        <f>VLOOKUP(all_lmics181920[[worldbank_region]:[worldbank_region]],hbe[],4)</f>
        <v>0.5</v>
      </c>
      <c r="AX18">
        <f>VLOOKUP(all_lmics181920[[worldbank_region]:[worldbank_region]],hbe[],7)</f>
        <v>1</v>
      </c>
      <c r="AY18">
        <f>VLOOKUP(all_lmics181920[[worldbank_region]:[worldbank_region]],hbe[],10)</f>
        <v>0.25</v>
      </c>
    </row>
    <row r="19" spans="1:51" x14ac:dyDescent="0.35">
      <c r="A19" s="8" t="s">
        <v>76</v>
      </c>
      <c r="B19" s="10" t="s">
        <v>36</v>
      </c>
      <c r="C19" s="11" t="s">
        <v>37</v>
      </c>
      <c r="D19">
        <f>VLOOKUP(all_lmics181920[[Setting]:[Setting]],populations[],9,FALSE)</f>
        <v>25490965</v>
      </c>
      <c r="E19">
        <f>VLOOKUP(all_lmics181920[[Setting]:[Setting]],birthrate[],3,FALSE)</f>
        <v>1.3833999999999999E-2</v>
      </c>
      <c r="F19">
        <f>all_lmics181920[[#This Row],[2017_population]]*all_lmics181920[[#This Row],[2016_birthrate]]</f>
        <v>352642.00980999996</v>
      </c>
      <c r="G19">
        <f>MIN(VLOOKUP(all_lmics181920[[Setting]:[Setting]],birthdose[],4,FALSE)*1.05,0.9999)</f>
        <v>0.99990000000000001</v>
      </c>
      <c r="H19">
        <f>MIN(VLOOKUP(all_lmics181920[[Setting]:[Setting]],fullvax[],4,FALSE)*1.05,0.9999)</f>
        <v>0.99990000000000001</v>
      </c>
      <c r="I19">
        <f>IFERROR(VLOOKUP(all_lmics181920[[Setting]:[Setting]],prev[],3,FALSE),VLOOKUP(all_lmics181920[[who_choice_region]:[who_choice_region]],missing[],2,FALSE))</f>
        <v>2.9042976123168401E-2</v>
      </c>
      <c r="J19">
        <f>IFERROR(VLOOKUP(all_lmics181920[[Setting]:[Setting]],prev[],4,FALSE),VLOOKUP(all_lmics181920[[who_choice_region]:[who_choice_region]],missing[],3,FALSE))</f>
        <v>2.3703460291678725E-2</v>
      </c>
      <c r="K19">
        <f>IFERROR(VLOOKUP(all_lmics181920[[Setting]:[Setting]],prev[],5,FALSE),VLOOKUP(all_lmics181920[[who_choice_region]:[who_choice_region]],missing[],4,FALSE))</f>
        <v>3.2561757047722864E-2</v>
      </c>
      <c r="L19">
        <f>IFERROR(VLOOKUP(all_lmics181920[[Setting]:[Setting]],prev[],7,FALSE),VLOOKUP(all_lmics181920[[who_choice_region]:[who_choice_region]],missing[],5,FALSE))</f>
        <v>1.7952963900788081E-3</v>
      </c>
      <c r="M19">
        <f>IFERROR(VLOOKUP(all_lmics181920[[Setting]:[Setting]],prev[],6,FALSE),0)</f>
        <v>0</v>
      </c>
      <c r="N19">
        <f>MIN(IFERROR(VLOOKUP(all_lmics181920[[Setting]:[Setting]],SBA[],4,FALSE),VLOOKUP(all_lmics181920[[who_choice_region]:[who_choice_region]],missing[],6,FALSE))*1.05, 0.9999)</f>
        <v>0.99990000000000001</v>
      </c>
      <c r="O19">
        <f>MIN(IFERROR(VLOOKUP(all_lmics181920[[Setting]:[Setting]], facility[], 3,FALSE),VLOOKUP(all_lmics181920[[who_choice_region]:[who_choice_region]],missing[],7,FALSE))*1.05, 0.9999)</f>
        <v>0.99435000000000007</v>
      </c>
      <c r="P19">
        <f>IF(VLOOKUP(all_lmics181920[[Setting]:[Setting]],all_cause_mort[],4,FALSE)="",VLOOKUP(all_lmics181920[[who_choice_region]:[who_choice_region]],missing[],8,FALSE),VLOOKUP(all_lmics181920[[Setting]:[Setting]],all_cause_mort[],4,FALSE))*1.05</f>
        <v>1.4780987550000001E-2</v>
      </c>
      <c r="Q19">
        <f>IF(VLOOKUP(all_lmics181920[[Setting]:[Setting]],all_cause_mort[],5,FALSE)="",VLOOKUP(all_lmics181920[[who_choice_region]:[who_choice_region]],missing[],9,FALSE),VLOOKUP(all_lmics181920[[Setting]:[Setting]],all_cause_mort[],5,FALSE))*1.05</f>
        <v>1.2136161450000001E-3</v>
      </c>
      <c r="R19">
        <f>IF(VLOOKUP(all_lmics181920[[Setting]:[Setting]],all_cause_mort[],6,FALSE)="",VLOOKUP(all_lmics181920[[who_choice_region]:[who_choice_region]],missing[],10,FALSE),VLOOKUP(all_lmics181920[[Setting]:[Setting]],all_cause_mort[],6,FALSE))*1.05</f>
        <v>6.7807125749999998E-4</v>
      </c>
      <c r="S19">
        <f>IF(VLOOKUP(all_lmics181920[[Setting]:[Setting]],all_cause_mort[],7,FALSE)="",VLOOKUP(all_lmics181920[[who_choice_region]:[who_choice_region]],missing[],11,FALSE),VLOOKUP(all_lmics181920[[Setting]:[Setting]],all_cause_mort[],7,FALSE))*1.05</f>
        <v>6.2977841850000006E-4</v>
      </c>
      <c r="T19">
        <f>IF(VLOOKUP(all_lmics181920[[Setting]:[Setting]],all_cause_mort[],8,FALSE)="",VLOOKUP(all_lmics181920[[who_choice_region]:[who_choice_region]],missing[],12,FALSE),VLOOKUP(all_lmics181920[[Setting]:[Setting]],all_cause_mort[],8,FALSE))*1.05</f>
        <v>9.1000687050000009E-4</v>
      </c>
      <c r="U19">
        <f>IF(VLOOKUP(all_lmics181920[[Setting]:[Setting]],all_cause_mort[],9,FALSE)="",VLOOKUP(all_lmics181920[[who_choice_region]:[who_choice_region]],missing[],13,FALSE),VLOOKUP(all_lmics181920[[Setting]:[Setting]],all_cause_mort[],9,FALSE))*1.05</f>
        <v>1.3062428399999999E-3</v>
      </c>
      <c r="V19">
        <f>IF(VLOOKUP(all_lmics181920[[Setting]:[Setting]],all_cause_mort[],10,FALSE)="",VLOOKUP(all_lmics181920[[who_choice_region]:[who_choice_region]],missing[],14,FALSE),VLOOKUP(all_lmics181920[[Setting]:[Setting]],all_cause_mort[],10,FALSE))*1.05</f>
        <v>1.6227295350000001E-3</v>
      </c>
      <c r="W19">
        <f>IF(VLOOKUP(all_lmics181920[[Setting]:[Setting]],all_cause_mort[],11,FALSE)="",VLOOKUP(all_lmics181920[[who_choice_region]:[who_choice_region]],missing[],15,FALSE),VLOOKUP(all_lmics181920[[Setting]:[Setting]],all_cause_mort[],11,FALSE))*1.05</f>
        <v>1.8440020200000001E-3</v>
      </c>
      <c r="X19">
        <f>IF(VLOOKUP(all_lmics181920[[Setting]:[Setting]],all_cause_mort[],12,FALSE)="",VLOOKUP(all_lmics181920[[who_choice_region]:[who_choice_region]],missing[],16,FALSE),VLOOKUP(all_lmics181920[[Setting]:[Setting]],all_cause_mort[],12,FALSE))*1.05</f>
        <v>2.1276810450000004E-3</v>
      </c>
      <c r="Y19">
        <f>IF(VLOOKUP(all_lmics181920[[Setting]:[Setting]],all_cause_mort[],13,FALSE)="",VLOOKUP(all_lmics181920[[who_choice_region]:[who_choice_region]],missing[],17,FALSE),VLOOKUP(all_lmics181920[[Setting]:[Setting]],all_cause_mort[],13,FALSE))*1.05</f>
        <v>2.5871847750000001E-3</v>
      </c>
      <c r="Z19">
        <f>IF(VLOOKUP(all_lmics181920[[Setting]:[Setting]],all_cause_mort[],14,FALSE)="",VLOOKUP(all_lmics181920[[who_choice_region]:[who_choice_region]],missing[],18,FALSE),VLOOKUP(all_lmics181920[[Setting]:[Setting]],all_cause_mort[],14,FALSE))*1.05</f>
        <v>3.5383126800000004E-3</v>
      </c>
      <c r="AA19">
        <f>IF(VLOOKUP(all_lmics181920[[Setting]:[Setting]],all_cause_mort[],15,FALSE)="",VLOOKUP(all_lmics181920[[who_choice_region]:[who_choice_region]],missing[],19,FALSE),VLOOKUP(all_lmics181920[[Setting]:[Setting]],all_cause_mort[],15,FALSE))*1.05</f>
        <v>5.0933194199999999E-3</v>
      </c>
      <c r="AB19">
        <f>IF(VLOOKUP(all_lmics181920[[Setting]:[Setting]],all_cause_mort[],16,FALSE)="",VLOOKUP(all_lmics181920[[who_choice_region]:[who_choice_region]],missing[],20,FALSE),VLOOKUP(all_lmics181920[[Setting]:[Setting]],all_cause_mort[],16,FALSE))*1.05</f>
        <v>1.0388540925E-2</v>
      </c>
      <c r="AC19">
        <f>IF(VLOOKUP(all_lmics181920[[Setting]:[Setting]],all_cause_mort[],17,FALSE)="",VLOOKUP(all_lmics181920[[who_choice_region]:[who_choice_region]],missing[],21,FALSE),VLOOKUP(all_lmics181920[[Setting]:[Setting]],all_cause_mort[],17,FALSE))*1.05</f>
        <v>2.1784741650000002E-2</v>
      </c>
      <c r="AD19">
        <f>IF(VLOOKUP(all_lmics181920[[Setting]:[Setting]],all_cause_mort[],18,FALSE)="",VLOOKUP(all_lmics181920[[who_choice_region]:[who_choice_region]],missing[],22,FALSE),VLOOKUP(all_lmics181920[[Setting]:[Setting]],all_cause_mort[],18,FALSE))*1.05</f>
        <v>3.2569955249999998E-2</v>
      </c>
      <c r="AE19">
        <f>IF(VLOOKUP(all_lmics181920[[Setting]:[Setting]],all_cause_mort[],19,FALSE)="",VLOOKUP(all_lmics181920[[who_choice_region]:[who_choice_region]],missing[],23,FALSE),VLOOKUP(all_lmics181920[[Setting]:[Setting]],all_cause_mort[],19,FALSE))*1.05</f>
        <v>4.7085332700000003E-2</v>
      </c>
      <c r="AF19">
        <f>IF(VLOOKUP(all_lmics181920[[Setting]:[Setting]],all_cause_mort[],20,FALSE)="",VLOOKUP(all_lmics181920[[who_choice_region]:[who_choice_region]],missing[],24,FALSE),VLOOKUP(all_lmics181920[[Setting]:[Setting]],all_cause_mort[],20,FALSE))*1.05</f>
        <v>7.8344717850000009E-2</v>
      </c>
      <c r="AG19">
        <f>IF(VLOOKUP(all_lmics181920[[Setting]:[Setting]],all_cause_mort[],21,FALSE)="",VLOOKUP(all_lmics181920[[who_choice_region]:[who_choice_region]],missing[],25,FALSE),VLOOKUP(all_lmics181920[[Setting]:[Setting]],all_cause_mort[],21,FALSE))*1.05</f>
        <v>0.11935023450000001</v>
      </c>
      <c r="AH19">
        <f>IF(VLOOKUP(all_lmics181920[[Setting]:[Setting]],all_cause_mort[],22,FALSE)="",VLOOKUP(all_lmics181920[[who_choice_region]:[who_choice_region]],missing[],26,FALSE),VLOOKUP(all_lmics181920[[Setting]:[Setting]],all_cause_mort[],22,FALSE))*1.05</f>
        <v>0.18306652349999999</v>
      </c>
      <c r="AI19">
        <f>IF(VLOOKUP(all_lmics181920[[Setting]:[Setting]],all_cause_mort[],23,FALSE)="",VLOOKUP(all_lmics181920[[who_choice_region]:[who_choice_region]],missing[],27,FALSE),VLOOKUP(all_lmics181920[[Setting]:[Setting]],all_cause_mort[],23,FALSE))*1.05</f>
        <v>0.27283442550000003</v>
      </c>
      <c r="AJ19">
        <f>IF(VLOOKUP(all_lmics181920[[Setting]:[Setting]],all_cause_mort[],24,FALSE)="",VLOOKUP(all_lmics181920[[who_choice_region]:[who_choice_region]],missing[],28,FALSE),VLOOKUP(all_lmics181920[[Setting]:[Setting]],all_cause_mort[],24,FALSE))*1.05</f>
        <v>0.3778231695</v>
      </c>
      <c r="AK19">
        <f>IF(VLOOKUP(all_lmics181920[[Setting]:[Setting]],all_cause_mort[],25,FALSE)="",VLOOKUP(all_lmics181920[[who_choice_region]:[who_choice_region]],missing[],29,FALSE),VLOOKUP(all_lmics181920[[Setting]:[Setting]],all_cause_mort[],25,FALSE))*1.05</f>
        <v>0.53071816984922393</v>
      </c>
      <c r="AL19">
        <f>VLOOKUP(all_lmics181920[[worldbank_region]:[worldbank_region]],Table13[],2,FALSE)*1.05</f>
        <v>60.229898399999996</v>
      </c>
      <c r="AM19">
        <f>VLOOKUP(all_lmics181920[[worldbank_region]:[worldbank_region]],Table13[],3,FALSE)*1.05</f>
        <v>60.229898399999996</v>
      </c>
      <c r="AN19">
        <f>VLOOKUP(all_lmics181920[[worldbank_region]:[worldbank_region]],Table13[],4,FALSE)*1.05</f>
        <v>110.34520139999999</v>
      </c>
      <c r="AO19">
        <f>VLOOKUP(all_lmics181920[[worldbank_region]:[worldbank_region]],Table13[],5,FALSE)*1.05</f>
        <v>110.34520139999999</v>
      </c>
      <c r="AP19">
        <f>VLOOKUP(all_lmics181920[[worldbank_region]:[worldbank_region]],Table13[],6,FALSE)*1.05</f>
        <v>110.34520139999999</v>
      </c>
      <c r="AQ19">
        <f>VLOOKUP(all_lmics181920[[worldbank_region]:[worldbank_region]],Table14[],2,FALSE)*1.05</f>
        <v>1.0068397500000001</v>
      </c>
      <c r="AR19">
        <f>VLOOKUP(all_lmics181920[[worldbank_region]:[worldbank_region]],Table14[],3,FALSE)*1.05</f>
        <v>1.6552147500000003</v>
      </c>
      <c r="AS19">
        <f>VLOOKUP(all_lmics181920[[worldbank_region]:[worldbank_region]],Table14[],4,FALSE)*1.05</f>
        <v>34.6802043</v>
      </c>
      <c r="AT19">
        <f>VLOOKUP(all_lmics181920[[worldbank_region]:[worldbank_region]],Table14[],5,FALSE)*1.05</f>
        <v>35.328579300000001</v>
      </c>
      <c r="AU19">
        <f>VLOOKUP(all_lmics181920[[worldbank_region]:[worldbank_region]],Table14[],6,FALSE)*1.05</f>
        <v>35.927343900000004</v>
      </c>
      <c r="AV19">
        <f>MIN(IFERROR(VLOOKUP(all_lmics181920[[Setting]:[Setting]],nFacSBA[],4,FALSE),VLOOKUP(all_lmics181920[[who_choice_region]:[who_choice_region]],missing[],30,FALSE))*1.05, 0.9999)</f>
        <v>0.13510897497632865</v>
      </c>
      <c r="AW19">
        <f>VLOOKUP(all_lmics181920[[worldbank_region]:[worldbank_region]],hbe[],4)</f>
        <v>0.5</v>
      </c>
      <c r="AX19">
        <f>VLOOKUP(all_lmics181920[[worldbank_region]:[worldbank_region]],hbe[],7)</f>
        <v>1</v>
      </c>
      <c r="AY19">
        <f>VLOOKUP(all_lmics181920[[worldbank_region]:[worldbank_region]],hbe[],10)</f>
        <v>0.25</v>
      </c>
    </row>
    <row r="20" spans="1:51" x14ac:dyDescent="0.35">
      <c r="A20" s="12" t="s">
        <v>79</v>
      </c>
      <c r="B20" s="13" t="s">
        <v>6</v>
      </c>
      <c r="C20" s="14" t="s">
        <v>7</v>
      </c>
      <c r="D20">
        <f>VLOOKUP(all_lmics181920[[Setting]:[Setting]],populations[],9,FALSE)</f>
        <v>956985</v>
      </c>
      <c r="E20">
        <f>VLOOKUP(all_lmics181920[[Setting]:[Setting]],birthrate[],3,FALSE)</f>
        <v>2.3001999999999998E-2</v>
      </c>
      <c r="F20">
        <f>all_lmics181920[[#This Row],[2017_population]]*all_lmics181920[[#This Row],[2016_birthrate]]</f>
        <v>22012.568969999997</v>
      </c>
      <c r="G20">
        <f>MIN(VLOOKUP(all_lmics181920[[Setting]:[Setting]],birthdose[],4,FALSE)*1.05,0.9999)</f>
        <v>0.94500000000000006</v>
      </c>
      <c r="H20">
        <f>MIN(VLOOKUP(all_lmics181920[[Setting]:[Setting]],fullvax[],4,FALSE)*1.05,0.9999)</f>
        <v>0.71400000000000008</v>
      </c>
      <c r="I20">
        <f>IFERROR(VLOOKUP(all_lmics181920[[Setting]:[Setting]],prev[],3,FALSE),VLOOKUP(all_lmics181920[[who_choice_region]:[who_choice_region]],missing[],2,FALSE))</f>
        <v>2.5943237504895467E-2</v>
      </c>
      <c r="J20">
        <f>IFERROR(VLOOKUP(all_lmics181920[[Setting]:[Setting]],prev[],4,FALSE),VLOOKUP(all_lmics181920[[who_choice_region]:[who_choice_region]],missing[],3,FALSE))</f>
        <v>2.2441861151908198E-2</v>
      </c>
      <c r="K20">
        <f>IFERROR(VLOOKUP(all_lmics181920[[Setting]:[Setting]],prev[],5,FALSE),VLOOKUP(all_lmics181920[[who_choice_region]:[who_choice_region]],missing[],4,FALSE))</f>
        <v>3.4976790744324575E-2</v>
      </c>
      <c r="L20">
        <f>IFERROR(VLOOKUP(all_lmics181920[[Setting]:[Setting]],prev[],7,FALSE),VLOOKUP(all_lmics181920[[who_choice_region]:[who_choice_region]],missing[],5,FALSE))</f>
        <v>4.6089557344026044E-3</v>
      </c>
      <c r="M20">
        <f>IFERROR(VLOOKUP(all_lmics181920[[Setting]:[Setting]],prev[],6,FALSE),0)</f>
        <v>0</v>
      </c>
      <c r="N20">
        <f>MIN(IFERROR(VLOOKUP(all_lmics181920[[Setting]:[Setting]],SBA[],4,FALSE),VLOOKUP(all_lmics181920[[who_choice_region]:[who_choice_region]],missing[],6,FALSE))*1.05, 0.9999)</f>
        <v>0.91770000000000018</v>
      </c>
      <c r="O20">
        <f>MIN(IFERROR(VLOOKUP(all_lmics181920[[Setting]:[Setting]], facility[], 3,FALSE),VLOOKUP(all_lmics181920[[who_choice_region]:[who_choice_region]],missing[],7,FALSE))*1.05, 0.9999)</f>
        <v>0.91034999999999999</v>
      </c>
      <c r="P20">
        <f>IF(VLOOKUP(all_lmics181920[[Setting]:[Setting]],all_cause_mort[],4,FALSE)="",VLOOKUP(all_lmics181920[[who_choice_region]:[who_choice_region]],missing[],8,FALSE),VLOOKUP(all_lmics181920[[Setting]:[Setting]],all_cause_mort[],4,FALSE))*1.05</f>
        <v>3.6383166750000001E-2</v>
      </c>
      <c r="Q20">
        <f>IF(VLOOKUP(all_lmics181920[[Setting]:[Setting]],all_cause_mort[],5,FALSE)="",VLOOKUP(all_lmics181920[[who_choice_region]:[who_choice_region]],missing[],9,FALSE),VLOOKUP(all_lmics181920[[Setting]:[Setting]],all_cause_mort[],5,FALSE))*1.05</f>
        <v>4.8094060350000007E-3</v>
      </c>
      <c r="R20">
        <f>IF(VLOOKUP(all_lmics181920[[Setting]:[Setting]],all_cause_mort[],6,FALSE)="",VLOOKUP(all_lmics181920[[who_choice_region]:[who_choice_region]],missing[],10,FALSE),VLOOKUP(all_lmics181920[[Setting]:[Setting]],all_cause_mort[],6,FALSE))*1.05</f>
        <v>1.8742217550000002E-3</v>
      </c>
      <c r="S20">
        <f>IF(VLOOKUP(all_lmics181920[[Setting]:[Setting]],all_cause_mort[],7,FALSE)="",VLOOKUP(all_lmics181920[[who_choice_region]:[who_choice_region]],missing[],11,FALSE),VLOOKUP(all_lmics181920[[Setting]:[Setting]],all_cause_mort[],7,FALSE))*1.05</f>
        <v>1.2786948300000001E-3</v>
      </c>
      <c r="T20">
        <f>IF(VLOOKUP(all_lmics181920[[Setting]:[Setting]],all_cause_mort[],8,FALSE)="",VLOOKUP(all_lmics181920[[who_choice_region]:[who_choice_region]],missing[],12,FALSE),VLOOKUP(all_lmics181920[[Setting]:[Setting]],all_cause_mort[],8,FALSE))*1.05</f>
        <v>1.7098491900000002E-3</v>
      </c>
      <c r="U20">
        <f>IF(VLOOKUP(all_lmics181920[[Setting]:[Setting]],all_cause_mort[],9,FALSE)="",VLOOKUP(all_lmics181920[[who_choice_region]:[who_choice_region]],missing[],13,FALSE),VLOOKUP(all_lmics181920[[Setting]:[Setting]],all_cause_mort[],9,FALSE))*1.05</f>
        <v>2.2896648600000003E-3</v>
      </c>
      <c r="V20">
        <f>IF(VLOOKUP(all_lmics181920[[Setting]:[Setting]],all_cause_mort[],10,FALSE)="",VLOOKUP(all_lmics181920[[who_choice_region]:[who_choice_region]],missing[],14,FALSE),VLOOKUP(all_lmics181920[[Setting]:[Setting]],all_cause_mort[],10,FALSE))*1.05</f>
        <v>2.7620013750000003E-3</v>
      </c>
      <c r="W20">
        <f>IF(VLOOKUP(all_lmics181920[[Setting]:[Setting]],all_cause_mort[],11,FALSE)="",VLOOKUP(all_lmics181920[[who_choice_region]:[who_choice_region]],missing[],15,FALSE),VLOOKUP(all_lmics181920[[Setting]:[Setting]],all_cause_mort[],11,FALSE))*1.05</f>
        <v>3.4910263500000003E-3</v>
      </c>
      <c r="X20">
        <f>IF(VLOOKUP(all_lmics181920[[Setting]:[Setting]],all_cause_mort[],12,FALSE)="",VLOOKUP(all_lmics181920[[who_choice_region]:[who_choice_region]],missing[],16,FALSE),VLOOKUP(all_lmics181920[[Setting]:[Setting]],all_cause_mort[],12,FALSE))*1.05</f>
        <v>4.7410702499999999E-3</v>
      </c>
      <c r="Y20">
        <f>IF(VLOOKUP(all_lmics181920[[Setting]:[Setting]],all_cause_mort[],13,FALSE)="",VLOOKUP(all_lmics181920[[who_choice_region]:[who_choice_region]],missing[],17,FALSE),VLOOKUP(all_lmics181920[[Setting]:[Setting]],all_cause_mort[],13,FALSE))*1.05</f>
        <v>5.8686790050000003E-3</v>
      </c>
      <c r="Z20">
        <f>IF(VLOOKUP(all_lmics181920[[Setting]:[Setting]],all_cause_mort[],14,FALSE)="",VLOOKUP(all_lmics181920[[who_choice_region]:[who_choice_region]],missing[],18,FALSE),VLOOKUP(all_lmics181920[[Setting]:[Setting]],all_cause_mort[],14,FALSE))*1.05</f>
        <v>7.0633588199999998E-3</v>
      </c>
      <c r="AA20">
        <f>IF(VLOOKUP(all_lmics181920[[Setting]:[Setting]],all_cause_mort[],15,FALSE)="",VLOOKUP(all_lmics181920[[who_choice_region]:[who_choice_region]],missing[],19,FALSE),VLOOKUP(all_lmics181920[[Setting]:[Setting]],all_cause_mort[],15,FALSE))*1.05</f>
        <v>9.286311299999999E-3</v>
      </c>
      <c r="AB20">
        <f>IF(VLOOKUP(all_lmics181920[[Setting]:[Setting]],all_cause_mort[],16,FALSE)="",VLOOKUP(all_lmics181920[[who_choice_region]:[who_choice_region]],missing[],20,FALSE),VLOOKUP(all_lmics181920[[Setting]:[Setting]],all_cause_mort[],16,FALSE))*1.05</f>
        <v>1.2223329300000002E-2</v>
      </c>
      <c r="AC20">
        <f>IF(VLOOKUP(all_lmics181920[[Setting]:[Setting]],all_cause_mort[],17,FALSE)="",VLOOKUP(all_lmics181920[[who_choice_region]:[who_choice_region]],missing[],21,FALSE),VLOOKUP(all_lmics181920[[Setting]:[Setting]],all_cause_mort[],17,FALSE))*1.05</f>
        <v>1.8677339100000002E-2</v>
      </c>
      <c r="AD20">
        <f>IF(VLOOKUP(all_lmics181920[[Setting]:[Setting]],all_cause_mort[],18,FALSE)="",VLOOKUP(all_lmics181920[[who_choice_region]:[who_choice_region]],missing[],22,FALSE),VLOOKUP(all_lmics181920[[Setting]:[Setting]],all_cause_mort[],18,FALSE))*1.05</f>
        <v>2.9477186549999999E-2</v>
      </c>
      <c r="AE20">
        <f>IF(VLOOKUP(all_lmics181920[[Setting]:[Setting]],all_cause_mort[],19,FALSE)="",VLOOKUP(all_lmics181920[[who_choice_region]:[who_choice_region]],missing[],23,FALSE),VLOOKUP(all_lmics181920[[Setting]:[Setting]],all_cause_mort[],19,FALSE))*1.05</f>
        <v>4.7720800050000005E-2</v>
      </c>
      <c r="AF20">
        <f>IF(VLOOKUP(all_lmics181920[[Setting]:[Setting]],all_cause_mort[],20,FALSE)="",VLOOKUP(all_lmics181920[[who_choice_region]:[who_choice_region]],missing[],24,FALSE),VLOOKUP(all_lmics181920[[Setting]:[Setting]],all_cause_mort[],20,FALSE))*1.05</f>
        <v>7.7463373050000006E-2</v>
      </c>
      <c r="AG20">
        <f>IF(VLOOKUP(all_lmics181920[[Setting]:[Setting]],all_cause_mort[],21,FALSE)="",VLOOKUP(all_lmics181920[[who_choice_region]:[who_choice_region]],missing[],25,FALSE),VLOOKUP(all_lmics181920[[Setting]:[Setting]],all_cause_mort[],21,FALSE))*1.05</f>
        <v>0.12571850549999999</v>
      </c>
      <c r="AH20">
        <f>IF(VLOOKUP(all_lmics181920[[Setting]:[Setting]],all_cause_mort[],22,FALSE)="",VLOOKUP(all_lmics181920[[who_choice_region]:[who_choice_region]],missing[],26,FALSE),VLOOKUP(all_lmics181920[[Setting]:[Setting]],all_cause_mort[],22,FALSE))*1.05</f>
        <v>0.19760384700000003</v>
      </c>
      <c r="AI20">
        <f>IF(VLOOKUP(all_lmics181920[[Setting]:[Setting]],all_cause_mort[],23,FALSE)="",VLOOKUP(all_lmics181920[[who_choice_region]:[who_choice_region]],missing[],27,FALSE),VLOOKUP(all_lmics181920[[Setting]:[Setting]],all_cause_mort[],23,FALSE))*1.05</f>
        <v>0.29252131650000002</v>
      </c>
      <c r="AJ20">
        <f>IF(VLOOKUP(all_lmics181920[[Setting]:[Setting]],all_cause_mort[],24,FALSE)="",VLOOKUP(all_lmics181920[[who_choice_region]:[who_choice_region]],missing[],28,FALSE),VLOOKUP(all_lmics181920[[Setting]:[Setting]],all_cause_mort[],24,FALSE))*1.05</f>
        <v>0.41224342949999998</v>
      </c>
      <c r="AK20">
        <f>IF(VLOOKUP(all_lmics181920[[Setting]:[Setting]],all_cause_mort[],25,FALSE)="",VLOOKUP(all_lmics181920[[who_choice_region]:[who_choice_region]],missing[],29,FALSE),VLOOKUP(all_lmics181920[[Setting]:[Setting]],all_cause_mort[],25,FALSE))*1.05</f>
        <v>0.55439452435616232</v>
      </c>
      <c r="AL20">
        <f>VLOOKUP(all_lmics181920[[worldbank_region]:[worldbank_region]],Table13[],2,FALSE)*1.05</f>
        <v>60.801990899999993</v>
      </c>
      <c r="AM20">
        <f>VLOOKUP(all_lmics181920[[worldbank_region]:[worldbank_region]],Table13[],3,FALSE)*1.05</f>
        <v>60.801990899999993</v>
      </c>
      <c r="AN20">
        <f>VLOOKUP(all_lmics181920[[worldbank_region]:[worldbank_region]],Table13[],4,FALSE)*1.05</f>
        <v>110.91729389999999</v>
      </c>
      <c r="AO20">
        <f>VLOOKUP(all_lmics181920[[worldbank_region]:[worldbank_region]],Table13[],5,FALSE)*1.05</f>
        <v>110.91729389999999</v>
      </c>
      <c r="AP20">
        <f>VLOOKUP(all_lmics181920[[worldbank_region]:[worldbank_region]],Table13[],6,FALSE)*1.05</f>
        <v>110.91729389999999</v>
      </c>
      <c r="AQ20">
        <f>VLOOKUP(all_lmics181920[[worldbank_region]:[worldbank_region]],Table14[],2,FALSE)*1.05</f>
        <v>1.57893225</v>
      </c>
      <c r="AR20">
        <f>VLOOKUP(all_lmics181920[[worldbank_region]:[worldbank_region]],Table14[],3,FALSE)*1.05</f>
        <v>2.22730725</v>
      </c>
      <c r="AS20">
        <f>VLOOKUP(all_lmics181920[[worldbank_region]:[worldbank_region]],Table14[],4,FALSE)*1.05</f>
        <v>2.0823736500000001</v>
      </c>
      <c r="AT20">
        <f>VLOOKUP(all_lmics181920[[worldbank_region]:[worldbank_region]],Table14[],5,FALSE)*1.05</f>
        <v>2.7307486499999998</v>
      </c>
      <c r="AU20">
        <f>VLOOKUP(all_lmics181920[[worldbank_region]:[worldbank_region]],Table14[],6,FALSE)*1.05</f>
        <v>3.3295132499999998</v>
      </c>
      <c r="AV20">
        <f>MIN(IFERROR(VLOOKUP(all_lmics181920[[Setting]:[Setting]],nFacSBA[],4,FALSE),VLOOKUP(all_lmics181920[[who_choice_region]:[who_choice_region]],missing[],30,FALSE))*1.05, 0.9999)</f>
        <v>0.20839987733880669</v>
      </c>
      <c r="AW20">
        <f>VLOOKUP(all_lmics181920[[worldbank_region]:[worldbank_region]],hbe[],4)</f>
        <v>0.5</v>
      </c>
      <c r="AX20">
        <f>VLOOKUP(all_lmics181920[[worldbank_region]:[worldbank_region]],hbe[],7)</f>
        <v>1</v>
      </c>
      <c r="AY20">
        <f>VLOOKUP(all_lmics181920[[worldbank_region]:[worldbank_region]],hbe[],10)</f>
        <v>0.25</v>
      </c>
    </row>
    <row r="21" spans="1:51" x14ac:dyDescent="0.35">
      <c r="A21" s="8" t="s">
        <v>80</v>
      </c>
      <c r="B21" s="10" t="s">
        <v>22</v>
      </c>
      <c r="C21" s="11" t="s">
        <v>383</v>
      </c>
      <c r="D21">
        <f>VLOOKUP(all_lmics181920[[Setting]:[Setting]],populations[],9,FALSE)</f>
        <v>73925</v>
      </c>
      <c r="E21">
        <f>VLOOKUP(all_lmics181920[[Setting]:[Setting]],birthrate[],3,FALSE)</f>
        <v>1.5099999999999999E-2</v>
      </c>
      <c r="F21">
        <f>all_lmics181920[[#This Row],[2017_population]]*all_lmics181920[[#This Row],[2016_birthrate]]</f>
        <v>1116.2674999999999</v>
      </c>
      <c r="G21">
        <f>MIN(VLOOKUP(all_lmics181920[[Setting]:[Setting]],birthdose[],4,FALSE)*1.05,0.9999)</f>
        <v>0.24150000000000002</v>
      </c>
      <c r="H21">
        <f>MIN(VLOOKUP(all_lmics181920[[Setting]:[Setting]],fullvax[],4,FALSE)*1.05,0.9999)</f>
        <v>0.95550000000000013</v>
      </c>
      <c r="I21">
        <f>IFERROR(VLOOKUP(all_lmics181920[[Setting]:[Setting]],prev[],3,FALSE),VLOOKUP(all_lmics181920[[who_choice_region]:[who_choice_region]],missing[],2,FALSE))</f>
        <v>4.1444892127893984E-3</v>
      </c>
      <c r="J21">
        <f>IFERROR(VLOOKUP(all_lmics181920[[Setting]:[Setting]],prev[],4,FALSE),VLOOKUP(all_lmics181920[[who_choice_region]:[who_choice_region]],missing[],3,FALSE))</f>
        <v>2.6055266579680684E-3</v>
      </c>
      <c r="K21">
        <f>IFERROR(VLOOKUP(all_lmics181920[[Setting]:[Setting]],prev[],5,FALSE),VLOOKUP(all_lmics181920[[who_choice_region]:[who_choice_region]],missing[],4,FALSE))</f>
        <v>7.7002555713058798E-3</v>
      </c>
      <c r="L21">
        <f>IFERROR(VLOOKUP(all_lmics181920[[Setting]:[Setting]],prev[],7,FALSE),VLOOKUP(all_lmics181920[[who_choice_region]:[who_choice_region]],missing[],5,FALSE))</f>
        <v>1.8146552860433664E-3</v>
      </c>
      <c r="M21">
        <f>IFERROR(VLOOKUP(all_lmics181920[[Setting]:[Setting]],prev[],6,FALSE),0)</f>
        <v>0</v>
      </c>
      <c r="N21">
        <f>MIN(IFERROR(VLOOKUP(all_lmics181920[[Setting]:[Setting]],SBA[],4,FALSE),VLOOKUP(all_lmics181920[[who_choice_region]:[who_choice_region]],missing[],6,FALSE))*1.05, 0.9999)</f>
        <v>0.99990000000000001</v>
      </c>
      <c r="O21">
        <f>MIN(IFERROR(VLOOKUP(all_lmics181920[[Setting]:[Setting]], facility[], 3,FALSE),VLOOKUP(all_lmics181920[[who_choice_region]:[who_choice_region]],missing[],7,FALSE))*1.05, 0.9999)</f>
        <v>0.99990000000000001</v>
      </c>
      <c r="P21">
        <f>IF(VLOOKUP(all_lmics181920[[Setting]:[Setting]],all_cause_mort[],4,FALSE)="",VLOOKUP(all_lmics181920[[who_choice_region]:[who_choice_region]],missing[],8,FALSE),VLOOKUP(all_lmics181920[[Setting]:[Setting]],all_cause_mort[],4,FALSE))*1.05</f>
        <v>1.4961379891572655E-2</v>
      </c>
      <c r="Q21">
        <f>IF(VLOOKUP(all_lmics181920[[Setting]:[Setting]],all_cause_mort[],5,FALSE)="",VLOOKUP(all_lmics181920[[who_choice_region]:[who_choice_region]],missing[],9,FALSE),VLOOKUP(all_lmics181920[[Setting]:[Setting]],all_cause_mort[],5,FALSE))*1.05</f>
        <v>6.5162655751651894E-4</v>
      </c>
      <c r="R21">
        <f>IF(VLOOKUP(all_lmics181920[[Setting]:[Setting]],all_cause_mort[],6,FALSE)="",VLOOKUP(all_lmics181920[[who_choice_region]:[who_choice_region]],missing[],10,FALSE),VLOOKUP(all_lmics181920[[Setting]:[Setting]],all_cause_mort[],6,FALSE))*1.05</f>
        <v>2.8521823651640445E-4</v>
      </c>
      <c r="S21">
        <f>IF(VLOOKUP(all_lmics181920[[Setting]:[Setting]],all_cause_mort[],7,FALSE)="",VLOOKUP(all_lmics181920[[who_choice_region]:[who_choice_region]],missing[],11,FALSE),VLOOKUP(all_lmics181920[[Setting]:[Setting]],all_cause_mort[],7,FALSE))*1.05</f>
        <v>3.5663463619037473E-4</v>
      </c>
      <c r="T21">
        <f>IF(VLOOKUP(all_lmics181920[[Setting]:[Setting]],all_cause_mort[],8,FALSE)="",VLOOKUP(all_lmics181920[[who_choice_region]:[who_choice_region]],missing[],12,FALSE),VLOOKUP(all_lmics181920[[Setting]:[Setting]],all_cause_mort[],8,FALSE))*1.05</f>
        <v>9.9997351989013087E-4</v>
      </c>
      <c r="U21">
        <f>IF(VLOOKUP(all_lmics181920[[Setting]:[Setting]],all_cause_mort[],9,FALSE)="",VLOOKUP(all_lmics181920[[who_choice_region]:[who_choice_region]],missing[],13,FALSE),VLOOKUP(all_lmics181920[[Setting]:[Setting]],all_cause_mort[],9,FALSE))*1.05</f>
        <v>1.5813776400130496E-3</v>
      </c>
      <c r="V21">
        <f>IF(VLOOKUP(all_lmics181920[[Setting]:[Setting]],all_cause_mort[],10,FALSE)="",VLOOKUP(all_lmics181920[[who_choice_region]:[who_choice_region]],missing[],14,FALSE),VLOOKUP(all_lmics181920[[Setting]:[Setting]],all_cause_mort[],10,FALSE))*1.05</f>
        <v>1.6995682135631936E-3</v>
      </c>
      <c r="W21">
        <f>IF(VLOOKUP(all_lmics181920[[Setting]:[Setting]],all_cause_mort[],11,FALSE)="",VLOOKUP(all_lmics181920[[who_choice_region]:[who_choice_region]],missing[],15,FALSE),VLOOKUP(all_lmics181920[[Setting]:[Setting]],all_cause_mort[],11,FALSE))*1.05</f>
        <v>1.8986191739185471E-3</v>
      </c>
      <c r="X21">
        <f>IF(VLOOKUP(all_lmics181920[[Setting]:[Setting]],all_cause_mort[],12,FALSE)="",VLOOKUP(all_lmics181920[[who_choice_region]:[who_choice_region]],missing[],16,FALSE),VLOOKUP(all_lmics181920[[Setting]:[Setting]],all_cause_mort[],12,FALSE))*1.05</f>
        <v>2.2639386191328644E-3</v>
      </c>
      <c r="Y21">
        <f>IF(VLOOKUP(all_lmics181920[[Setting]:[Setting]],all_cause_mort[],13,FALSE)="",VLOOKUP(all_lmics181920[[who_choice_region]:[who_choice_region]],missing[],17,FALSE),VLOOKUP(all_lmics181920[[Setting]:[Setting]],all_cause_mort[],13,FALSE))*1.05</f>
        <v>2.9182338019700781E-3</v>
      </c>
      <c r="Z21">
        <f>IF(VLOOKUP(all_lmics181920[[Setting]:[Setting]],all_cause_mort[],14,FALSE)="",VLOOKUP(all_lmics181920[[who_choice_region]:[who_choice_region]],missing[],18,FALSE),VLOOKUP(all_lmics181920[[Setting]:[Setting]],all_cause_mort[],14,FALSE))*1.05</f>
        <v>4.1641315968744281E-3</v>
      </c>
      <c r="AA21">
        <f>IF(VLOOKUP(all_lmics181920[[Setting]:[Setting]],all_cause_mort[],15,FALSE)="",VLOOKUP(all_lmics181920[[who_choice_region]:[who_choice_region]],missing[],19,FALSE),VLOOKUP(all_lmics181920[[Setting]:[Setting]],all_cause_mort[],15,FALSE))*1.05</f>
        <v>6.1440276019705566E-3</v>
      </c>
      <c r="AB21">
        <f>IF(VLOOKUP(all_lmics181920[[Setting]:[Setting]],all_cause_mort[],16,FALSE)="",VLOOKUP(all_lmics181920[[who_choice_region]:[who_choice_region]],missing[],20,FALSE),VLOOKUP(all_lmics181920[[Setting]:[Setting]],all_cause_mort[],16,FALSE))*1.05</f>
        <v>9.0903256450234303E-3</v>
      </c>
      <c r="AC21">
        <f>IF(VLOOKUP(all_lmics181920[[Setting]:[Setting]],all_cause_mort[],17,FALSE)="",VLOOKUP(all_lmics181920[[who_choice_region]:[who_choice_region]],missing[],21,FALSE),VLOOKUP(all_lmics181920[[Setting]:[Setting]],all_cause_mort[],17,FALSE))*1.05</f>
        <v>1.3771622778034663E-2</v>
      </c>
      <c r="AD21">
        <f>IF(VLOOKUP(all_lmics181920[[Setting]:[Setting]],all_cause_mort[],18,FALSE)="",VLOOKUP(all_lmics181920[[who_choice_region]:[who_choice_region]],missing[],22,FALSE),VLOOKUP(all_lmics181920[[Setting]:[Setting]],all_cause_mort[],18,FALSE))*1.05</f>
        <v>2.1069290297295019E-2</v>
      </c>
      <c r="AE21">
        <f>IF(VLOOKUP(all_lmics181920[[Setting]:[Setting]],all_cause_mort[],19,FALSE)="",VLOOKUP(all_lmics181920[[who_choice_region]:[who_choice_region]],missing[],23,FALSE),VLOOKUP(all_lmics181920[[Setting]:[Setting]],all_cause_mort[],19,FALSE))*1.05</f>
        <v>3.152540566625036E-2</v>
      </c>
      <c r="AF21">
        <f>IF(VLOOKUP(all_lmics181920[[Setting]:[Setting]],all_cause_mort[],20,FALSE)="",VLOOKUP(all_lmics181920[[who_choice_region]:[who_choice_region]],missing[],24,FALSE),VLOOKUP(all_lmics181920[[Setting]:[Setting]],all_cause_mort[],20,FALSE))*1.05</f>
        <v>4.8465934181628562E-2</v>
      </c>
      <c r="AG21">
        <f>IF(VLOOKUP(all_lmics181920[[Setting]:[Setting]],all_cause_mort[],21,FALSE)="",VLOOKUP(all_lmics181920[[who_choice_region]:[who_choice_region]],missing[],25,FALSE),VLOOKUP(all_lmics181920[[Setting]:[Setting]],all_cause_mort[],21,FALSE))*1.05</f>
        <v>7.4475329506083834E-2</v>
      </c>
      <c r="AH21">
        <f>IF(VLOOKUP(all_lmics181920[[Setting]:[Setting]],all_cause_mort[],22,FALSE)="",VLOOKUP(all_lmics181920[[who_choice_region]:[who_choice_region]],missing[],26,FALSE),VLOOKUP(all_lmics181920[[Setting]:[Setting]],all_cause_mort[],22,FALSE))*1.05</f>
        <v>0.11516055335608529</v>
      </c>
      <c r="AI21">
        <f>IF(VLOOKUP(all_lmics181920[[Setting]:[Setting]],all_cause_mort[],23,FALSE)="",VLOOKUP(all_lmics181920[[who_choice_region]:[who_choice_region]],missing[],27,FALSE),VLOOKUP(all_lmics181920[[Setting]:[Setting]],all_cause_mort[],23,FALSE))*1.05</f>
        <v>0.16931149110753319</v>
      </c>
      <c r="AJ21">
        <f>IF(VLOOKUP(all_lmics181920[[Setting]:[Setting]],all_cause_mort[],24,FALSE)="",VLOOKUP(all_lmics181920[[who_choice_region]:[who_choice_region]],missing[],28,FALSE),VLOOKUP(all_lmics181920[[Setting]:[Setting]],all_cause_mort[],24,FALSE))*1.05</f>
        <v>0.26304153818720588</v>
      </c>
      <c r="AK21">
        <f>IF(VLOOKUP(all_lmics181920[[Setting]:[Setting]],all_cause_mort[],25,FALSE)="",VLOOKUP(all_lmics181920[[who_choice_region]:[who_choice_region]],missing[],29,FALSE),VLOOKUP(all_lmics181920[[Setting]:[Setting]],all_cause_mort[],25,FALSE))*1.05</f>
        <v>0.40554165079159976</v>
      </c>
      <c r="AL21">
        <f>VLOOKUP(all_lmics181920[[worldbank_region]:[worldbank_region]],Table13[],2,FALSE)*1.05</f>
        <v>91.202986349999989</v>
      </c>
      <c r="AM21">
        <f>VLOOKUP(all_lmics181920[[worldbank_region]:[worldbank_region]],Table13[],3,FALSE)*1.05</f>
        <v>91.202986349999989</v>
      </c>
      <c r="AN21">
        <f>VLOOKUP(all_lmics181920[[worldbank_region]:[worldbank_region]],Table13[],4,FALSE)*1.05</f>
        <v>141.31828934999999</v>
      </c>
      <c r="AO21">
        <f>VLOOKUP(all_lmics181920[[worldbank_region]:[worldbank_region]],Table13[],5,FALSE)*1.05</f>
        <v>141.31828934999999</v>
      </c>
      <c r="AP21">
        <f>VLOOKUP(all_lmics181920[[worldbank_region]:[worldbank_region]],Table13[],6,FALSE)*1.05</f>
        <v>141.31828934999999</v>
      </c>
      <c r="AQ21">
        <f>VLOOKUP(all_lmics181920[[worldbank_region]:[worldbank_region]],Table14[],2,FALSE)*1.05</f>
        <v>1.5903741</v>
      </c>
      <c r="AR21">
        <f>VLOOKUP(all_lmics181920[[worldbank_region]:[worldbank_region]],Table14[],3,FALSE)*1.05</f>
        <v>2.2387491000000002</v>
      </c>
      <c r="AS21">
        <f>VLOOKUP(all_lmics181920[[worldbank_region]:[worldbank_region]],Table14[],4,FALSE)*1.05</f>
        <v>1.6132578000000002</v>
      </c>
      <c r="AT21">
        <f>VLOOKUP(all_lmics181920[[worldbank_region]:[worldbank_region]],Table14[],5,FALSE)*1.05</f>
        <v>2.2616328000000001</v>
      </c>
      <c r="AU21">
        <f>VLOOKUP(all_lmics181920[[worldbank_region]:[worldbank_region]],Table14[],6,FALSE)*1.05</f>
        <v>2.8603974000000001</v>
      </c>
      <c r="AV21">
        <f>MIN(IFERROR(VLOOKUP(all_lmics181920[[Setting]:[Setting]],nFacSBA[],4,FALSE),VLOOKUP(all_lmics181920[[who_choice_region]:[who_choice_region]],missing[],30,FALSE))*1.05, 0.9999)</f>
        <v>0.21428754022970595</v>
      </c>
      <c r="AW21">
        <f>VLOOKUP(all_lmics181920[[worldbank_region]:[worldbank_region]],hbe[],4)</f>
        <v>0.5</v>
      </c>
      <c r="AX21">
        <f>VLOOKUP(all_lmics181920[[worldbank_region]:[worldbank_region]],hbe[],7)</f>
        <v>1</v>
      </c>
      <c r="AY21">
        <f>VLOOKUP(all_lmics181920[[worldbank_region]:[worldbank_region]],hbe[],10)</f>
        <v>0.25</v>
      </c>
    </row>
    <row r="22" spans="1:51" x14ac:dyDescent="0.35">
      <c r="A22" s="12" t="s">
        <v>81</v>
      </c>
      <c r="B22" s="13" t="s">
        <v>22</v>
      </c>
      <c r="C22" s="14" t="s">
        <v>383</v>
      </c>
      <c r="D22">
        <f>VLOOKUP(all_lmics181920[[Setting]:[Setting]],populations[],9,FALSE)</f>
        <v>10766998</v>
      </c>
      <c r="E22">
        <f>VLOOKUP(all_lmics181920[[Setting]:[Setting]],birthrate[],3,FALSE)</f>
        <v>2.017E-2</v>
      </c>
      <c r="F22">
        <f>all_lmics181920[[#This Row],[2017_population]]*all_lmics181920[[#This Row],[2016_birthrate]]</f>
        <v>217170.34966000001</v>
      </c>
      <c r="G22">
        <f>MIN(VLOOKUP(all_lmics181920[[Setting]:[Setting]],birthdose[],4,FALSE)*1.05,0.9999)</f>
        <v>0.70350000000000013</v>
      </c>
      <c r="H22">
        <f>MIN(VLOOKUP(all_lmics181920[[Setting]:[Setting]],fullvax[],4,FALSE)*1.05,0.9999)</f>
        <v>0.85050000000000014</v>
      </c>
      <c r="I22">
        <f>IFERROR(VLOOKUP(all_lmics181920[[Setting]:[Setting]],prev[],3,FALSE),VLOOKUP(all_lmics181920[[who_choice_region]:[who_choice_region]],missing[],2,FALSE))</f>
        <v>1.7000000000000001E-2</v>
      </c>
      <c r="J22">
        <f>IFERROR(VLOOKUP(all_lmics181920[[Setting]:[Setting]],prev[],4,FALSE),VLOOKUP(all_lmics181920[[who_choice_region]:[who_choice_region]],missing[],3,FALSE))</f>
        <v>1.0999999999999999E-2</v>
      </c>
      <c r="K22">
        <f>IFERROR(VLOOKUP(all_lmics181920[[Setting]:[Setting]],prev[],5,FALSE),VLOOKUP(all_lmics181920[[who_choice_region]:[who_choice_region]],missing[],4,FALSE))</f>
        <v>0.02</v>
      </c>
      <c r="L22">
        <f>IFERROR(VLOOKUP(all_lmics181920[[Setting]:[Setting]],prev[],7,FALSE),VLOOKUP(all_lmics181920[[who_choice_region]:[who_choice_region]],missing[],5,FALSE))</f>
        <v>1.5306122448979589E-3</v>
      </c>
      <c r="M22">
        <f>IFERROR(VLOOKUP(all_lmics181920[[Setting]:[Setting]],prev[],6,FALSE),0)</f>
        <v>10766998</v>
      </c>
      <c r="N22">
        <f>MIN(IFERROR(VLOOKUP(all_lmics181920[[Setting]:[Setting]],SBA[],4,FALSE),VLOOKUP(all_lmics181920[[who_choice_region]:[who_choice_region]],missing[],6,FALSE))*1.05, 0.9999)</f>
        <v>0.99990000000000001</v>
      </c>
      <c r="O22">
        <f>MIN(IFERROR(VLOOKUP(all_lmics181920[[Setting]:[Setting]], facility[], 3,FALSE),VLOOKUP(all_lmics181920[[who_choice_region]:[who_choice_region]],missing[],7,FALSE))*1.05, 0.9999)</f>
        <v>0.99990000000000001</v>
      </c>
      <c r="P22">
        <f>IF(VLOOKUP(all_lmics181920[[Setting]:[Setting]],all_cause_mort[],4,FALSE)="",VLOOKUP(all_lmics181920[[who_choice_region]:[who_choice_region]],missing[],8,FALSE),VLOOKUP(all_lmics181920[[Setting]:[Setting]],all_cause_mort[],4,FALSE))*1.05</f>
        <v>2.7787389000000003E-2</v>
      </c>
      <c r="Q22">
        <f>IF(VLOOKUP(all_lmics181920[[Setting]:[Setting]],all_cause_mort[],5,FALSE)="",VLOOKUP(all_lmics181920[[who_choice_region]:[who_choice_region]],missing[],9,FALSE),VLOOKUP(all_lmics181920[[Setting]:[Setting]],all_cause_mort[],5,FALSE))*1.05</f>
        <v>8.1380972400000012E-4</v>
      </c>
      <c r="R22">
        <f>IF(VLOOKUP(all_lmics181920[[Setting]:[Setting]],all_cause_mort[],6,FALSE)="",VLOOKUP(all_lmics181920[[who_choice_region]:[who_choice_region]],missing[],10,FALSE),VLOOKUP(all_lmics181920[[Setting]:[Setting]],all_cause_mort[],6,FALSE))*1.05</f>
        <v>3.9083301600000003E-4</v>
      </c>
      <c r="S22">
        <f>IF(VLOOKUP(all_lmics181920[[Setting]:[Setting]],all_cause_mort[],7,FALSE)="",VLOOKUP(all_lmics181920[[who_choice_region]:[who_choice_region]],missing[],11,FALSE),VLOOKUP(all_lmics181920[[Setting]:[Setting]],all_cause_mort[],7,FALSE))*1.05</f>
        <v>3.9164466600000001E-4</v>
      </c>
      <c r="T22">
        <f>IF(VLOOKUP(all_lmics181920[[Setting]:[Setting]],all_cause_mort[],8,FALSE)="",VLOOKUP(all_lmics181920[[who_choice_region]:[who_choice_region]],missing[],12,FALSE),VLOOKUP(all_lmics181920[[Setting]:[Setting]],all_cause_mort[],8,FALSE))*1.05</f>
        <v>9.8811468000000011E-4</v>
      </c>
      <c r="U22">
        <f>IF(VLOOKUP(all_lmics181920[[Setting]:[Setting]],all_cause_mort[],9,FALSE)="",VLOOKUP(all_lmics181920[[who_choice_region]:[who_choice_region]],missing[],13,FALSE),VLOOKUP(all_lmics181920[[Setting]:[Setting]],all_cause_mort[],9,FALSE))*1.05</f>
        <v>1.7493466200000001E-3</v>
      </c>
      <c r="V22">
        <f>IF(VLOOKUP(all_lmics181920[[Setting]:[Setting]],all_cause_mort[],10,FALSE)="",VLOOKUP(all_lmics181920[[who_choice_region]:[who_choice_region]],missing[],14,FALSE),VLOOKUP(all_lmics181920[[Setting]:[Setting]],all_cause_mort[],10,FALSE))*1.05</f>
        <v>2.2152682650000001E-3</v>
      </c>
      <c r="W22">
        <f>IF(VLOOKUP(all_lmics181920[[Setting]:[Setting]],all_cause_mort[],11,FALSE)="",VLOOKUP(all_lmics181920[[who_choice_region]:[who_choice_region]],missing[],15,FALSE),VLOOKUP(all_lmics181920[[Setting]:[Setting]],all_cause_mort[],11,FALSE))*1.05</f>
        <v>2.7040678350000002E-3</v>
      </c>
      <c r="X22">
        <f>IF(VLOOKUP(all_lmics181920[[Setting]:[Setting]],all_cause_mort[],12,FALSE)="",VLOOKUP(all_lmics181920[[who_choice_region]:[who_choice_region]],missing[],16,FALSE),VLOOKUP(all_lmics181920[[Setting]:[Setting]],all_cause_mort[],12,FALSE))*1.05</f>
        <v>3.00559224E-3</v>
      </c>
      <c r="Y22">
        <f>IF(VLOOKUP(all_lmics181920[[Setting]:[Setting]],all_cause_mort[],13,FALSE)="",VLOOKUP(all_lmics181920[[who_choice_region]:[who_choice_region]],missing[],17,FALSE),VLOOKUP(all_lmics181920[[Setting]:[Setting]],all_cause_mort[],13,FALSE))*1.05</f>
        <v>3.7824468150000003E-3</v>
      </c>
      <c r="Z22">
        <f>IF(VLOOKUP(all_lmics181920[[Setting]:[Setting]],all_cause_mort[],14,FALSE)="",VLOOKUP(all_lmics181920[[who_choice_region]:[who_choice_region]],missing[],18,FALSE),VLOOKUP(all_lmics181920[[Setting]:[Setting]],all_cause_mort[],14,FALSE))*1.05</f>
        <v>5.0614991700000007E-3</v>
      </c>
      <c r="AA22">
        <f>IF(VLOOKUP(all_lmics181920[[Setting]:[Setting]],all_cause_mort[],15,FALSE)="",VLOOKUP(all_lmics181920[[who_choice_region]:[who_choice_region]],missing[],19,FALSE),VLOOKUP(all_lmics181920[[Setting]:[Setting]],all_cause_mort[],15,FALSE))*1.05</f>
        <v>6.7248745200000001E-3</v>
      </c>
      <c r="AB22">
        <f>IF(VLOOKUP(all_lmics181920[[Setting]:[Setting]],all_cause_mort[],16,FALSE)="",VLOOKUP(all_lmics181920[[who_choice_region]:[who_choice_region]],missing[],20,FALSE),VLOOKUP(all_lmics181920[[Setting]:[Setting]],all_cause_mort[],16,FALSE))*1.05</f>
        <v>9.8184325050000004E-3</v>
      </c>
      <c r="AC22">
        <f>IF(VLOOKUP(all_lmics181920[[Setting]:[Setting]],all_cause_mort[],17,FALSE)="",VLOOKUP(all_lmics181920[[who_choice_region]:[who_choice_region]],missing[],21,FALSE),VLOOKUP(all_lmics181920[[Setting]:[Setting]],all_cause_mort[],17,FALSE))*1.05</f>
        <v>1.4638046850000001E-2</v>
      </c>
      <c r="AD22">
        <f>IF(VLOOKUP(all_lmics181920[[Setting]:[Setting]],all_cause_mort[],18,FALSE)="",VLOOKUP(all_lmics181920[[who_choice_region]:[who_choice_region]],missing[],22,FALSE),VLOOKUP(all_lmics181920[[Setting]:[Setting]],all_cause_mort[],18,FALSE))*1.05</f>
        <v>2.1892987199999998E-2</v>
      </c>
      <c r="AE22">
        <f>IF(VLOOKUP(all_lmics181920[[Setting]:[Setting]],all_cause_mort[],19,FALSE)="",VLOOKUP(all_lmics181920[[who_choice_region]:[who_choice_region]],missing[],23,FALSE),VLOOKUP(all_lmics181920[[Setting]:[Setting]],all_cause_mort[],19,FALSE))*1.05</f>
        <v>3.2489909550000001E-2</v>
      </c>
      <c r="AF22">
        <f>IF(VLOOKUP(all_lmics181920[[Setting]:[Setting]],all_cause_mort[],20,FALSE)="",VLOOKUP(all_lmics181920[[who_choice_region]:[who_choice_region]],missing[],24,FALSE),VLOOKUP(all_lmics181920[[Setting]:[Setting]],all_cause_mort[],20,FALSE))*1.05</f>
        <v>4.8825187950000001E-2</v>
      </c>
      <c r="AG22">
        <f>IF(VLOOKUP(all_lmics181920[[Setting]:[Setting]],all_cause_mort[],21,FALSE)="",VLOOKUP(all_lmics181920[[who_choice_region]:[who_choice_region]],missing[],25,FALSE),VLOOKUP(all_lmics181920[[Setting]:[Setting]],all_cause_mort[],21,FALSE))*1.05</f>
        <v>7.08328446E-2</v>
      </c>
      <c r="AH22">
        <f>IF(VLOOKUP(all_lmics181920[[Setting]:[Setting]],all_cause_mort[],22,FALSE)="",VLOOKUP(all_lmics181920[[who_choice_region]:[who_choice_region]],missing[],26,FALSE),VLOOKUP(all_lmics181920[[Setting]:[Setting]],all_cause_mort[],22,FALSE))*1.05</f>
        <v>9.9419316150000006E-2</v>
      </c>
      <c r="AI22">
        <f>IF(VLOOKUP(all_lmics181920[[Setting]:[Setting]],all_cause_mort[],23,FALSE)="",VLOOKUP(all_lmics181920[[who_choice_region]:[who_choice_region]],missing[],27,FALSE),VLOOKUP(all_lmics181920[[Setting]:[Setting]],all_cause_mort[],23,FALSE))*1.05</f>
        <v>0.13485482850000002</v>
      </c>
      <c r="AJ22">
        <f>IF(VLOOKUP(all_lmics181920[[Setting]:[Setting]],all_cause_mort[],24,FALSE)="",VLOOKUP(all_lmics181920[[who_choice_region]:[who_choice_region]],missing[],28,FALSE),VLOOKUP(all_lmics181920[[Setting]:[Setting]],all_cause_mort[],24,FALSE))*1.05</f>
        <v>0.1764263445</v>
      </c>
      <c r="AK22">
        <f>IF(VLOOKUP(all_lmics181920[[Setting]:[Setting]],all_cause_mort[],25,FALSE)="",VLOOKUP(all_lmics181920[[who_choice_region]:[who_choice_region]],missing[],29,FALSE),VLOOKUP(all_lmics181920[[Setting]:[Setting]],all_cause_mort[],25,FALSE))*1.05</f>
        <v>0.24583603509086999</v>
      </c>
      <c r="AL22">
        <f>VLOOKUP(all_lmics181920[[worldbank_region]:[worldbank_region]],Table13[],2,FALSE)*1.05</f>
        <v>91.202986349999989</v>
      </c>
      <c r="AM22">
        <f>VLOOKUP(all_lmics181920[[worldbank_region]:[worldbank_region]],Table13[],3,FALSE)*1.05</f>
        <v>91.202986349999989</v>
      </c>
      <c r="AN22">
        <f>VLOOKUP(all_lmics181920[[worldbank_region]:[worldbank_region]],Table13[],4,FALSE)*1.05</f>
        <v>141.31828934999999</v>
      </c>
      <c r="AO22">
        <f>VLOOKUP(all_lmics181920[[worldbank_region]:[worldbank_region]],Table13[],5,FALSE)*1.05</f>
        <v>141.31828934999999</v>
      </c>
      <c r="AP22">
        <f>VLOOKUP(all_lmics181920[[worldbank_region]:[worldbank_region]],Table13[],6,FALSE)*1.05</f>
        <v>141.31828934999999</v>
      </c>
      <c r="AQ22">
        <f>VLOOKUP(all_lmics181920[[worldbank_region]:[worldbank_region]],Table14[],2,FALSE)*1.05</f>
        <v>1.5903741</v>
      </c>
      <c r="AR22">
        <f>VLOOKUP(all_lmics181920[[worldbank_region]:[worldbank_region]],Table14[],3,FALSE)*1.05</f>
        <v>2.2387491000000002</v>
      </c>
      <c r="AS22">
        <f>VLOOKUP(all_lmics181920[[worldbank_region]:[worldbank_region]],Table14[],4,FALSE)*1.05</f>
        <v>1.6132578000000002</v>
      </c>
      <c r="AT22">
        <f>VLOOKUP(all_lmics181920[[worldbank_region]:[worldbank_region]],Table14[],5,FALSE)*1.05</f>
        <v>2.2616328000000001</v>
      </c>
      <c r="AU22">
        <f>VLOOKUP(all_lmics181920[[worldbank_region]:[worldbank_region]],Table14[],6,FALSE)*1.05</f>
        <v>2.8603974000000001</v>
      </c>
      <c r="AV22">
        <f>MIN(IFERROR(VLOOKUP(all_lmics181920[[Setting]:[Setting]],nFacSBA[],4,FALSE),VLOOKUP(all_lmics181920[[who_choice_region]:[who_choice_region]],missing[],30,FALSE))*1.05, 0.9999)</f>
        <v>0.28130367654154209</v>
      </c>
      <c r="AW22">
        <f>VLOOKUP(all_lmics181920[[worldbank_region]:[worldbank_region]],hbe[],4)</f>
        <v>0.5</v>
      </c>
      <c r="AX22">
        <f>VLOOKUP(all_lmics181920[[worldbank_region]:[worldbank_region]],hbe[],7)</f>
        <v>1</v>
      </c>
      <c r="AY22">
        <f>VLOOKUP(all_lmics181920[[worldbank_region]:[worldbank_region]],hbe[],10)</f>
        <v>0.25</v>
      </c>
    </row>
    <row r="23" spans="1:51" x14ac:dyDescent="0.35">
      <c r="A23" s="8" t="s">
        <v>82</v>
      </c>
      <c r="B23" s="10" t="s">
        <v>46</v>
      </c>
      <c r="C23" s="11" t="s">
        <v>383</v>
      </c>
      <c r="D23">
        <f>VLOOKUP(all_lmics181920[[Setting]:[Setting]],populations[],9,FALSE)</f>
        <v>16624858</v>
      </c>
      <c r="E23">
        <f>VLOOKUP(all_lmics181920[[Setting]:[Setting]],birthrate[],3,FALSE)</f>
        <v>2.0175000000000002E-2</v>
      </c>
      <c r="F23">
        <f>all_lmics181920[[#This Row],[2017_population]]*all_lmics181920[[#This Row],[2016_birthrate]]</f>
        <v>335406.51015000005</v>
      </c>
      <c r="G23">
        <f>MIN(VLOOKUP(all_lmics181920[[Setting]:[Setting]],birthdose[],4,FALSE)*1.05,0.9999)</f>
        <v>0.78750000000000009</v>
      </c>
      <c r="H23">
        <f>MIN(VLOOKUP(all_lmics181920[[Setting]:[Setting]],fullvax[],4,FALSE)*1.05,0.9999)</f>
        <v>0.88200000000000001</v>
      </c>
      <c r="I23">
        <f>IFERROR(VLOOKUP(all_lmics181920[[Setting]:[Setting]],prev[],3,FALSE),VLOOKUP(all_lmics181920[[who_choice_region]:[who_choice_region]],missing[],2,FALSE))</f>
        <v>0.02</v>
      </c>
      <c r="J23">
        <f>IFERROR(VLOOKUP(all_lmics181920[[Setting]:[Setting]],prev[],4,FALSE),VLOOKUP(all_lmics181920[[who_choice_region]:[who_choice_region]],missing[],3,FALSE))</f>
        <v>1.0800000000000001E-2</v>
      </c>
      <c r="K23">
        <f>IFERROR(VLOOKUP(all_lmics181920[[Setting]:[Setting]],prev[],5,FALSE),VLOOKUP(all_lmics181920[[who_choice_region]:[who_choice_region]],missing[],4,FALSE))</f>
        <v>3.6799999999999999E-2</v>
      </c>
      <c r="L23">
        <f>IFERROR(VLOOKUP(all_lmics181920[[Setting]:[Setting]],prev[],7,FALSE),VLOOKUP(all_lmics181920[[who_choice_region]:[who_choice_region]],missing[],5,FALSE))</f>
        <v>8.5714285714285719E-3</v>
      </c>
      <c r="M23">
        <f>IFERROR(VLOOKUP(all_lmics181920[[Setting]:[Setting]],prev[],6,FALSE),0)</f>
        <v>14934690</v>
      </c>
      <c r="N23">
        <f>MIN(IFERROR(VLOOKUP(all_lmics181920[[Setting]:[Setting]],SBA[],4,FALSE),VLOOKUP(all_lmics181920[[who_choice_region]:[who_choice_region]],missing[],6,FALSE))*1.05, 0.9999)</f>
        <v>0.99990000000000001</v>
      </c>
      <c r="O23">
        <f>MIN(IFERROR(VLOOKUP(all_lmics181920[[Setting]:[Setting]], facility[], 3,FALSE),VLOOKUP(all_lmics181920[[who_choice_region]:[who_choice_region]],missing[],7,FALSE))*1.05, 0.9999)</f>
        <v>0.97965000000000002</v>
      </c>
      <c r="P23">
        <f>IF(VLOOKUP(all_lmics181920[[Setting]:[Setting]],all_cause_mort[],4,FALSE)="",VLOOKUP(all_lmics181920[[who_choice_region]:[who_choice_region]],missing[],8,FALSE),VLOOKUP(all_lmics181920[[Setting]:[Setting]],all_cause_mort[],4,FALSE))*1.05</f>
        <v>1.4464046100000001E-2</v>
      </c>
      <c r="Q23">
        <f>IF(VLOOKUP(all_lmics181920[[Setting]:[Setting]],all_cause_mort[],5,FALSE)="",VLOOKUP(all_lmics181920[[who_choice_region]:[who_choice_region]],missing[],9,FALSE),VLOOKUP(all_lmics181920[[Setting]:[Setting]],all_cause_mort[],5,FALSE))*1.05</f>
        <v>7.2327021900000002E-4</v>
      </c>
      <c r="R23">
        <f>IF(VLOOKUP(all_lmics181920[[Setting]:[Setting]],all_cause_mort[],6,FALSE)="",VLOOKUP(all_lmics181920[[who_choice_region]:[who_choice_region]],missing[],10,FALSE),VLOOKUP(all_lmics181920[[Setting]:[Setting]],all_cause_mort[],6,FALSE))*1.05</f>
        <v>4.1379567600000001E-4</v>
      </c>
      <c r="S23">
        <f>IF(VLOOKUP(all_lmics181920[[Setting]:[Setting]],all_cause_mort[],7,FALSE)="",VLOOKUP(all_lmics181920[[who_choice_region]:[who_choice_region]],missing[],11,FALSE),VLOOKUP(all_lmics181920[[Setting]:[Setting]],all_cause_mort[],7,FALSE))*1.05</f>
        <v>5.2062383099999994E-4</v>
      </c>
      <c r="T23">
        <f>IF(VLOOKUP(all_lmics181920[[Setting]:[Setting]],all_cause_mort[],8,FALSE)="",VLOOKUP(all_lmics181920[[who_choice_region]:[who_choice_region]],missing[],12,FALSE),VLOOKUP(all_lmics181920[[Setting]:[Setting]],all_cause_mort[],8,FALSE))*1.05</f>
        <v>1.0832436300000001E-3</v>
      </c>
      <c r="U23">
        <f>IF(VLOOKUP(all_lmics181920[[Setting]:[Setting]],all_cause_mort[],9,FALSE)="",VLOOKUP(all_lmics181920[[who_choice_region]:[who_choice_region]],missing[],13,FALSE),VLOOKUP(all_lmics181920[[Setting]:[Setting]],all_cause_mort[],9,FALSE))*1.05</f>
        <v>1.7097782100000002E-3</v>
      </c>
      <c r="V23">
        <f>IF(VLOOKUP(all_lmics181920[[Setting]:[Setting]],all_cause_mort[],10,FALSE)="",VLOOKUP(all_lmics181920[[who_choice_region]:[who_choice_region]],missing[],14,FALSE),VLOOKUP(all_lmics181920[[Setting]:[Setting]],all_cause_mort[],10,FALSE))*1.05</f>
        <v>2.0583735899999999E-3</v>
      </c>
      <c r="W23">
        <f>IF(VLOOKUP(all_lmics181920[[Setting]:[Setting]],all_cause_mort[],11,FALSE)="",VLOOKUP(all_lmics181920[[who_choice_region]:[who_choice_region]],missing[],15,FALSE),VLOOKUP(all_lmics181920[[Setting]:[Setting]],all_cause_mort[],11,FALSE))*1.05</f>
        <v>2.1363300000000001E-3</v>
      </c>
      <c r="X23">
        <f>IF(VLOOKUP(all_lmics181920[[Setting]:[Setting]],all_cause_mort[],12,FALSE)="",VLOOKUP(all_lmics181920[[who_choice_region]:[who_choice_region]],missing[],16,FALSE),VLOOKUP(all_lmics181920[[Setting]:[Setting]],all_cause_mort[],12,FALSE))*1.05</f>
        <v>2.2889719650000004E-3</v>
      </c>
      <c r="Y23">
        <f>IF(VLOOKUP(all_lmics181920[[Setting]:[Setting]],all_cause_mort[],13,FALSE)="",VLOOKUP(all_lmics181920[[who_choice_region]:[who_choice_region]],missing[],17,FALSE),VLOOKUP(all_lmics181920[[Setting]:[Setting]],all_cause_mort[],13,FALSE))*1.05</f>
        <v>2.8649642700000004E-3</v>
      </c>
      <c r="Z23">
        <f>IF(VLOOKUP(all_lmics181920[[Setting]:[Setting]],all_cause_mort[],14,FALSE)="",VLOOKUP(all_lmics181920[[who_choice_region]:[who_choice_region]],missing[],18,FALSE),VLOOKUP(all_lmics181920[[Setting]:[Setting]],all_cause_mort[],14,FALSE))*1.05</f>
        <v>3.65326353E-3</v>
      </c>
      <c r="AA23">
        <f>IF(VLOOKUP(all_lmics181920[[Setting]:[Setting]],all_cause_mort[],15,FALSE)="",VLOOKUP(all_lmics181920[[who_choice_region]:[who_choice_region]],missing[],19,FALSE),VLOOKUP(all_lmics181920[[Setting]:[Setting]],all_cause_mort[],15,FALSE))*1.05</f>
        <v>5.3450185949999998E-3</v>
      </c>
      <c r="AB23">
        <f>IF(VLOOKUP(all_lmics181920[[Setting]:[Setting]],all_cause_mort[],16,FALSE)="",VLOOKUP(all_lmics181920[[who_choice_region]:[who_choice_region]],missing[],20,FALSE),VLOOKUP(all_lmics181920[[Setting]:[Setting]],all_cause_mort[],16,FALSE))*1.05</f>
        <v>7.3201689750000002E-3</v>
      </c>
      <c r="AC23">
        <f>IF(VLOOKUP(all_lmics181920[[Setting]:[Setting]],all_cause_mort[],17,FALSE)="",VLOOKUP(all_lmics181920[[who_choice_region]:[who_choice_region]],missing[],21,FALSE),VLOOKUP(all_lmics181920[[Setting]:[Setting]],all_cause_mort[],17,FALSE))*1.05</f>
        <v>1.07240763E-2</v>
      </c>
      <c r="AD23">
        <f>IF(VLOOKUP(all_lmics181920[[Setting]:[Setting]],all_cause_mort[],18,FALSE)="",VLOOKUP(all_lmics181920[[who_choice_region]:[who_choice_region]],missing[],22,FALSE),VLOOKUP(all_lmics181920[[Setting]:[Setting]],all_cause_mort[],18,FALSE))*1.05</f>
        <v>1.517976285E-2</v>
      </c>
      <c r="AE23">
        <f>IF(VLOOKUP(all_lmics181920[[Setting]:[Setting]],all_cause_mort[],19,FALSE)="",VLOOKUP(all_lmics181920[[who_choice_region]:[who_choice_region]],missing[],23,FALSE),VLOOKUP(all_lmics181920[[Setting]:[Setting]],all_cause_mort[],19,FALSE))*1.05</f>
        <v>2.5306757700000002E-2</v>
      </c>
      <c r="AF23">
        <f>IF(VLOOKUP(all_lmics181920[[Setting]:[Setting]],all_cause_mort[],20,FALSE)="",VLOOKUP(all_lmics181920[[who_choice_region]:[who_choice_region]],missing[],24,FALSE),VLOOKUP(all_lmics181920[[Setting]:[Setting]],all_cause_mort[],20,FALSE))*1.05</f>
        <v>4.1995017750000002E-2</v>
      </c>
      <c r="AG23">
        <f>IF(VLOOKUP(all_lmics181920[[Setting]:[Setting]],all_cause_mort[],21,FALSE)="",VLOOKUP(all_lmics181920[[who_choice_region]:[who_choice_region]],missing[],25,FALSE),VLOOKUP(all_lmics181920[[Setting]:[Setting]],all_cause_mort[],21,FALSE))*1.05</f>
        <v>6.7941766200000003E-2</v>
      </c>
      <c r="AH23">
        <f>IF(VLOOKUP(all_lmics181920[[Setting]:[Setting]],all_cause_mort[],22,FALSE)="",VLOOKUP(all_lmics181920[[who_choice_region]:[who_choice_region]],missing[],26,FALSE),VLOOKUP(all_lmics181920[[Setting]:[Setting]],all_cause_mort[],22,FALSE))*1.05</f>
        <v>0.11410017150000001</v>
      </c>
      <c r="AI23">
        <f>IF(VLOOKUP(all_lmics181920[[Setting]:[Setting]],all_cause_mort[],23,FALSE)="",VLOOKUP(all_lmics181920[[who_choice_region]:[who_choice_region]],missing[],27,FALSE),VLOOKUP(all_lmics181920[[Setting]:[Setting]],all_cause_mort[],23,FALSE))*1.05</f>
        <v>0.161147973</v>
      </c>
      <c r="AJ23">
        <f>IF(VLOOKUP(all_lmics181920[[Setting]:[Setting]],all_cause_mort[],24,FALSE)="",VLOOKUP(all_lmics181920[[who_choice_region]:[who_choice_region]],missing[],28,FALSE),VLOOKUP(all_lmics181920[[Setting]:[Setting]],all_cause_mort[],24,FALSE))*1.05</f>
        <v>0.24228212400000002</v>
      </c>
      <c r="AK23">
        <f>IF(VLOOKUP(all_lmics181920[[Setting]:[Setting]],all_cause_mort[],25,FALSE)="",VLOOKUP(all_lmics181920[[who_choice_region]:[who_choice_region]],missing[],29,FALSE),VLOOKUP(all_lmics181920[[Setting]:[Setting]],all_cause_mort[],25,FALSE))*1.05</f>
        <v>0.33118554774399256</v>
      </c>
      <c r="AL23">
        <f>VLOOKUP(all_lmics181920[[worldbank_region]:[worldbank_region]],Table13[],2,FALSE)*1.05</f>
        <v>91.202986349999989</v>
      </c>
      <c r="AM23">
        <f>VLOOKUP(all_lmics181920[[worldbank_region]:[worldbank_region]],Table13[],3,FALSE)*1.05</f>
        <v>91.202986349999989</v>
      </c>
      <c r="AN23">
        <f>VLOOKUP(all_lmics181920[[worldbank_region]:[worldbank_region]],Table13[],4,FALSE)*1.05</f>
        <v>141.31828934999999</v>
      </c>
      <c r="AO23">
        <f>VLOOKUP(all_lmics181920[[worldbank_region]:[worldbank_region]],Table13[],5,FALSE)*1.05</f>
        <v>141.31828934999999</v>
      </c>
      <c r="AP23">
        <f>VLOOKUP(all_lmics181920[[worldbank_region]:[worldbank_region]],Table13[],6,FALSE)*1.05</f>
        <v>141.31828934999999</v>
      </c>
      <c r="AQ23">
        <f>VLOOKUP(all_lmics181920[[worldbank_region]:[worldbank_region]],Table14[],2,FALSE)*1.05</f>
        <v>1.5903741</v>
      </c>
      <c r="AR23">
        <f>VLOOKUP(all_lmics181920[[worldbank_region]:[worldbank_region]],Table14[],3,FALSE)*1.05</f>
        <v>2.2387491000000002</v>
      </c>
      <c r="AS23">
        <f>VLOOKUP(all_lmics181920[[worldbank_region]:[worldbank_region]],Table14[],4,FALSE)*1.05</f>
        <v>1.6132578000000002</v>
      </c>
      <c r="AT23">
        <f>VLOOKUP(all_lmics181920[[worldbank_region]:[worldbank_region]],Table14[],5,FALSE)*1.05</f>
        <v>2.2616328000000001</v>
      </c>
      <c r="AU23">
        <f>VLOOKUP(all_lmics181920[[worldbank_region]:[worldbank_region]],Table14[],6,FALSE)*1.05</f>
        <v>2.8603974000000001</v>
      </c>
      <c r="AV23">
        <f>MIN(IFERROR(VLOOKUP(all_lmics181920[[Setting]:[Setting]],nFacSBA[],4,FALSE),VLOOKUP(all_lmics181920[[who_choice_region]:[who_choice_region]],missing[],30,FALSE))*1.05, 0.9999)</f>
        <v>0.10030642155480819</v>
      </c>
      <c r="AW23">
        <f>VLOOKUP(all_lmics181920[[worldbank_region]:[worldbank_region]],hbe[],4)</f>
        <v>0.5</v>
      </c>
      <c r="AX23">
        <f>VLOOKUP(all_lmics181920[[worldbank_region]:[worldbank_region]],hbe[],7)</f>
        <v>1</v>
      </c>
      <c r="AY23">
        <f>VLOOKUP(all_lmics181920[[worldbank_region]:[worldbank_region]],hbe[],10)</f>
        <v>0.25</v>
      </c>
    </row>
    <row r="24" spans="1:51" x14ac:dyDescent="0.35">
      <c r="A24" s="12" t="s">
        <v>83</v>
      </c>
      <c r="B24" s="13" t="s">
        <v>6</v>
      </c>
      <c r="C24" s="14" t="s">
        <v>7</v>
      </c>
      <c r="D24">
        <f>VLOOKUP(all_lmics181920[[Setting]:[Setting]],populations[],9,FALSE)</f>
        <v>97553151</v>
      </c>
      <c r="E24">
        <f>VLOOKUP(all_lmics181920[[Setting]:[Setting]],birthrate[],3,FALSE)</f>
        <v>2.6494E-2</v>
      </c>
      <c r="F24">
        <f>all_lmics181920[[#This Row],[2017_population]]*all_lmics181920[[#This Row],[2016_birthrate]]</f>
        <v>2584573.1825939999</v>
      </c>
      <c r="G24">
        <f>MIN(VLOOKUP(all_lmics181920[[Setting]:[Setting]],birthdose[],4,FALSE)*1.05,0.9999)</f>
        <v>0.88200000000000001</v>
      </c>
      <c r="H24">
        <f>MIN(VLOOKUP(all_lmics181920[[Setting]:[Setting]],fullvax[],4,FALSE)*1.05,0.9999)</f>
        <v>0.98699999999999999</v>
      </c>
      <c r="I24">
        <f>IFERROR(VLOOKUP(all_lmics181920[[Setting]:[Setting]],prev[],3,FALSE),VLOOKUP(all_lmics181920[[who_choice_region]:[who_choice_region]],missing[],2,FALSE))</f>
        <v>0.01</v>
      </c>
      <c r="J24">
        <f>IFERROR(VLOOKUP(all_lmics181920[[Setting]:[Setting]],prev[],4,FALSE),VLOOKUP(all_lmics181920[[who_choice_region]:[who_choice_region]],missing[],3,FALSE))</f>
        <v>8.9999999999999993E-3</v>
      </c>
      <c r="K24">
        <f>IFERROR(VLOOKUP(all_lmics181920[[Setting]:[Setting]],prev[],5,FALSE),VLOOKUP(all_lmics181920[[who_choice_region]:[who_choice_region]],missing[],4,FALSE))</f>
        <v>1.2E-2</v>
      </c>
      <c r="L24">
        <f>IFERROR(VLOOKUP(all_lmics181920[[Setting]:[Setting]],prev[],7,FALSE),VLOOKUP(all_lmics181920[[who_choice_region]:[who_choice_region]],missing[],5,FALSE))</f>
        <v>1.0204081632653062E-3</v>
      </c>
      <c r="M24">
        <f>IFERROR(VLOOKUP(all_lmics181920[[Setting]:[Setting]],prev[],6,FALSE),0)</f>
        <v>97553151</v>
      </c>
      <c r="N24">
        <f>MIN(IFERROR(VLOOKUP(all_lmics181920[[Setting]:[Setting]],SBA[],4,FALSE),VLOOKUP(all_lmics181920[[who_choice_region]:[who_choice_region]],missing[],6,FALSE))*1.05, 0.9999)</f>
        <v>0.9607500000000001</v>
      </c>
      <c r="O24">
        <f>MIN(IFERROR(VLOOKUP(all_lmics181920[[Setting]:[Setting]], facility[], 3,FALSE),VLOOKUP(all_lmics181920[[who_choice_region]:[who_choice_region]],missing[],7,FALSE))*1.05, 0.9999)</f>
        <v>0.91034999999999999</v>
      </c>
      <c r="P24">
        <f>IF(VLOOKUP(all_lmics181920[[Setting]:[Setting]],all_cause_mort[],4,FALSE)="",VLOOKUP(all_lmics181920[[who_choice_region]:[who_choice_region]],missing[],8,FALSE),VLOOKUP(all_lmics181920[[Setting]:[Setting]],all_cause_mort[],4,FALSE))*1.05</f>
        <v>1.66191207E-2</v>
      </c>
      <c r="Q24">
        <f>IF(VLOOKUP(all_lmics181920[[Setting]:[Setting]],all_cause_mort[],5,FALSE)="",VLOOKUP(all_lmics181920[[who_choice_region]:[who_choice_region]],missing[],9,FALSE),VLOOKUP(all_lmics181920[[Setting]:[Setting]],all_cause_mort[],5,FALSE))*1.05</f>
        <v>1.155939855E-3</v>
      </c>
      <c r="R24">
        <f>IF(VLOOKUP(all_lmics181920[[Setting]:[Setting]],all_cause_mort[],6,FALSE)="",VLOOKUP(all_lmics181920[[who_choice_region]:[who_choice_region]],missing[],10,FALSE),VLOOKUP(all_lmics181920[[Setting]:[Setting]],all_cause_mort[],6,FALSE))*1.05</f>
        <v>4.2255616199999999E-4</v>
      </c>
      <c r="S24">
        <f>IF(VLOOKUP(all_lmics181920[[Setting]:[Setting]],all_cause_mort[],7,FALSE)="",VLOOKUP(all_lmics181920[[who_choice_region]:[who_choice_region]],missing[],11,FALSE),VLOOKUP(all_lmics181920[[Setting]:[Setting]],all_cause_mort[],7,FALSE))*1.05</f>
        <v>3.5438850300000002E-4</v>
      </c>
      <c r="T24">
        <f>IF(VLOOKUP(all_lmics181920[[Setting]:[Setting]],all_cause_mort[],8,FALSE)="",VLOOKUP(all_lmics181920[[who_choice_region]:[who_choice_region]],missing[],12,FALSE),VLOOKUP(all_lmics181920[[Setting]:[Setting]],all_cause_mort[],8,FALSE))*1.05</f>
        <v>5.1454064550000009E-4</v>
      </c>
      <c r="U24">
        <f>IF(VLOOKUP(all_lmics181920[[Setting]:[Setting]],all_cause_mort[],9,FALSE)="",VLOOKUP(all_lmics181920[[who_choice_region]:[who_choice_region]],missing[],13,FALSE),VLOOKUP(all_lmics181920[[Setting]:[Setting]],all_cause_mort[],9,FALSE))*1.05</f>
        <v>7.7268311400000001E-4</v>
      </c>
      <c r="V24">
        <f>IF(VLOOKUP(all_lmics181920[[Setting]:[Setting]],all_cause_mort[],10,FALSE)="",VLOOKUP(all_lmics181920[[who_choice_region]:[who_choice_region]],missing[],14,FALSE),VLOOKUP(all_lmics181920[[Setting]:[Setting]],all_cause_mort[],10,FALSE))*1.05</f>
        <v>9.5410182000000004E-4</v>
      </c>
      <c r="W24">
        <f>IF(VLOOKUP(all_lmics181920[[Setting]:[Setting]],all_cause_mort[],11,FALSE)="",VLOOKUP(all_lmics181920[[who_choice_region]:[who_choice_region]],missing[],15,FALSE),VLOOKUP(all_lmics181920[[Setting]:[Setting]],all_cause_mort[],11,FALSE))*1.05</f>
        <v>1.258543965E-3</v>
      </c>
      <c r="X24">
        <f>IF(VLOOKUP(all_lmics181920[[Setting]:[Setting]],all_cause_mort[],12,FALSE)="",VLOOKUP(all_lmics181920[[who_choice_region]:[who_choice_region]],missing[],16,FALSE),VLOOKUP(all_lmics181920[[Setting]:[Setting]],all_cause_mort[],12,FALSE))*1.05</f>
        <v>1.5175297200000003E-3</v>
      </c>
      <c r="Y24">
        <f>IF(VLOOKUP(all_lmics181920[[Setting]:[Setting]],all_cause_mort[],13,FALSE)="",VLOOKUP(all_lmics181920[[who_choice_region]:[who_choice_region]],missing[],17,FALSE),VLOOKUP(all_lmics181920[[Setting]:[Setting]],all_cause_mort[],13,FALSE))*1.05</f>
        <v>2.2761731999999999E-3</v>
      </c>
      <c r="Z24">
        <f>IF(VLOOKUP(all_lmics181920[[Setting]:[Setting]],all_cause_mort[],14,FALSE)="",VLOOKUP(all_lmics181920[[who_choice_region]:[who_choice_region]],missing[],18,FALSE),VLOOKUP(all_lmics181920[[Setting]:[Setting]],all_cause_mort[],14,FALSE))*1.05</f>
        <v>4.7696054700000004E-3</v>
      </c>
      <c r="AA24">
        <f>IF(VLOOKUP(all_lmics181920[[Setting]:[Setting]],all_cause_mort[],15,FALSE)="",VLOOKUP(all_lmics181920[[who_choice_region]:[who_choice_region]],missing[],19,FALSE),VLOOKUP(all_lmics181920[[Setting]:[Setting]],all_cause_mort[],15,FALSE))*1.05</f>
        <v>8.8417293300000008E-3</v>
      </c>
      <c r="AB24">
        <f>IF(VLOOKUP(all_lmics181920[[Setting]:[Setting]],all_cause_mort[],16,FALSE)="",VLOOKUP(all_lmics181920[[who_choice_region]:[who_choice_region]],missing[],20,FALSE),VLOOKUP(all_lmics181920[[Setting]:[Setting]],all_cause_mort[],16,FALSE))*1.05</f>
        <v>1.2297118050000002E-2</v>
      </c>
      <c r="AC24">
        <f>IF(VLOOKUP(all_lmics181920[[Setting]:[Setting]],all_cause_mort[],17,FALSE)="",VLOOKUP(all_lmics181920[[who_choice_region]:[who_choice_region]],missing[],21,FALSE),VLOOKUP(all_lmics181920[[Setting]:[Setting]],all_cause_mort[],17,FALSE))*1.05</f>
        <v>2.0110840049999999E-2</v>
      </c>
      <c r="AD24">
        <f>IF(VLOOKUP(all_lmics181920[[Setting]:[Setting]],all_cause_mort[],18,FALSE)="",VLOOKUP(all_lmics181920[[who_choice_region]:[who_choice_region]],missing[],22,FALSE),VLOOKUP(all_lmics181920[[Setting]:[Setting]],all_cause_mort[],18,FALSE))*1.05</f>
        <v>3.1614891000000006E-2</v>
      </c>
      <c r="AE24">
        <f>IF(VLOOKUP(all_lmics181920[[Setting]:[Setting]],all_cause_mort[],19,FALSE)="",VLOOKUP(all_lmics181920[[who_choice_region]:[who_choice_region]],missing[],23,FALSE),VLOOKUP(all_lmics181920[[Setting]:[Setting]],all_cause_mort[],19,FALSE))*1.05</f>
        <v>5.161747815E-2</v>
      </c>
      <c r="AF24">
        <f>IF(VLOOKUP(all_lmics181920[[Setting]:[Setting]],all_cause_mort[],20,FALSE)="",VLOOKUP(all_lmics181920[[who_choice_region]:[who_choice_region]],missing[],24,FALSE),VLOOKUP(all_lmics181920[[Setting]:[Setting]],all_cause_mort[],20,FALSE))*1.05</f>
        <v>8.48856204E-2</v>
      </c>
      <c r="AG24">
        <f>IF(VLOOKUP(all_lmics181920[[Setting]:[Setting]],all_cause_mort[],21,FALSE)="",VLOOKUP(all_lmics181920[[who_choice_region]:[who_choice_region]],missing[],25,FALSE),VLOOKUP(all_lmics181920[[Setting]:[Setting]],all_cause_mort[],21,FALSE))*1.05</f>
        <v>0.13188431549999999</v>
      </c>
      <c r="AH24">
        <f>IF(VLOOKUP(all_lmics181920[[Setting]:[Setting]],all_cause_mort[],22,FALSE)="",VLOOKUP(all_lmics181920[[who_choice_region]:[who_choice_region]],missing[],26,FALSE),VLOOKUP(all_lmics181920[[Setting]:[Setting]],all_cause_mort[],22,FALSE))*1.05</f>
        <v>0.19839021300000001</v>
      </c>
      <c r="AI24">
        <f>IF(VLOOKUP(all_lmics181920[[Setting]:[Setting]],all_cause_mort[],23,FALSE)="",VLOOKUP(all_lmics181920[[who_choice_region]:[who_choice_region]],missing[],27,FALSE),VLOOKUP(all_lmics181920[[Setting]:[Setting]],all_cause_mort[],23,FALSE))*1.05</f>
        <v>0.27839779799999997</v>
      </c>
      <c r="AJ24">
        <f>IF(VLOOKUP(all_lmics181920[[Setting]:[Setting]],all_cause_mort[],24,FALSE)="",VLOOKUP(all_lmics181920[[who_choice_region]:[who_choice_region]],missing[],28,FALSE),VLOOKUP(all_lmics181920[[Setting]:[Setting]],all_cause_mort[],24,FALSE))*1.05</f>
        <v>0.38902062150000005</v>
      </c>
      <c r="AK24">
        <f>IF(VLOOKUP(all_lmics181920[[Setting]:[Setting]],all_cause_mort[],25,FALSE)="",VLOOKUP(all_lmics181920[[who_choice_region]:[who_choice_region]],missing[],29,FALSE),VLOOKUP(all_lmics181920[[Setting]:[Setting]],all_cause_mort[],25,FALSE))*1.05</f>
        <v>0.54667238954562469</v>
      </c>
      <c r="AL24">
        <f>VLOOKUP(all_lmics181920[[worldbank_region]:[worldbank_region]],Table13[],2,FALSE)*1.05</f>
        <v>60.801990899999993</v>
      </c>
      <c r="AM24">
        <f>VLOOKUP(all_lmics181920[[worldbank_region]:[worldbank_region]],Table13[],3,FALSE)*1.05</f>
        <v>60.801990899999993</v>
      </c>
      <c r="AN24">
        <f>VLOOKUP(all_lmics181920[[worldbank_region]:[worldbank_region]],Table13[],4,FALSE)*1.05</f>
        <v>110.91729389999999</v>
      </c>
      <c r="AO24">
        <f>VLOOKUP(all_lmics181920[[worldbank_region]:[worldbank_region]],Table13[],5,FALSE)*1.05</f>
        <v>110.91729389999999</v>
      </c>
      <c r="AP24">
        <f>VLOOKUP(all_lmics181920[[worldbank_region]:[worldbank_region]],Table13[],6,FALSE)*1.05</f>
        <v>110.91729389999999</v>
      </c>
      <c r="AQ24">
        <f>VLOOKUP(all_lmics181920[[worldbank_region]:[worldbank_region]],Table14[],2,FALSE)*1.05</f>
        <v>1.57893225</v>
      </c>
      <c r="AR24">
        <f>VLOOKUP(all_lmics181920[[worldbank_region]:[worldbank_region]],Table14[],3,FALSE)*1.05</f>
        <v>2.22730725</v>
      </c>
      <c r="AS24">
        <f>VLOOKUP(all_lmics181920[[worldbank_region]:[worldbank_region]],Table14[],4,FALSE)*1.05</f>
        <v>2.0823736500000001</v>
      </c>
      <c r="AT24">
        <f>VLOOKUP(all_lmics181920[[worldbank_region]:[worldbank_region]],Table14[],5,FALSE)*1.05</f>
        <v>2.7307486499999998</v>
      </c>
      <c r="AU24">
        <f>VLOOKUP(all_lmics181920[[worldbank_region]:[worldbank_region]],Table14[],6,FALSE)*1.05</f>
        <v>3.3295132499999998</v>
      </c>
      <c r="AV24">
        <f>MIN(IFERROR(VLOOKUP(all_lmics181920[[Setting]:[Setting]],nFacSBA[],4,FALSE),VLOOKUP(all_lmics181920[[who_choice_region]:[who_choice_region]],missing[],30,FALSE))*1.05, 0.9999)</f>
        <v>0.28975760838035319</v>
      </c>
      <c r="AW24">
        <f>VLOOKUP(all_lmics181920[[worldbank_region]:[worldbank_region]],hbe[],4)</f>
        <v>0.5</v>
      </c>
      <c r="AX24">
        <f>VLOOKUP(all_lmics181920[[worldbank_region]:[worldbank_region]],hbe[],7)</f>
        <v>1</v>
      </c>
      <c r="AY24">
        <f>VLOOKUP(all_lmics181920[[worldbank_region]:[worldbank_region]],hbe[],10)</f>
        <v>0.25</v>
      </c>
    </row>
    <row r="25" spans="1:51" x14ac:dyDescent="0.35">
      <c r="A25" s="8" t="s">
        <v>84</v>
      </c>
      <c r="B25" s="10" t="s">
        <v>22</v>
      </c>
      <c r="C25" s="11" t="s">
        <v>383</v>
      </c>
      <c r="D25">
        <f>VLOOKUP(all_lmics181920[[Setting]:[Setting]],populations[],9,FALSE)</f>
        <v>6377853</v>
      </c>
      <c r="E25">
        <f>VLOOKUP(all_lmics181920[[Setting]:[Setting]],birthrate[],3,FALSE)</f>
        <v>1.8537999999999999E-2</v>
      </c>
      <c r="F25">
        <f>all_lmics181920[[#This Row],[2017_population]]*all_lmics181920[[#This Row],[2016_birthrate]]</f>
        <v>118232.638914</v>
      </c>
      <c r="G25">
        <f>MIN(VLOOKUP(all_lmics181920[[Setting]:[Setting]],birthdose[],4,FALSE)*1.05,0.9999)</f>
        <v>0.84000000000000008</v>
      </c>
      <c r="H25">
        <f>MIN(VLOOKUP(all_lmics181920[[Setting]:[Setting]],fullvax[],4,FALSE)*1.05,0.9999)</f>
        <v>0.89249999999999996</v>
      </c>
      <c r="I25">
        <f>IFERROR(VLOOKUP(all_lmics181920[[Setting]:[Setting]],prev[],3,FALSE),VLOOKUP(all_lmics181920[[who_choice_region]:[who_choice_region]],missing[],2,FALSE))</f>
        <v>0.01</v>
      </c>
      <c r="J25">
        <f>IFERROR(VLOOKUP(all_lmics181920[[Setting]:[Setting]],prev[],4,FALSE),VLOOKUP(all_lmics181920[[who_choice_region]:[who_choice_region]],missing[],3,FALSE))</f>
        <v>5.0000000000000001E-3</v>
      </c>
      <c r="K25">
        <f>IFERROR(VLOOKUP(all_lmics181920[[Setting]:[Setting]],prev[],5,FALSE),VLOOKUP(all_lmics181920[[who_choice_region]:[who_choice_region]],missing[],4,FALSE))</f>
        <v>1.2E-2</v>
      </c>
      <c r="L25">
        <f>IFERROR(VLOOKUP(all_lmics181920[[Setting]:[Setting]],prev[],7,FALSE),VLOOKUP(all_lmics181920[[who_choice_region]:[who_choice_region]],missing[],5,FALSE))</f>
        <v>1.0204081632653062E-3</v>
      </c>
      <c r="M25">
        <f>IFERROR(VLOOKUP(all_lmics181920[[Setting]:[Setting]],prev[],6,FALSE),0)</f>
        <v>6377853</v>
      </c>
      <c r="N25">
        <f>MIN(IFERROR(VLOOKUP(all_lmics181920[[Setting]:[Setting]],SBA[],4,FALSE),VLOOKUP(all_lmics181920[[who_choice_region]:[who_choice_region]],missing[],6,FALSE))*1.05, 0.9999)</f>
        <v>0.99990000000000001</v>
      </c>
      <c r="O25">
        <f>MIN(IFERROR(VLOOKUP(all_lmics181920[[Setting]:[Setting]], facility[], 3,FALSE),VLOOKUP(all_lmics181920[[who_choice_region]:[who_choice_region]],missing[],7,FALSE))*1.05, 0.9999)</f>
        <v>0.99990000000000001</v>
      </c>
      <c r="P25">
        <f>IF(VLOOKUP(all_lmics181920[[Setting]:[Setting]],all_cause_mort[],4,FALSE)="",VLOOKUP(all_lmics181920[[who_choice_region]:[who_choice_region]],missing[],8,FALSE),VLOOKUP(all_lmics181920[[Setting]:[Setting]],all_cause_mort[],4,FALSE))*1.05</f>
        <v>1.5508486350000001E-2</v>
      </c>
      <c r="Q25">
        <f>IF(VLOOKUP(all_lmics181920[[Setting]:[Setting]],all_cause_mort[],5,FALSE)="",VLOOKUP(all_lmics181920[[who_choice_region]:[who_choice_region]],missing[],9,FALSE),VLOOKUP(all_lmics181920[[Setting]:[Setting]],all_cause_mort[],5,FALSE))*1.05</f>
        <v>6.1815364799999999E-4</v>
      </c>
      <c r="R25">
        <f>IF(VLOOKUP(all_lmics181920[[Setting]:[Setting]],all_cause_mort[],6,FALSE)="",VLOOKUP(all_lmics181920[[who_choice_region]:[who_choice_region]],missing[],10,FALSE),VLOOKUP(all_lmics181920[[Setting]:[Setting]],all_cause_mort[],6,FALSE))*1.05</f>
        <v>2.8747101600000002E-4</v>
      </c>
      <c r="S25">
        <f>IF(VLOOKUP(all_lmics181920[[Setting]:[Setting]],all_cause_mort[],7,FALSE)="",VLOOKUP(all_lmics181920[[who_choice_region]:[who_choice_region]],missing[],11,FALSE),VLOOKUP(all_lmics181920[[Setting]:[Setting]],all_cause_mort[],7,FALSE))*1.05</f>
        <v>5.9518362749999998E-4</v>
      </c>
      <c r="T25">
        <f>IF(VLOOKUP(all_lmics181920[[Setting]:[Setting]],all_cause_mort[],8,FALSE)="",VLOOKUP(all_lmics181920[[who_choice_region]:[who_choice_region]],missing[],12,FALSE),VLOOKUP(all_lmics181920[[Setting]:[Setting]],all_cause_mort[],8,FALSE))*1.05</f>
        <v>1.6295533800000002E-3</v>
      </c>
      <c r="U25">
        <f>IF(VLOOKUP(all_lmics181920[[Setting]:[Setting]],all_cause_mort[],9,FALSE)="",VLOOKUP(all_lmics181920[[who_choice_region]:[who_choice_region]],missing[],13,FALSE),VLOOKUP(all_lmics181920[[Setting]:[Setting]],all_cause_mort[],9,FALSE))*1.05</f>
        <v>2.7126670200000001E-3</v>
      </c>
      <c r="V25">
        <f>IF(VLOOKUP(all_lmics181920[[Setting]:[Setting]],all_cause_mort[],10,FALSE)="",VLOOKUP(all_lmics181920[[who_choice_region]:[who_choice_region]],missing[],14,FALSE),VLOOKUP(all_lmics181920[[Setting]:[Setting]],all_cause_mort[],10,FALSE))*1.05</f>
        <v>3.3789313950000001E-3</v>
      </c>
      <c r="W25">
        <f>IF(VLOOKUP(all_lmics181920[[Setting]:[Setting]],all_cause_mort[],11,FALSE)="",VLOOKUP(all_lmics181920[[who_choice_region]:[who_choice_region]],missing[],15,FALSE),VLOOKUP(all_lmics181920[[Setting]:[Setting]],all_cause_mort[],11,FALSE))*1.05</f>
        <v>3.5409146849999999E-3</v>
      </c>
      <c r="X25">
        <f>IF(VLOOKUP(all_lmics181920[[Setting]:[Setting]],all_cause_mort[],12,FALSE)="",VLOOKUP(all_lmics181920[[who_choice_region]:[who_choice_region]],missing[],16,FALSE),VLOOKUP(all_lmics181920[[Setting]:[Setting]],all_cause_mort[],12,FALSE))*1.05</f>
        <v>3.7107061950000003E-3</v>
      </c>
      <c r="Y25">
        <f>IF(VLOOKUP(all_lmics181920[[Setting]:[Setting]],all_cause_mort[],13,FALSE)="",VLOOKUP(all_lmics181920[[who_choice_region]:[who_choice_region]],missing[],17,FALSE),VLOOKUP(all_lmics181920[[Setting]:[Setting]],all_cause_mort[],13,FALSE))*1.05</f>
        <v>4.430374305E-3</v>
      </c>
      <c r="Z25">
        <f>IF(VLOOKUP(all_lmics181920[[Setting]:[Setting]],all_cause_mort[],14,FALSE)="",VLOOKUP(all_lmics181920[[who_choice_region]:[who_choice_region]],missing[],18,FALSE),VLOOKUP(all_lmics181920[[Setting]:[Setting]],all_cause_mort[],14,FALSE))*1.05</f>
        <v>5.6676623850000002E-3</v>
      </c>
      <c r="AA25">
        <f>IF(VLOOKUP(all_lmics181920[[Setting]:[Setting]],all_cause_mort[],15,FALSE)="",VLOOKUP(all_lmics181920[[who_choice_region]:[who_choice_region]],missing[],19,FALSE),VLOOKUP(all_lmics181920[[Setting]:[Setting]],all_cause_mort[],15,FALSE))*1.05</f>
        <v>7.477974315000001E-3</v>
      </c>
      <c r="AB25">
        <f>IF(VLOOKUP(all_lmics181920[[Setting]:[Setting]],all_cause_mort[],16,FALSE)="",VLOOKUP(all_lmics181920[[who_choice_region]:[who_choice_region]],missing[],20,FALSE),VLOOKUP(all_lmics181920[[Setting]:[Setting]],all_cause_mort[],16,FALSE))*1.05</f>
        <v>9.9164673300000013E-3</v>
      </c>
      <c r="AC25">
        <f>IF(VLOOKUP(all_lmics181920[[Setting]:[Setting]],all_cause_mort[],17,FALSE)="",VLOOKUP(all_lmics181920[[who_choice_region]:[who_choice_region]],missing[],21,FALSE),VLOOKUP(all_lmics181920[[Setting]:[Setting]],all_cause_mort[],17,FALSE))*1.05</f>
        <v>1.363597095E-2</v>
      </c>
      <c r="AD25">
        <f>IF(VLOOKUP(all_lmics181920[[Setting]:[Setting]],all_cause_mort[],18,FALSE)="",VLOOKUP(all_lmics181920[[who_choice_region]:[who_choice_region]],missing[],22,FALSE),VLOOKUP(all_lmics181920[[Setting]:[Setting]],all_cause_mort[],18,FALSE))*1.05</f>
        <v>1.9658617650000001E-2</v>
      </c>
      <c r="AE25">
        <f>IF(VLOOKUP(all_lmics181920[[Setting]:[Setting]],all_cause_mort[],19,FALSE)="",VLOOKUP(all_lmics181920[[who_choice_region]:[who_choice_region]],missing[],23,FALSE),VLOOKUP(all_lmics181920[[Setting]:[Setting]],all_cause_mort[],19,FALSE))*1.05</f>
        <v>2.9077428450000001E-2</v>
      </c>
      <c r="AF25">
        <f>IF(VLOOKUP(all_lmics181920[[Setting]:[Setting]],all_cause_mort[],20,FALSE)="",VLOOKUP(all_lmics181920[[who_choice_region]:[who_choice_region]],missing[],24,FALSE),VLOOKUP(all_lmics181920[[Setting]:[Setting]],all_cause_mort[],20,FALSE))*1.05</f>
        <v>4.6495496250000004E-2</v>
      </c>
      <c r="AG25">
        <f>IF(VLOOKUP(all_lmics181920[[Setting]:[Setting]],all_cause_mort[],21,FALSE)="",VLOOKUP(all_lmics181920[[who_choice_region]:[who_choice_region]],missing[],25,FALSE),VLOOKUP(all_lmics181920[[Setting]:[Setting]],all_cause_mort[],21,FALSE))*1.05</f>
        <v>8.0896056150000006E-2</v>
      </c>
      <c r="AH25">
        <f>IF(VLOOKUP(all_lmics181920[[Setting]:[Setting]],all_cause_mort[],22,FALSE)="",VLOOKUP(all_lmics181920[[who_choice_region]:[who_choice_region]],missing[],26,FALSE),VLOOKUP(all_lmics181920[[Setting]:[Setting]],all_cause_mort[],22,FALSE))*1.05</f>
        <v>0.1369049745</v>
      </c>
      <c r="AI25">
        <f>IF(VLOOKUP(all_lmics181920[[Setting]:[Setting]],all_cause_mort[],23,FALSE)="",VLOOKUP(all_lmics181920[[who_choice_region]:[who_choice_region]],missing[],27,FALSE),VLOOKUP(all_lmics181920[[Setting]:[Setting]],all_cause_mort[],23,FALSE))*1.05</f>
        <v>0.22066656150000002</v>
      </c>
      <c r="AJ25">
        <f>IF(VLOOKUP(all_lmics181920[[Setting]:[Setting]],all_cause_mort[],24,FALSE)="",VLOOKUP(all_lmics181920[[who_choice_region]:[who_choice_region]],missing[],28,FALSE),VLOOKUP(all_lmics181920[[Setting]:[Setting]],all_cause_mort[],24,FALSE))*1.05</f>
        <v>0.33830812049999998</v>
      </c>
      <c r="AK25">
        <f>IF(VLOOKUP(all_lmics181920[[Setting]:[Setting]],all_cause_mort[],25,FALSE)="",VLOOKUP(all_lmics181920[[who_choice_region]:[who_choice_region]],missing[],29,FALSE),VLOOKUP(all_lmics181920[[Setting]:[Setting]],all_cause_mort[],25,FALSE))*1.05</f>
        <v>0.48441827109458163</v>
      </c>
      <c r="AL25">
        <f>VLOOKUP(all_lmics181920[[worldbank_region]:[worldbank_region]],Table13[],2,FALSE)*1.05</f>
        <v>91.202986349999989</v>
      </c>
      <c r="AM25">
        <f>VLOOKUP(all_lmics181920[[worldbank_region]:[worldbank_region]],Table13[],3,FALSE)*1.05</f>
        <v>91.202986349999989</v>
      </c>
      <c r="AN25">
        <f>VLOOKUP(all_lmics181920[[worldbank_region]:[worldbank_region]],Table13[],4,FALSE)*1.05</f>
        <v>141.31828934999999</v>
      </c>
      <c r="AO25">
        <f>VLOOKUP(all_lmics181920[[worldbank_region]:[worldbank_region]],Table13[],5,FALSE)*1.05</f>
        <v>141.31828934999999</v>
      </c>
      <c r="AP25">
        <f>VLOOKUP(all_lmics181920[[worldbank_region]:[worldbank_region]],Table13[],6,FALSE)*1.05</f>
        <v>141.31828934999999</v>
      </c>
      <c r="AQ25">
        <f>VLOOKUP(all_lmics181920[[worldbank_region]:[worldbank_region]],Table14[],2,FALSE)*1.05</f>
        <v>1.5903741</v>
      </c>
      <c r="AR25">
        <f>VLOOKUP(all_lmics181920[[worldbank_region]:[worldbank_region]],Table14[],3,FALSE)*1.05</f>
        <v>2.2387491000000002</v>
      </c>
      <c r="AS25">
        <f>VLOOKUP(all_lmics181920[[worldbank_region]:[worldbank_region]],Table14[],4,FALSE)*1.05</f>
        <v>1.6132578000000002</v>
      </c>
      <c r="AT25">
        <f>VLOOKUP(all_lmics181920[[worldbank_region]:[worldbank_region]],Table14[],5,FALSE)*1.05</f>
        <v>2.2616328000000001</v>
      </c>
      <c r="AU25">
        <f>VLOOKUP(all_lmics181920[[worldbank_region]:[worldbank_region]],Table14[],6,FALSE)*1.05</f>
        <v>2.8603974000000001</v>
      </c>
      <c r="AV25">
        <f>MIN(IFERROR(VLOOKUP(all_lmics181920[[Setting]:[Setting]],nFacSBA[],4,FALSE),VLOOKUP(all_lmics181920[[who_choice_region]:[who_choice_region]],missing[],30,FALSE))*1.05, 0.9999)</f>
        <v>0.21428754022970595</v>
      </c>
      <c r="AW25">
        <f>VLOOKUP(all_lmics181920[[worldbank_region]:[worldbank_region]],hbe[],4)</f>
        <v>0.5</v>
      </c>
      <c r="AX25">
        <f>VLOOKUP(all_lmics181920[[worldbank_region]:[worldbank_region]],hbe[],7)</f>
        <v>1</v>
      </c>
      <c r="AY25">
        <f>VLOOKUP(all_lmics181920[[worldbank_region]:[worldbank_region]],hbe[],10)</f>
        <v>0.25</v>
      </c>
    </row>
    <row r="26" spans="1:51" x14ac:dyDescent="0.35">
      <c r="A26" s="12" t="s">
        <v>89</v>
      </c>
      <c r="B26" s="13" t="s">
        <v>57</v>
      </c>
      <c r="C26" s="14" t="s">
        <v>58</v>
      </c>
      <c r="D26">
        <f>VLOOKUP(all_lmics181920[[Setting]:[Setting]],populations[],9,FALSE)</f>
        <v>905502</v>
      </c>
      <c r="E26">
        <f>VLOOKUP(all_lmics181920[[Setting]:[Setting]],birthrate[],3,FALSE)</f>
        <v>1.9387000000000001E-2</v>
      </c>
      <c r="F26">
        <f>all_lmics181920[[#This Row],[2017_population]]*all_lmics181920[[#This Row],[2016_birthrate]]</f>
        <v>17554.967274000002</v>
      </c>
      <c r="G26">
        <f>MIN(VLOOKUP(all_lmics181920[[Setting]:[Setting]],birthdose[],4,FALSE)*1.05,0.9999)</f>
        <v>0.94500000000000006</v>
      </c>
      <c r="H26">
        <f>MIN(VLOOKUP(all_lmics181920[[Setting]:[Setting]],fullvax[],4,FALSE)*1.05,0.9999)</f>
        <v>0.99990000000000001</v>
      </c>
      <c r="I26">
        <f>IFERROR(VLOOKUP(all_lmics181920[[Setting]:[Setting]],prev[],3,FALSE),VLOOKUP(all_lmics181920[[who_choice_region]:[who_choice_region]],missing[],2,FALSE))</f>
        <v>0.02</v>
      </c>
      <c r="J26">
        <f>IFERROR(VLOOKUP(all_lmics181920[[Setting]:[Setting]],prev[],4,FALSE),VLOOKUP(all_lmics181920[[who_choice_region]:[who_choice_region]],missing[],3,FALSE))</f>
        <v>1.7999999999999999E-2</v>
      </c>
      <c r="K26">
        <f>IFERROR(VLOOKUP(all_lmics181920[[Setting]:[Setting]],prev[],5,FALSE),VLOOKUP(all_lmics181920[[who_choice_region]:[who_choice_region]],missing[],4,FALSE))</f>
        <v>2.3E-2</v>
      </c>
      <c r="L26">
        <f>IFERROR(VLOOKUP(all_lmics181920[[Setting]:[Setting]],prev[],7,FALSE),VLOOKUP(all_lmics181920[[who_choice_region]:[who_choice_region]],missing[],5,FALSE))</f>
        <v>1.5306122448979589E-3</v>
      </c>
      <c r="M26">
        <f>IFERROR(VLOOKUP(all_lmics181920[[Setting]:[Setting]],prev[],6,FALSE),0)</f>
        <v>905502</v>
      </c>
      <c r="N26">
        <f>MIN(IFERROR(VLOOKUP(all_lmics181920[[Setting]:[Setting]],SBA[],4,FALSE),VLOOKUP(all_lmics181920[[who_choice_region]:[who_choice_region]],missing[],6,FALSE))*1.05, 0.9999)</f>
        <v>0.99990000000000001</v>
      </c>
      <c r="O26">
        <f>MIN(IFERROR(VLOOKUP(all_lmics181920[[Setting]:[Setting]], facility[], 3,FALSE),VLOOKUP(all_lmics181920[[who_choice_region]:[who_choice_region]],missing[],7,FALSE))*1.05, 0.9999)</f>
        <v>0.99990000000000001</v>
      </c>
      <c r="P26">
        <f>IF(VLOOKUP(all_lmics181920[[Setting]:[Setting]],all_cause_mort[],4,FALSE)="",VLOOKUP(all_lmics181920[[who_choice_region]:[who_choice_region]],missing[],8,FALSE),VLOOKUP(all_lmics181920[[Setting]:[Setting]],all_cause_mort[],4,FALSE))*1.05</f>
        <v>2.1739051950000001E-2</v>
      </c>
      <c r="Q26">
        <f>IF(VLOOKUP(all_lmics181920[[Setting]:[Setting]],all_cause_mort[],5,FALSE)="",VLOOKUP(all_lmics181920[[who_choice_region]:[who_choice_region]],missing[],9,FALSE),VLOOKUP(all_lmics181920[[Setting]:[Setting]],all_cause_mort[],5,FALSE))*1.05</f>
        <v>1.1545236150000001E-3</v>
      </c>
      <c r="R26">
        <f>IF(VLOOKUP(all_lmics181920[[Setting]:[Setting]],all_cause_mort[],6,FALSE)="",VLOOKUP(all_lmics181920[[who_choice_region]:[who_choice_region]],missing[],10,FALSE),VLOOKUP(all_lmics181920[[Setting]:[Setting]],all_cause_mort[],6,FALSE))*1.05</f>
        <v>7.6605883199999994E-4</v>
      </c>
      <c r="S26">
        <f>IF(VLOOKUP(all_lmics181920[[Setting]:[Setting]],all_cause_mort[],7,FALSE)="",VLOOKUP(all_lmics181920[[who_choice_region]:[who_choice_region]],missing[],11,FALSE),VLOOKUP(all_lmics181920[[Setting]:[Setting]],all_cause_mort[],7,FALSE))*1.05</f>
        <v>7.1383281900000005E-4</v>
      </c>
      <c r="T26">
        <f>IF(VLOOKUP(all_lmics181920[[Setting]:[Setting]],all_cause_mort[],8,FALSE)="",VLOOKUP(all_lmics181920[[who_choice_region]:[who_choice_region]],missing[],12,FALSE),VLOOKUP(all_lmics181920[[Setting]:[Setting]],all_cause_mort[],8,FALSE))*1.05</f>
        <v>1.59996774E-3</v>
      </c>
      <c r="U26">
        <f>IF(VLOOKUP(all_lmics181920[[Setting]:[Setting]],all_cause_mort[],9,FALSE)="",VLOOKUP(all_lmics181920[[who_choice_region]:[who_choice_region]],missing[],13,FALSE),VLOOKUP(all_lmics181920[[Setting]:[Setting]],all_cause_mort[],9,FALSE))*1.05</f>
        <v>2.2759784250000002E-3</v>
      </c>
      <c r="V26">
        <f>IF(VLOOKUP(all_lmics181920[[Setting]:[Setting]],all_cause_mort[],10,FALSE)="",VLOOKUP(all_lmics181920[[who_choice_region]:[who_choice_region]],missing[],14,FALSE),VLOOKUP(all_lmics181920[[Setting]:[Setting]],all_cause_mort[],10,FALSE))*1.05</f>
        <v>2.5259046750000002E-3</v>
      </c>
      <c r="W26">
        <f>IF(VLOOKUP(all_lmics181920[[Setting]:[Setting]],all_cause_mort[],11,FALSE)="",VLOOKUP(all_lmics181920[[who_choice_region]:[who_choice_region]],missing[],15,FALSE),VLOOKUP(all_lmics181920[[Setting]:[Setting]],all_cause_mort[],11,FALSE))*1.05</f>
        <v>2.96431422E-3</v>
      </c>
      <c r="X26">
        <f>IF(VLOOKUP(all_lmics181920[[Setting]:[Setting]],all_cause_mort[],12,FALSE)="",VLOOKUP(all_lmics181920[[who_choice_region]:[who_choice_region]],missing[],16,FALSE),VLOOKUP(all_lmics181920[[Setting]:[Setting]],all_cause_mort[],12,FALSE))*1.05</f>
        <v>3.8037127800000002E-3</v>
      </c>
      <c r="Y26">
        <f>IF(VLOOKUP(all_lmics181920[[Setting]:[Setting]],all_cause_mort[],13,FALSE)="",VLOOKUP(all_lmics181920[[who_choice_region]:[who_choice_region]],missing[],17,FALSE),VLOOKUP(all_lmics181920[[Setting]:[Setting]],all_cause_mort[],13,FALSE))*1.05</f>
        <v>5.1398153099999995E-3</v>
      </c>
      <c r="Z26">
        <f>IF(VLOOKUP(all_lmics181920[[Setting]:[Setting]],all_cause_mort[],14,FALSE)="",VLOOKUP(all_lmics181920[[who_choice_region]:[who_choice_region]],missing[],18,FALSE),VLOOKUP(all_lmics181920[[Setting]:[Setting]],all_cause_mort[],14,FALSE))*1.05</f>
        <v>7.3288206600000006E-3</v>
      </c>
      <c r="AA26">
        <f>IF(VLOOKUP(all_lmics181920[[Setting]:[Setting]],all_cause_mort[],15,FALSE)="",VLOOKUP(all_lmics181920[[who_choice_region]:[who_choice_region]],missing[],19,FALSE),VLOOKUP(all_lmics181920[[Setting]:[Setting]],all_cause_mort[],15,FALSE))*1.05</f>
        <v>1.0659867750000001E-2</v>
      </c>
      <c r="AB26">
        <f>IF(VLOOKUP(all_lmics181920[[Setting]:[Setting]],all_cause_mort[],16,FALSE)="",VLOOKUP(all_lmics181920[[who_choice_region]:[who_choice_region]],missing[],20,FALSE),VLOOKUP(all_lmics181920[[Setting]:[Setting]],all_cause_mort[],16,FALSE))*1.05</f>
        <v>1.5650957700000002E-2</v>
      </c>
      <c r="AC26">
        <f>IF(VLOOKUP(all_lmics181920[[Setting]:[Setting]],all_cause_mort[],17,FALSE)="",VLOOKUP(all_lmics181920[[who_choice_region]:[who_choice_region]],missing[],21,FALSE),VLOOKUP(all_lmics181920[[Setting]:[Setting]],all_cause_mort[],17,FALSE))*1.05</f>
        <v>2.4807556200000001E-2</v>
      </c>
      <c r="AD26">
        <f>IF(VLOOKUP(all_lmics181920[[Setting]:[Setting]],all_cause_mort[],18,FALSE)="",VLOOKUP(all_lmics181920[[who_choice_region]:[who_choice_region]],missing[],22,FALSE),VLOOKUP(all_lmics181920[[Setting]:[Setting]],all_cause_mort[],18,FALSE))*1.05</f>
        <v>3.977383935E-2</v>
      </c>
      <c r="AE26">
        <f>IF(VLOOKUP(all_lmics181920[[Setting]:[Setting]],all_cause_mort[],19,FALSE)="",VLOOKUP(all_lmics181920[[who_choice_region]:[who_choice_region]],missing[],23,FALSE),VLOOKUP(all_lmics181920[[Setting]:[Setting]],all_cause_mort[],19,FALSE))*1.05</f>
        <v>6.2857811100000008E-2</v>
      </c>
      <c r="AF26">
        <f>IF(VLOOKUP(all_lmics181920[[Setting]:[Setting]],all_cause_mort[],20,FALSE)="",VLOOKUP(all_lmics181920[[who_choice_region]:[who_choice_region]],missing[],24,FALSE),VLOOKUP(all_lmics181920[[Setting]:[Setting]],all_cause_mort[],20,FALSE))*1.05</f>
        <v>9.8942530050000005E-2</v>
      </c>
      <c r="AG26">
        <f>IF(VLOOKUP(all_lmics181920[[Setting]:[Setting]],all_cause_mort[],21,FALSE)="",VLOOKUP(all_lmics181920[[who_choice_region]:[who_choice_region]],missing[],25,FALSE),VLOOKUP(all_lmics181920[[Setting]:[Setting]],all_cause_mort[],21,FALSE))*1.05</f>
        <v>0.15713371800000001</v>
      </c>
      <c r="AH26">
        <f>IF(VLOOKUP(all_lmics181920[[Setting]:[Setting]],all_cause_mort[],22,FALSE)="",VLOOKUP(all_lmics181920[[who_choice_region]:[who_choice_region]],missing[],26,FALSE),VLOOKUP(all_lmics181920[[Setting]:[Setting]],all_cause_mort[],22,FALSE))*1.05</f>
        <v>0.24555249600000001</v>
      </c>
      <c r="AI26">
        <f>IF(VLOOKUP(all_lmics181920[[Setting]:[Setting]],all_cause_mort[],23,FALSE)="",VLOOKUP(all_lmics181920[[who_choice_region]:[who_choice_region]],missing[],27,FALSE),VLOOKUP(all_lmics181920[[Setting]:[Setting]],all_cause_mort[],23,FALSE))*1.05</f>
        <v>0.36062563950000004</v>
      </c>
      <c r="AJ26">
        <f>IF(VLOOKUP(all_lmics181920[[Setting]:[Setting]],all_cause_mort[],24,FALSE)="",VLOOKUP(all_lmics181920[[who_choice_region]:[who_choice_region]],missing[],28,FALSE),VLOOKUP(all_lmics181920[[Setting]:[Setting]],all_cause_mort[],24,FALSE))*1.05</f>
        <v>0.50611625400000004</v>
      </c>
      <c r="AK26">
        <f>IF(VLOOKUP(all_lmics181920[[Setting]:[Setting]],all_cause_mort[],25,FALSE)="",VLOOKUP(all_lmics181920[[who_choice_region]:[who_choice_region]],missing[],29,FALSE),VLOOKUP(all_lmics181920[[Setting]:[Setting]],all_cause_mort[],25,FALSE))*1.05</f>
        <v>0.65569638734396063</v>
      </c>
      <c r="AL26">
        <f>VLOOKUP(all_lmics181920[[worldbank_region]:[worldbank_region]],Table13[],2,FALSE)*1.05</f>
        <v>76.717604249999994</v>
      </c>
      <c r="AM26">
        <f>VLOOKUP(all_lmics181920[[worldbank_region]:[worldbank_region]],Table13[],3,FALSE)*1.05</f>
        <v>76.717604249999994</v>
      </c>
      <c r="AN26">
        <f>VLOOKUP(all_lmics181920[[worldbank_region]:[worldbank_region]],Table13[],4,FALSE)*1.05</f>
        <v>126.83290724999999</v>
      </c>
      <c r="AO26">
        <f>VLOOKUP(all_lmics181920[[worldbank_region]:[worldbank_region]],Table13[],5,FALSE)*1.05</f>
        <v>126.83290724999999</v>
      </c>
      <c r="AP26">
        <f>VLOOKUP(all_lmics181920[[worldbank_region]:[worldbank_region]],Table13[],6,FALSE)*1.05</f>
        <v>126.83290724999999</v>
      </c>
      <c r="AQ26">
        <f>VLOOKUP(all_lmics181920[[worldbank_region]:[worldbank_region]],Table14[],2,FALSE)*1.05</f>
        <v>1.4073045</v>
      </c>
      <c r="AR26">
        <f>VLOOKUP(all_lmics181920[[worldbank_region]:[worldbank_region]],Table14[],3,FALSE)*1.05</f>
        <v>2.0556795000000001</v>
      </c>
      <c r="AS26">
        <f>VLOOKUP(all_lmics181920[[worldbank_region]:[worldbank_region]],Table14[],4,FALSE)*1.05</f>
        <v>2.0709317999999999</v>
      </c>
      <c r="AT26">
        <f>VLOOKUP(all_lmics181920[[worldbank_region]:[worldbank_region]],Table14[],5,FALSE)*1.05</f>
        <v>2.7193068</v>
      </c>
      <c r="AU26">
        <f>VLOOKUP(all_lmics181920[[worldbank_region]:[worldbank_region]],Table14[],6,FALSE)*1.05</f>
        <v>3.3180714</v>
      </c>
      <c r="AV26">
        <f>MIN(IFERROR(VLOOKUP(all_lmics181920[[Setting]:[Setting]],nFacSBA[],4,FALSE),VLOOKUP(all_lmics181920[[who_choice_region]:[who_choice_region]],missing[],30,FALSE))*1.05, 0.9999)</f>
        <v>0.16784953724039575</v>
      </c>
      <c r="AW26">
        <f>VLOOKUP(all_lmics181920[[worldbank_region]:[worldbank_region]],hbe[],4)</f>
        <v>0.5</v>
      </c>
      <c r="AX26">
        <f>VLOOKUP(all_lmics181920[[worldbank_region]:[worldbank_region]],hbe[],7)</f>
        <v>1</v>
      </c>
      <c r="AY26">
        <f>VLOOKUP(all_lmics181920[[worldbank_region]:[worldbank_region]],hbe[],10)</f>
        <v>0.25</v>
      </c>
    </row>
    <row r="27" spans="1:51" x14ac:dyDescent="0.35">
      <c r="A27" s="8" t="s">
        <v>94</v>
      </c>
      <c r="B27" s="10" t="s">
        <v>10</v>
      </c>
      <c r="C27" s="11" t="s">
        <v>11</v>
      </c>
      <c r="D27">
        <f>VLOOKUP(all_lmics181920[[Setting]:[Setting]],populations[],9,FALSE)</f>
        <v>3717100</v>
      </c>
      <c r="E27">
        <f>VLOOKUP(all_lmics181920[[Setting]:[Setting]],birthrate[],3,FALSE)</f>
        <v>1.3499000000000001E-2</v>
      </c>
      <c r="F27">
        <f>all_lmics181920[[#This Row],[2017_population]]*all_lmics181920[[#This Row],[2016_birthrate]]</f>
        <v>50177.132900000004</v>
      </c>
      <c r="G27">
        <f>MIN(VLOOKUP(all_lmics181920[[Setting]:[Setting]],birthdose[],4,FALSE)*1.05,0.9999)</f>
        <v>0.98699999999999999</v>
      </c>
      <c r="H27">
        <f>MIN(VLOOKUP(all_lmics181920[[Setting]:[Setting]],fullvax[],4,FALSE)*1.05,0.9999)</f>
        <v>0.95550000000000013</v>
      </c>
      <c r="I27">
        <f>IFERROR(VLOOKUP(all_lmics181920[[Setting]:[Setting]],prev[],3,FALSE),VLOOKUP(all_lmics181920[[who_choice_region]:[who_choice_region]],missing[],2,FALSE))</f>
        <v>2.5000000000000001E-2</v>
      </c>
      <c r="J27">
        <f>IFERROR(VLOOKUP(all_lmics181920[[Setting]:[Setting]],prev[],4,FALSE),VLOOKUP(all_lmics181920[[who_choice_region]:[who_choice_region]],missing[],3,FALSE))</f>
        <v>1.9E-2</v>
      </c>
      <c r="K27">
        <f>IFERROR(VLOOKUP(all_lmics181920[[Setting]:[Setting]],prev[],5,FALSE),VLOOKUP(all_lmics181920[[who_choice_region]:[who_choice_region]],missing[],4,FALSE))</f>
        <v>3.5999999999999997E-2</v>
      </c>
      <c r="L27">
        <f>IFERROR(VLOOKUP(all_lmics181920[[Setting]:[Setting]],prev[],7,FALSE),VLOOKUP(all_lmics181920[[who_choice_region]:[who_choice_region]],missing[],5,FALSE))</f>
        <v>5.6122448979591816E-3</v>
      </c>
      <c r="M27">
        <f>IFERROR(VLOOKUP(all_lmics181920[[Setting]:[Setting]],prev[],6,FALSE),0)</f>
        <v>3717100</v>
      </c>
      <c r="N27">
        <f>MIN(IFERROR(VLOOKUP(all_lmics181920[[Setting]:[Setting]],SBA[],4,FALSE),VLOOKUP(all_lmics181920[[who_choice_region]:[who_choice_region]],missing[],6,FALSE))*1.05, 0.9999)</f>
        <v>0.99990000000000001</v>
      </c>
      <c r="O27">
        <f>MIN(IFERROR(VLOOKUP(all_lmics181920[[Setting]:[Setting]], facility[], 3,FALSE),VLOOKUP(all_lmics181920[[who_choice_region]:[who_choice_region]],missing[],7,FALSE))*1.05, 0.9999)</f>
        <v>0.99990000000000001</v>
      </c>
      <c r="P27">
        <f>IF(VLOOKUP(all_lmics181920[[Setting]:[Setting]],all_cause_mort[],4,FALSE)="",VLOOKUP(all_lmics181920[[who_choice_region]:[who_choice_region]],missing[],8,FALSE),VLOOKUP(all_lmics181920[[Setting]:[Setting]],all_cause_mort[],4,FALSE))*1.05</f>
        <v>9.9273623400000007E-3</v>
      </c>
      <c r="Q27">
        <f>IF(VLOOKUP(all_lmics181920[[Setting]:[Setting]],all_cause_mort[],5,FALSE)="",VLOOKUP(all_lmics181920[[who_choice_region]:[who_choice_region]],missing[],9,FALSE),VLOOKUP(all_lmics181920[[Setting]:[Setting]],all_cause_mort[],5,FALSE))*1.05</f>
        <v>2.0797589400000001E-4</v>
      </c>
      <c r="R27">
        <f>IF(VLOOKUP(all_lmics181920[[Setting]:[Setting]],all_cause_mort[],6,FALSE)="",VLOOKUP(all_lmics181920[[who_choice_region]:[who_choice_region]],missing[],10,FALSE),VLOOKUP(all_lmics181920[[Setting]:[Setting]],all_cause_mort[],6,FALSE))*1.05</f>
        <v>2.1783371400000001E-4</v>
      </c>
      <c r="S27">
        <f>IF(VLOOKUP(all_lmics181920[[Setting]:[Setting]],all_cause_mort[],7,FALSE)="",VLOOKUP(all_lmics181920[[who_choice_region]:[who_choice_region]],missing[],11,FALSE),VLOOKUP(all_lmics181920[[Setting]:[Setting]],all_cause_mort[],7,FALSE))*1.05</f>
        <v>2.5218104100000003E-4</v>
      </c>
      <c r="T27">
        <f>IF(VLOOKUP(all_lmics181920[[Setting]:[Setting]],all_cause_mort[],8,FALSE)="",VLOOKUP(all_lmics181920[[who_choice_region]:[who_choice_region]],missing[],12,FALSE),VLOOKUP(all_lmics181920[[Setting]:[Setting]],all_cause_mort[],8,FALSE))*1.05</f>
        <v>4.8090497700000004E-4</v>
      </c>
      <c r="U27">
        <f>IF(VLOOKUP(all_lmics181920[[Setting]:[Setting]],all_cause_mort[],9,FALSE)="",VLOOKUP(all_lmics181920[[who_choice_region]:[who_choice_region]],missing[],13,FALSE),VLOOKUP(all_lmics181920[[Setting]:[Setting]],all_cause_mort[],9,FALSE))*1.05</f>
        <v>7.9989628950000006E-4</v>
      </c>
      <c r="V27">
        <f>IF(VLOOKUP(all_lmics181920[[Setting]:[Setting]],all_cause_mort[],10,FALSE)="",VLOOKUP(all_lmics181920[[who_choice_region]:[who_choice_region]],missing[],14,FALSE),VLOOKUP(all_lmics181920[[Setting]:[Setting]],all_cause_mort[],10,FALSE))*1.05</f>
        <v>9.8740187700000013E-4</v>
      </c>
      <c r="W27">
        <f>IF(VLOOKUP(all_lmics181920[[Setting]:[Setting]],all_cause_mort[],11,FALSE)="",VLOOKUP(all_lmics181920[[who_choice_region]:[who_choice_region]],missing[],15,FALSE),VLOOKUP(all_lmics181920[[Setting]:[Setting]],all_cause_mort[],11,FALSE))*1.05</f>
        <v>1.47518406E-3</v>
      </c>
      <c r="X27">
        <f>IF(VLOOKUP(all_lmics181920[[Setting]:[Setting]],all_cause_mort[],12,FALSE)="",VLOOKUP(all_lmics181920[[who_choice_region]:[who_choice_region]],missing[],16,FALSE),VLOOKUP(all_lmics181920[[Setting]:[Setting]],all_cause_mort[],12,FALSE))*1.05</f>
        <v>2.09815662E-3</v>
      </c>
      <c r="Y27">
        <f>IF(VLOOKUP(all_lmics181920[[Setting]:[Setting]],all_cause_mort[],13,FALSE)="",VLOOKUP(all_lmics181920[[who_choice_region]:[who_choice_region]],missing[],17,FALSE),VLOOKUP(all_lmics181920[[Setting]:[Setting]],all_cause_mort[],13,FALSE))*1.05</f>
        <v>3.2544487500000001E-3</v>
      </c>
      <c r="Z27">
        <f>IF(VLOOKUP(all_lmics181920[[Setting]:[Setting]],all_cause_mort[],14,FALSE)="",VLOOKUP(all_lmics181920[[who_choice_region]:[who_choice_region]],missing[],18,FALSE),VLOOKUP(all_lmics181920[[Setting]:[Setting]],all_cause_mort[],14,FALSE))*1.05</f>
        <v>5.3485505850000004E-3</v>
      </c>
      <c r="AA27">
        <f>IF(VLOOKUP(all_lmics181920[[Setting]:[Setting]],all_cause_mort[],15,FALSE)="",VLOOKUP(all_lmics181920[[who_choice_region]:[who_choice_region]],missing[],19,FALSE),VLOOKUP(all_lmics181920[[Setting]:[Setting]],all_cause_mort[],15,FALSE))*1.05</f>
        <v>7.9215652950000003E-3</v>
      </c>
      <c r="AB27">
        <f>IF(VLOOKUP(all_lmics181920[[Setting]:[Setting]],all_cause_mort[],16,FALSE)="",VLOOKUP(all_lmics181920[[who_choice_region]:[who_choice_region]],missing[],20,FALSE),VLOOKUP(all_lmics181920[[Setting]:[Setting]],all_cause_mort[],16,FALSE))*1.05</f>
        <v>1.17621042E-2</v>
      </c>
      <c r="AC27">
        <f>IF(VLOOKUP(all_lmics181920[[Setting]:[Setting]],all_cause_mort[],17,FALSE)="",VLOOKUP(all_lmics181920[[who_choice_region]:[who_choice_region]],missing[],21,FALSE),VLOOKUP(all_lmics181920[[Setting]:[Setting]],all_cause_mort[],17,FALSE))*1.05</f>
        <v>1.7165224650000001E-2</v>
      </c>
      <c r="AD27">
        <f>IF(VLOOKUP(all_lmics181920[[Setting]:[Setting]],all_cause_mort[],18,FALSE)="",VLOOKUP(all_lmics181920[[who_choice_region]:[who_choice_region]],missing[],22,FALSE),VLOOKUP(all_lmics181920[[Setting]:[Setting]],all_cause_mort[],18,FALSE))*1.05</f>
        <v>2.4827137650000001E-2</v>
      </c>
      <c r="AE27">
        <f>IF(VLOOKUP(all_lmics181920[[Setting]:[Setting]],all_cause_mort[],19,FALSE)="",VLOOKUP(all_lmics181920[[who_choice_region]:[who_choice_region]],missing[],23,FALSE),VLOOKUP(all_lmics181920[[Setting]:[Setting]],all_cause_mort[],19,FALSE))*1.05</f>
        <v>4.1274466800000006E-2</v>
      </c>
      <c r="AF27">
        <f>IF(VLOOKUP(all_lmics181920[[Setting]:[Setting]],all_cause_mort[],20,FALSE)="",VLOOKUP(all_lmics181920[[who_choice_region]:[who_choice_region]],missing[],24,FALSE),VLOOKUP(all_lmics181920[[Setting]:[Setting]],all_cause_mort[],20,FALSE))*1.05</f>
        <v>7.0148747550000001E-2</v>
      </c>
      <c r="AG27">
        <f>IF(VLOOKUP(all_lmics181920[[Setting]:[Setting]],all_cause_mort[],21,FALSE)="",VLOOKUP(all_lmics181920[[who_choice_region]:[who_choice_region]],missing[],25,FALSE),VLOOKUP(all_lmics181920[[Setting]:[Setting]],all_cause_mort[],21,FALSE))*1.05</f>
        <v>0.1151247195</v>
      </c>
      <c r="AH27">
        <f>IF(VLOOKUP(all_lmics181920[[Setting]:[Setting]],all_cause_mort[],22,FALSE)="",VLOOKUP(all_lmics181920[[who_choice_region]:[who_choice_region]],missing[],26,FALSE),VLOOKUP(all_lmics181920[[Setting]:[Setting]],all_cause_mort[],22,FALSE))*1.05</f>
        <v>0.18190242000000001</v>
      </c>
      <c r="AI27">
        <f>IF(VLOOKUP(all_lmics181920[[Setting]:[Setting]],all_cause_mort[],23,FALSE)="",VLOOKUP(all_lmics181920[[who_choice_region]:[who_choice_region]],missing[],27,FALSE),VLOOKUP(all_lmics181920[[Setting]:[Setting]],all_cause_mort[],23,FALSE))*1.05</f>
        <v>0.28112354550000002</v>
      </c>
      <c r="AJ27">
        <f>IF(VLOOKUP(all_lmics181920[[Setting]:[Setting]],all_cause_mort[],24,FALSE)="",VLOOKUP(all_lmics181920[[who_choice_region]:[who_choice_region]],missing[],28,FALSE),VLOOKUP(all_lmics181920[[Setting]:[Setting]],all_cause_mort[],24,FALSE))*1.05</f>
        <v>0.40421561249999999</v>
      </c>
      <c r="AK27">
        <f>IF(VLOOKUP(all_lmics181920[[Setting]:[Setting]],all_cause_mort[],25,FALSE)="",VLOOKUP(all_lmics181920[[who_choice_region]:[who_choice_region]],missing[],29,FALSE),VLOOKUP(all_lmics181920[[Setting]:[Setting]],all_cause_mort[],25,FALSE))*1.05</f>
        <v>0.55427199066204746</v>
      </c>
      <c r="AL27">
        <f>VLOOKUP(all_lmics181920[[worldbank_region]:[worldbank_region]],Table13[],2,FALSE)*1.05</f>
        <v>46.7513991</v>
      </c>
      <c r="AM27">
        <f>VLOOKUP(all_lmics181920[[worldbank_region]:[worldbank_region]],Table13[],3,FALSE)*1.05</f>
        <v>46.7513991</v>
      </c>
      <c r="AN27">
        <f>VLOOKUP(all_lmics181920[[worldbank_region]:[worldbank_region]],Table13[],4,FALSE)*1.05</f>
        <v>96.866702099999983</v>
      </c>
      <c r="AO27">
        <f>VLOOKUP(all_lmics181920[[worldbank_region]:[worldbank_region]],Table13[],5,FALSE)*1.05</f>
        <v>96.866702099999983</v>
      </c>
      <c r="AP27">
        <f>VLOOKUP(all_lmics181920[[worldbank_region]:[worldbank_region]],Table13[],6,FALSE)*1.05</f>
        <v>96.866702099999983</v>
      </c>
      <c r="AQ27">
        <f>VLOOKUP(all_lmics181920[[worldbank_region]:[worldbank_region]],Table14[],2,FALSE)*1.05</f>
        <v>6.7392065999999993</v>
      </c>
      <c r="AR27">
        <f>VLOOKUP(all_lmics181920[[worldbank_region]:[worldbank_region]],Table14[],3,FALSE)*1.05</f>
        <v>7.3875815999999999</v>
      </c>
      <c r="AS27">
        <f>VLOOKUP(all_lmics181920[[worldbank_region]:[worldbank_region]],Table14[],4,FALSE)*1.05</f>
        <v>11.007016649999999</v>
      </c>
      <c r="AT27">
        <f>VLOOKUP(all_lmics181920[[worldbank_region]:[worldbank_region]],Table14[],5,FALSE)*1.05</f>
        <v>11.65539165</v>
      </c>
      <c r="AU27">
        <f>VLOOKUP(all_lmics181920[[worldbank_region]:[worldbank_region]],Table14[],6,FALSE)*1.05</f>
        <v>12.254156249999999</v>
      </c>
      <c r="AV27">
        <f>MIN(IFERROR(VLOOKUP(all_lmics181920[[Setting]:[Setting]],nFacSBA[],4,FALSE),VLOOKUP(all_lmics181920[[who_choice_region]:[who_choice_region]],missing[],30,FALSE))*1.05, 0.9999)</f>
        <v>0.5602570271020012</v>
      </c>
      <c r="AW27">
        <f>VLOOKUP(all_lmics181920[[worldbank_region]:[worldbank_region]],hbe[],4)</f>
        <v>0.5</v>
      </c>
      <c r="AX27">
        <f>VLOOKUP(all_lmics181920[[worldbank_region]:[worldbank_region]],hbe[],7)</f>
        <v>1</v>
      </c>
      <c r="AY27">
        <f>VLOOKUP(all_lmics181920[[worldbank_region]:[worldbank_region]],hbe[],10)</f>
        <v>0.25</v>
      </c>
    </row>
    <row r="28" spans="1:51" x14ac:dyDescent="0.35">
      <c r="A28" s="8" t="s">
        <v>98</v>
      </c>
      <c r="B28" s="10" t="s">
        <v>22</v>
      </c>
      <c r="C28" s="11" t="s">
        <v>383</v>
      </c>
      <c r="D28">
        <f>VLOOKUP(all_lmics181920[[Setting]:[Setting]],populations[],9,FALSE)</f>
        <v>107825</v>
      </c>
      <c r="E28">
        <f>VLOOKUP(all_lmics181920[[Setting]:[Setting]],birthrate[],3,FALSE)</f>
        <v>1.8682999999999998E-2</v>
      </c>
      <c r="F28">
        <f>all_lmics181920[[#This Row],[2017_population]]*all_lmics181920[[#This Row],[2016_birthrate]]</f>
        <v>2014.4944749999997</v>
      </c>
      <c r="G28">
        <f>MIN(VLOOKUP(all_lmics181920[[Setting]:[Setting]],birthdose[],4,FALSE)*1.05,0.9999)</f>
        <v>0.81900000000000006</v>
      </c>
      <c r="H28">
        <f>MIN(VLOOKUP(all_lmics181920[[Setting]:[Setting]],fullvax[],4,FALSE)*1.05,0.9999)</f>
        <v>0.99990000000000001</v>
      </c>
      <c r="I28">
        <f>IFERROR(VLOOKUP(all_lmics181920[[Setting]:[Setting]],prev[],3,FALSE),VLOOKUP(all_lmics181920[[who_choice_region]:[who_choice_region]],missing[],2,FALSE))</f>
        <v>4.1444892127893984E-3</v>
      </c>
      <c r="J28">
        <f>IFERROR(VLOOKUP(all_lmics181920[[Setting]:[Setting]],prev[],4,FALSE),VLOOKUP(all_lmics181920[[who_choice_region]:[who_choice_region]],missing[],3,FALSE))</f>
        <v>2.6055266579680684E-3</v>
      </c>
      <c r="K28">
        <f>IFERROR(VLOOKUP(all_lmics181920[[Setting]:[Setting]],prev[],5,FALSE),VLOOKUP(all_lmics181920[[who_choice_region]:[who_choice_region]],missing[],4,FALSE))</f>
        <v>7.7002555713058798E-3</v>
      </c>
      <c r="L28">
        <f>IFERROR(VLOOKUP(all_lmics181920[[Setting]:[Setting]],prev[],7,FALSE),VLOOKUP(all_lmics181920[[who_choice_region]:[who_choice_region]],missing[],5,FALSE))</f>
        <v>1.8146552860433664E-3</v>
      </c>
      <c r="M28">
        <f>IFERROR(VLOOKUP(all_lmics181920[[Setting]:[Setting]],prev[],6,FALSE),0)</f>
        <v>0</v>
      </c>
      <c r="N28">
        <f>MIN(IFERROR(VLOOKUP(all_lmics181920[[Setting]:[Setting]],SBA[],4,FALSE),VLOOKUP(all_lmics181920[[who_choice_region]:[who_choice_region]],missing[],6,FALSE))*1.05, 0.9999)</f>
        <v>0.99990000000000001</v>
      </c>
      <c r="O28">
        <f>MIN(IFERROR(VLOOKUP(all_lmics181920[[Setting]:[Setting]], facility[], 3,FALSE),VLOOKUP(all_lmics181920[[who_choice_region]:[who_choice_region]],missing[],7,FALSE))*1.05, 0.9999)</f>
        <v>0.99990000000000001</v>
      </c>
      <c r="P28">
        <f>IF(VLOOKUP(all_lmics181920[[Setting]:[Setting]],all_cause_mort[],4,FALSE)="",VLOOKUP(all_lmics181920[[who_choice_region]:[who_choice_region]],missing[],8,FALSE),VLOOKUP(all_lmics181920[[Setting]:[Setting]],all_cause_mort[],4,FALSE))*1.05</f>
        <v>1.596550305E-2</v>
      </c>
      <c r="Q28">
        <f>IF(VLOOKUP(all_lmics181920[[Setting]:[Setting]],all_cause_mort[],5,FALSE)="",VLOOKUP(all_lmics181920[[who_choice_region]:[who_choice_region]],missing[],9,FALSE),VLOOKUP(all_lmics181920[[Setting]:[Setting]],all_cause_mort[],5,FALSE))*1.05</f>
        <v>3.8607020550000007E-4</v>
      </c>
      <c r="R28">
        <f>IF(VLOOKUP(all_lmics181920[[Setting]:[Setting]],all_cause_mort[],6,FALSE)="",VLOOKUP(all_lmics181920[[who_choice_region]:[who_choice_region]],missing[],10,FALSE),VLOOKUP(all_lmics181920[[Setting]:[Setting]],all_cause_mort[],6,FALSE))*1.05</f>
        <v>4.0805624999999999E-4</v>
      </c>
      <c r="S28">
        <f>IF(VLOOKUP(all_lmics181920[[Setting]:[Setting]],all_cause_mort[],7,FALSE)="",VLOOKUP(all_lmics181920[[who_choice_region]:[who_choice_region]],missing[],11,FALSE),VLOOKUP(all_lmics181920[[Setting]:[Setting]],all_cause_mort[],7,FALSE))*1.05</f>
        <v>3.87064776E-4</v>
      </c>
      <c r="T28">
        <f>IF(VLOOKUP(all_lmics181920[[Setting]:[Setting]],all_cause_mort[],8,FALSE)="",VLOOKUP(all_lmics181920[[who_choice_region]:[who_choice_region]],missing[],12,FALSE),VLOOKUP(all_lmics181920[[Setting]:[Setting]],all_cause_mort[],8,FALSE))*1.05</f>
        <v>9.0983164650000007E-4</v>
      </c>
      <c r="U28">
        <f>IF(VLOOKUP(all_lmics181920[[Setting]:[Setting]],all_cause_mort[],9,FALSE)="",VLOOKUP(all_lmics181920[[who_choice_region]:[who_choice_region]],missing[],13,FALSE),VLOOKUP(all_lmics181920[[Setting]:[Setting]],all_cause_mort[],9,FALSE))*1.05</f>
        <v>1.237806045E-3</v>
      </c>
      <c r="V28">
        <f>IF(VLOOKUP(all_lmics181920[[Setting]:[Setting]],all_cause_mort[],10,FALSE)="",VLOOKUP(all_lmics181920[[who_choice_region]:[who_choice_region]],missing[],14,FALSE),VLOOKUP(all_lmics181920[[Setting]:[Setting]],all_cause_mort[],10,FALSE))*1.05</f>
        <v>1.328385345E-3</v>
      </c>
      <c r="W28">
        <f>IF(VLOOKUP(all_lmics181920[[Setting]:[Setting]],all_cause_mort[],11,FALSE)="",VLOOKUP(all_lmics181920[[who_choice_region]:[who_choice_region]],missing[],15,FALSE),VLOOKUP(all_lmics181920[[Setting]:[Setting]],all_cause_mort[],11,FALSE))*1.05</f>
        <v>1.5903288449999999E-3</v>
      </c>
      <c r="X28">
        <f>IF(VLOOKUP(all_lmics181920[[Setting]:[Setting]],all_cause_mort[],12,FALSE)="",VLOOKUP(all_lmics181920[[who_choice_region]:[who_choice_region]],missing[],16,FALSE),VLOOKUP(all_lmics181920[[Setting]:[Setting]],all_cause_mort[],12,FALSE))*1.05</f>
        <v>2.14598727E-3</v>
      </c>
      <c r="Y28">
        <f>IF(VLOOKUP(all_lmics181920[[Setting]:[Setting]],all_cause_mort[],13,FALSE)="",VLOOKUP(all_lmics181920[[who_choice_region]:[who_choice_region]],missing[],17,FALSE),VLOOKUP(all_lmics181920[[Setting]:[Setting]],all_cause_mort[],13,FALSE))*1.05</f>
        <v>3.1182870600000002E-3</v>
      </c>
      <c r="Z28">
        <f>IF(VLOOKUP(all_lmics181920[[Setting]:[Setting]],all_cause_mort[],14,FALSE)="",VLOOKUP(all_lmics181920[[who_choice_region]:[who_choice_region]],missing[],18,FALSE),VLOOKUP(all_lmics181920[[Setting]:[Setting]],all_cause_mort[],14,FALSE))*1.05</f>
        <v>4.80997419E-3</v>
      </c>
      <c r="AA28">
        <f>IF(VLOOKUP(all_lmics181920[[Setting]:[Setting]],all_cause_mort[],15,FALSE)="",VLOOKUP(all_lmics181920[[who_choice_region]:[who_choice_region]],missing[],19,FALSE),VLOOKUP(all_lmics181920[[Setting]:[Setting]],all_cause_mort[],15,FALSE))*1.05</f>
        <v>7.4364514349999997E-3</v>
      </c>
      <c r="AB28">
        <f>IF(VLOOKUP(all_lmics181920[[Setting]:[Setting]],all_cause_mort[],16,FALSE)="",VLOOKUP(all_lmics181920[[who_choice_region]:[who_choice_region]],missing[],20,FALSE),VLOOKUP(all_lmics181920[[Setting]:[Setting]],all_cause_mort[],16,FALSE))*1.05</f>
        <v>1.1491191600000001E-2</v>
      </c>
      <c r="AC28">
        <f>IF(VLOOKUP(all_lmics181920[[Setting]:[Setting]],all_cause_mort[],17,FALSE)="",VLOOKUP(all_lmics181920[[who_choice_region]:[who_choice_region]],missing[],21,FALSE),VLOOKUP(all_lmics181920[[Setting]:[Setting]],all_cause_mort[],17,FALSE))*1.05</f>
        <v>1.807565865E-2</v>
      </c>
      <c r="AD28">
        <f>IF(VLOOKUP(all_lmics181920[[Setting]:[Setting]],all_cause_mort[],18,FALSE)="",VLOOKUP(all_lmics181920[[who_choice_region]:[who_choice_region]],missing[],22,FALSE),VLOOKUP(all_lmics181920[[Setting]:[Setting]],all_cause_mort[],18,FALSE))*1.05</f>
        <v>2.83614807E-2</v>
      </c>
      <c r="AE28">
        <f>IF(VLOOKUP(all_lmics181920[[Setting]:[Setting]],all_cause_mort[],19,FALSE)="",VLOOKUP(all_lmics181920[[who_choice_region]:[who_choice_region]],missing[],23,FALSE),VLOOKUP(all_lmics181920[[Setting]:[Setting]],all_cause_mort[],19,FALSE))*1.05</f>
        <v>4.4593216499999998E-2</v>
      </c>
      <c r="AF28">
        <f>IF(VLOOKUP(all_lmics181920[[Setting]:[Setting]],all_cause_mort[],20,FALSE)="",VLOOKUP(all_lmics181920[[who_choice_region]:[who_choice_region]],missing[],24,FALSE),VLOOKUP(all_lmics181920[[Setting]:[Setting]],all_cause_mort[],20,FALSE))*1.05</f>
        <v>7.2377766299999993E-2</v>
      </c>
      <c r="AG28">
        <f>IF(VLOOKUP(all_lmics181920[[Setting]:[Setting]],all_cause_mort[],21,FALSE)="",VLOOKUP(all_lmics181920[[who_choice_region]:[who_choice_region]],missing[],25,FALSE),VLOOKUP(all_lmics181920[[Setting]:[Setting]],all_cause_mort[],21,FALSE))*1.05</f>
        <v>0.11769128700000001</v>
      </c>
      <c r="AH28">
        <f>IF(VLOOKUP(all_lmics181920[[Setting]:[Setting]],all_cause_mort[],22,FALSE)="",VLOOKUP(all_lmics181920[[who_choice_region]:[who_choice_region]],missing[],26,FALSE),VLOOKUP(all_lmics181920[[Setting]:[Setting]],all_cause_mort[],22,FALSE))*1.05</f>
        <v>0.1873442025</v>
      </c>
      <c r="AI28">
        <f>IF(VLOOKUP(all_lmics181920[[Setting]:[Setting]],all_cause_mort[],23,FALSE)="",VLOOKUP(all_lmics181920[[who_choice_region]:[who_choice_region]],missing[],27,FALSE),VLOOKUP(all_lmics181920[[Setting]:[Setting]],all_cause_mort[],23,FALSE))*1.05</f>
        <v>0.28304706149999997</v>
      </c>
      <c r="AJ28">
        <f>IF(VLOOKUP(all_lmics181920[[Setting]:[Setting]],all_cause_mort[],24,FALSE)="",VLOOKUP(all_lmics181920[[who_choice_region]:[who_choice_region]],missing[],28,FALSE),VLOOKUP(all_lmics181920[[Setting]:[Setting]],all_cause_mort[],24,FALSE))*1.05</f>
        <v>0.4103894025</v>
      </c>
      <c r="AK28">
        <f>IF(VLOOKUP(all_lmics181920[[Setting]:[Setting]],all_cause_mort[],25,FALSE)="",VLOOKUP(all_lmics181920[[who_choice_region]:[who_choice_region]],missing[],29,FALSE),VLOOKUP(all_lmics181920[[Setting]:[Setting]],all_cause_mort[],25,FALSE))*1.05</f>
        <v>0.56375424245201566</v>
      </c>
      <c r="AL28">
        <f>VLOOKUP(all_lmics181920[[worldbank_region]:[worldbank_region]],Table13[],2,FALSE)*1.05</f>
        <v>91.202986349999989</v>
      </c>
      <c r="AM28">
        <f>VLOOKUP(all_lmics181920[[worldbank_region]:[worldbank_region]],Table13[],3,FALSE)*1.05</f>
        <v>91.202986349999989</v>
      </c>
      <c r="AN28">
        <f>VLOOKUP(all_lmics181920[[worldbank_region]:[worldbank_region]],Table13[],4,FALSE)*1.05</f>
        <v>141.31828934999999</v>
      </c>
      <c r="AO28">
        <f>VLOOKUP(all_lmics181920[[worldbank_region]:[worldbank_region]],Table13[],5,FALSE)*1.05</f>
        <v>141.31828934999999</v>
      </c>
      <c r="AP28">
        <f>VLOOKUP(all_lmics181920[[worldbank_region]:[worldbank_region]],Table13[],6,FALSE)*1.05</f>
        <v>141.31828934999999</v>
      </c>
      <c r="AQ28">
        <f>VLOOKUP(all_lmics181920[[worldbank_region]:[worldbank_region]],Table14[],2,FALSE)*1.05</f>
        <v>1.5903741</v>
      </c>
      <c r="AR28">
        <f>VLOOKUP(all_lmics181920[[worldbank_region]:[worldbank_region]],Table14[],3,FALSE)*1.05</f>
        <v>2.2387491000000002</v>
      </c>
      <c r="AS28">
        <f>VLOOKUP(all_lmics181920[[worldbank_region]:[worldbank_region]],Table14[],4,FALSE)*1.05</f>
        <v>1.6132578000000002</v>
      </c>
      <c r="AT28">
        <f>VLOOKUP(all_lmics181920[[worldbank_region]:[worldbank_region]],Table14[],5,FALSE)*1.05</f>
        <v>2.2616328000000001</v>
      </c>
      <c r="AU28">
        <f>VLOOKUP(all_lmics181920[[worldbank_region]:[worldbank_region]],Table14[],6,FALSE)*1.05</f>
        <v>2.8603974000000001</v>
      </c>
      <c r="AV28">
        <f>MIN(IFERROR(VLOOKUP(all_lmics181920[[Setting]:[Setting]],nFacSBA[],4,FALSE),VLOOKUP(all_lmics181920[[who_choice_region]:[who_choice_region]],missing[],30,FALSE))*1.05, 0.9999)</f>
        <v>0.21428754022970595</v>
      </c>
      <c r="AW28">
        <f>VLOOKUP(all_lmics181920[[worldbank_region]:[worldbank_region]],hbe[],4)</f>
        <v>0.5</v>
      </c>
      <c r="AX28">
        <f>VLOOKUP(all_lmics181920[[worldbank_region]:[worldbank_region]],hbe[],7)</f>
        <v>1</v>
      </c>
      <c r="AY28">
        <f>VLOOKUP(all_lmics181920[[worldbank_region]:[worldbank_region]],hbe[],10)</f>
        <v>0.25</v>
      </c>
    </row>
    <row r="29" spans="1:51" x14ac:dyDescent="0.35">
      <c r="A29" s="12" t="s">
        <v>99</v>
      </c>
      <c r="B29" s="13" t="s">
        <v>46</v>
      </c>
      <c r="C29" s="14" t="s">
        <v>383</v>
      </c>
      <c r="D29">
        <f>VLOOKUP(all_lmics181920[[Setting]:[Setting]],populations[],9,FALSE)</f>
        <v>16913503</v>
      </c>
      <c r="E29">
        <f>VLOOKUP(all_lmics181920[[Setting]:[Setting]],birthrate[],3,FALSE)</f>
        <v>2.5273E-2</v>
      </c>
      <c r="F29">
        <f>all_lmics181920[[#This Row],[2017_population]]*all_lmics181920[[#This Row],[2016_birthrate]]</f>
        <v>427454.96131899999</v>
      </c>
      <c r="G29">
        <f>MIN(VLOOKUP(all_lmics181920[[Setting]:[Setting]],birthdose[],4,FALSE)*1.05,0.9999)</f>
        <v>0.47250000000000003</v>
      </c>
      <c r="H29">
        <f>MIN(VLOOKUP(all_lmics181920[[Setting]:[Setting]],fullvax[],4,FALSE)*1.05,0.9999)</f>
        <v>0.86099999999999999</v>
      </c>
      <c r="I29">
        <f>IFERROR(VLOOKUP(all_lmics181920[[Setting]:[Setting]],prev[],3,FALSE),VLOOKUP(all_lmics181920[[who_choice_region]:[who_choice_region]],missing[],2,FALSE))</f>
        <v>6.0000000000000001E-3</v>
      </c>
      <c r="J29">
        <f>IFERROR(VLOOKUP(all_lmics181920[[Setting]:[Setting]],prev[],4,FALSE),VLOOKUP(all_lmics181920[[who_choice_region]:[who_choice_region]],missing[],3,FALSE))</f>
        <v>4.0000000000000001E-3</v>
      </c>
      <c r="K29">
        <f>IFERROR(VLOOKUP(all_lmics181920[[Setting]:[Setting]],prev[],5,FALSE),VLOOKUP(all_lmics181920[[who_choice_region]:[who_choice_region]],missing[],4,FALSE))</f>
        <v>7.0000000000000001E-3</v>
      </c>
      <c r="L29">
        <f>IFERROR(VLOOKUP(all_lmics181920[[Setting]:[Setting]],prev[],7,FALSE),VLOOKUP(all_lmics181920[[who_choice_region]:[who_choice_region]],missing[],5,FALSE))</f>
        <v>5.1020408163265311E-4</v>
      </c>
      <c r="M29">
        <f>IFERROR(VLOOKUP(all_lmics181920[[Setting]:[Setting]],prev[],6,FALSE),0)</f>
        <v>16913503</v>
      </c>
      <c r="N29">
        <f>MIN(IFERROR(VLOOKUP(all_lmics181920[[Setting]:[Setting]],SBA[],4,FALSE),VLOOKUP(all_lmics181920[[who_choice_region]:[who_choice_region]],missing[],6,FALSE))*1.05, 0.9999)</f>
        <v>0.68775000000000008</v>
      </c>
      <c r="O29">
        <f>MIN(IFERROR(VLOOKUP(all_lmics181920[[Setting]:[Setting]], facility[], 3,FALSE),VLOOKUP(all_lmics181920[[who_choice_region]:[who_choice_region]],missing[],7,FALSE))*1.05, 0.9999)</f>
        <v>0.68250000000000011</v>
      </c>
      <c r="P29">
        <f>IF(VLOOKUP(all_lmics181920[[Setting]:[Setting]],all_cause_mort[],4,FALSE)="",VLOOKUP(all_lmics181920[[who_choice_region]:[who_choice_region]],missing[],8,FALSE),VLOOKUP(all_lmics181920[[Setting]:[Setting]],all_cause_mort[],4,FALSE))*1.05</f>
        <v>2.2155596400000001E-2</v>
      </c>
      <c r="Q29">
        <f>IF(VLOOKUP(all_lmics181920[[Setting]:[Setting]],all_cause_mort[],5,FALSE)="",VLOOKUP(all_lmics181920[[who_choice_region]:[who_choice_region]],missing[],9,FALSE),VLOOKUP(all_lmics181920[[Setting]:[Setting]],all_cause_mort[],5,FALSE))*1.05</f>
        <v>1.4418941250000001E-3</v>
      </c>
      <c r="R29">
        <f>IF(VLOOKUP(all_lmics181920[[Setting]:[Setting]],all_cause_mort[],6,FALSE)="",VLOOKUP(all_lmics181920[[who_choice_region]:[who_choice_region]],missing[],10,FALSE),VLOOKUP(all_lmics181920[[Setting]:[Setting]],all_cause_mort[],6,FALSE))*1.05</f>
        <v>3.809519175E-4</v>
      </c>
      <c r="S29">
        <f>IF(VLOOKUP(all_lmics181920[[Setting]:[Setting]],all_cause_mort[],7,FALSE)="",VLOOKUP(all_lmics181920[[who_choice_region]:[who_choice_region]],missing[],11,FALSE),VLOOKUP(all_lmics181920[[Setting]:[Setting]],all_cause_mort[],7,FALSE))*1.05</f>
        <v>5.4808859700000007E-4</v>
      </c>
      <c r="T29">
        <f>IF(VLOOKUP(all_lmics181920[[Setting]:[Setting]],all_cause_mort[],8,FALSE)="",VLOOKUP(all_lmics181920[[who_choice_region]:[who_choice_region]],missing[],12,FALSE),VLOOKUP(all_lmics181920[[Setting]:[Setting]],all_cause_mort[],8,FALSE))*1.05</f>
        <v>1.1680324950000002E-3</v>
      </c>
      <c r="U29">
        <f>IF(VLOOKUP(all_lmics181920[[Setting]:[Setting]],all_cause_mort[],9,FALSE)="",VLOOKUP(all_lmics181920[[who_choice_region]:[who_choice_region]],missing[],13,FALSE),VLOOKUP(all_lmics181920[[Setting]:[Setting]],all_cause_mort[],9,FALSE))*1.05</f>
        <v>2.0042602650000001E-3</v>
      </c>
      <c r="V29">
        <f>IF(VLOOKUP(all_lmics181920[[Setting]:[Setting]],all_cause_mort[],10,FALSE)="",VLOOKUP(all_lmics181920[[who_choice_region]:[who_choice_region]],missing[],14,FALSE),VLOOKUP(all_lmics181920[[Setting]:[Setting]],all_cause_mort[],10,FALSE))*1.05</f>
        <v>2.6653557000000001E-3</v>
      </c>
      <c r="W29">
        <f>IF(VLOOKUP(all_lmics181920[[Setting]:[Setting]],all_cause_mort[],11,FALSE)="",VLOOKUP(all_lmics181920[[who_choice_region]:[who_choice_region]],missing[],15,FALSE),VLOOKUP(all_lmics181920[[Setting]:[Setting]],all_cause_mort[],11,FALSE))*1.05</f>
        <v>3.0782687250000005E-3</v>
      </c>
      <c r="X29">
        <f>IF(VLOOKUP(all_lmics181920[[Setting]:[Setting]],all_cause_mort[],12,FALSE)="",VLOOKUP(all_lmics181920[[who_choice_region]:[who_choice_region]],missing[],16,FALSE),VLOOKUP(all_lmics181920[[Setting]:[Setting]],all_cause_mort[],12,FALSE))*1.05</f>
        <v>3.395908005E-3</v>
      </c>
      <c r="Y29">
        <f>IF(VLOOKUP(all_lmics181920[[Setting]:[Setting]],all_cause_mort[],13,FALSE)="",VLOOKUP(all_lmics181920[[who_choice_region]:[who_choice_region]],missing[],17,FALSE),VLOOKUP(all_lmics181920[[Setting]:[Setting]],all_cause_mort[],13,FALSE))*1.05</f>
        <v>3.8597360550000001E-3</v>
      </c>
      <c r="Z29">
        <f>IF(VLOOKUP(all_lmics181920[[Setting]:[Setting]],all_cause_mort[],14,FALSE)="",VLOOKUP(all_lmics181920[[who_choice_region]:[who_choice_region]],missing[],18,FALSE),VLOOKUP(all_lmics181920[[Setting]:[Setting]],all_cause_mort[],14,FALSE))*1.05</f>
        <v>4.715152680000001E-3</v>
      </c>
      <c r="AA29">
        <f>IF(VLOOKUP(all_lmics181920[[Setting]:[Setting]],all_cause_mort[],15,FALSE)="",VLOOKUP(all_lmics181920[[who_choice_region]:[who_choice_region]],missing[],19,FALSE),VLOOKUP(all_lmics181920[[Setting]:[Setting]],all_cause_mort[],15,FALSE))*1.05</f>
        <v>6.2208645450000004E-3</v>
      </c>
      <c r="AB29">
        <f>IF(VLOOKUP(all_lmics181920[[Setting]:[Setting]],all_cause_mort[],16,FALSE)="",VLOOKUP(all_lmics181920[[who_choice_region]:[who_choice_region]],missing[],20,FALSE),VLOOKUP(all_lmics181920[[Setting]:[Setting]],all_cause_mort[],16,FALSE))*1.05</f>
        <v>8.69796984E-3</v>
      </c>
      <c r="AC29">
        <f>IF(VLOOKUP(all_lmics181920[[Setting]:[Setting]],all_cause_mort[],17,FALSE)="",VLOOKUP(all_lmics181920[[who_choice_region]:[who_choice_region]],missing[],21,FALSE),VLOOKUP(all_lmics181920[[Setting]:[Setting]],all_cause_mort[],17,FALSE))*1.05</f>
        <v>1.2732793500000001E-2</v>
      </c>
      <c r="AD29">
        <f>IF(VLOOKUP(all_lmics181920[[Setting]:[Setting]],all_cause_mort[],18,FALSE)="",VLOOKUP(all_lmics181920[[who_choice_region]:[who_choice_region]],missing[],22,FALSE),VLOOKUP(all_lmics181920[[Setting]:[Setting]],all_cause_mort[],18,FALSE))*1.05</f>
        <v>1.7350964399999998E-2</v>
      </c>
      <c r="AE29">
        <f>IF(VLOOKUP(all_lmics181920[[Setting]:[Setting]],all_cause_mort[],19,FALSE)="",VLOOKUP(all_lmics181920[[who_choice_region]:[who_choice_region]],missing[],23,FALSE),VLOOKUP(all_lmics181920[[Setting]:[Setting]],all_cause_mort[],19,FALSE))*1.05</f>
        <v>2.5422823650000002E-2</v>
      </c>
      <c r="AF29">
        <f>IF(VLOOKUP(all_lmics181920[[Setting]:[Setting]],all_cause_mort[],20,FALSE)="",VLOOKUP(all_lmics181920[[who_choice_region]:[who_choice_region]],missing[],24,FALSE),VLOOKUP(all_lmics181920[[Setting]:[Setting]],all_cause_mort[],20,FALSE))*1.05</f>
        <v>4.4112951749999997E-2</v>
      </c>
      <c r="AG29">
        <f>IF(VLOOKUP(all_lmics181920[[Setting]:[Setting]],all_cause_mort[],21,FALSE)="",VLOOKUP(all_lmics181920[[who_choice_region]:[who_choice_region]],missing[],25,FALSE),VLOOKUP(all_lmics181920[[Setting]:[Setting]],all_cause_mort[],21,FALSE))*1.05</f>
        <v>7.757574615E-2</v>
      </c>
      <c r="AH29">
        <f>IF(VLOOKUP(all_lmics181920[[Setting]:[Setting]],all_cause_mort[],22,FALSE)="",VLOOKUP(all_lmics181920[[who_choice_region]:[who_choice_region]],missing[],26,FALSE),VLOOKUP(all_lmics181920[[Setting]:[Setting]],all_cause_mort[],22,FALSE))*1.05</f>
        <v>0.1289327025</v>
      </c>
      <c r="AI29">
        <f>IF(VLOOKUP(all_lmics181920[[Setting]:[Setting]],all_cause_mort[],23,FALSE)="",VLOOKUP(all_lmics181920[[who_choice_region]:[who_choice_region]],missing[],27,FALSE),VLOOKUP(all_lmics181920[[Setting]:[Setting]],all_cause_mort[],23,FALSE))*1.05</f>
        <v>0.20273688750000002</v>
      </c>
      <c r="AJ29">
        <f>IF(VLOOKUP(all_lmics181920[[Setting]:[Setting]],all_cause_mort[],24,FALSE)="",VLOOKUP(all_lmics181920[[who_choice_region]:[who_choice_region]],missing[],28,FALSE),VLOOKUP(all_lmics181920[[Setting]:[Setting]],all_cause_mort[],24,FALSE))*1.05</f>
        <v>0.29777321699999998</v>
      </c>
      <c r="AK29">
        <f>IF(VLOOKUP(all_lmics181920[[Setting]:[Setting]],all_cause_mort[],25,FALSE)="",VLOOKUP(all_lmics181920[[who_choice_region]:[who_choice_region]],missing[],29,FALSE),VLOOKUP(all_lmics181920[[Setting]:[Setting]],all_cause_mort[],25,FALSE))*1.05</f>
        <v>0.41949048685466583</v>
      </c>
      <c r="AL29">
        <f>VLOOKUP(all_lmics181920[[worldbank_region]:[worldbank_region]],Table13[],2,FALSE)*1.05</f>
        <v>91.202986349999989</v>
      </c>
      <c r="AM29">
        <f>VLOOKUP(all_lmics181920[[worldbank_region]:[worldbank_region]],Table13[],3,FALSE)*1.05</f>
        <v>91.202986349999989</v>
      </c>
      <c r="AN29">
        <f>VLOOKUP(all_lmics181920[[worldbank_region]:[worldbank_region]],Table13[],4,FALSE)*1.05</f>
        <v>141.31828934999999</v>
      </c>
      <c r="AO29">
        <f>VLOOKUP(all_lmics181920[[worldbank_region]:[worldbank_region]],Table13[],5,FALSE)*1.05</f>
        <v>141.31828934999999</v>
      </c>
      <c r="AP29">
        <f>VLOOKUP(all_lmics181920[[worldbank_region]:[worldbank_region]],Table13[],6,FALSE)*1.05</f>
        <v>141.31828934999999</v>
      </c>
      <c r="AQ29">
        <f>VLOOKUP(all_lmics181920[[worldbank_region]:[worldbank_region]],Table14[],2,FALSE)*1.05</f>
        <v>1.5903741</v>
      </c>
      <c r="AR29">
        <f>VLOOKUP(all_lmics181920[[worldbank_region]:[worldbank_region]],Table14[],3,FALSE)*1.05</f>
        <v>2.2387491000000002</v>
      </c>
      <c r="AS29">
        <f>VLOOKUP(all_lmics181920[[worldbank_region]:[worldbank_region]],Table14[],4,FALSE)*1.05</f>
        <v>1.6132578000000002</v>
      </c>
      <c r="AT29">
        <f>VLOOKUP(all_lmics181920[[worldbank_region]:[worldbank_region]],Table14[],5,FALSE)*1.05</f>
        <v>2.2616328000000001</v>
      </c>
      <c r="AU29">
        <f>VLOOKUP(all_lmics181920[[worldbank_region]:[worldbank_region]],Table14[],6,FALSE)*1.05</f>
        <v>2.8603974000000001</v>
      </c>
      <c r="AV29">
        <f>MIN(IFERROR(VLOOKUP(all_lmics181920[[Setting]:[Setting]],nFacSBA[],4,FALSE),VLOOKUP(all_lmics181920[[who_choice_region]:[who_choice_region]],missing[],30,FALSE))*1.05, 0.9999)</f>
        <v>1.0613172767348397E-2</v>
      </c>
      <c r="AW29">
        <f>VLOOKUP(all_lmics181920[[worldbank_region]:[worldbank_region]],hbe[],4)</f>
        <v>0.5</v>
      </c>
      <c r="AX29">
        <f>VLOOKUP(all_lmics181920[[worldbank_region]:[worldbank_region]],hbe[],7)</f>
        <v>1</v>
      </c>
      <c r="AY29">
        <f>VLOOKUP(all_lmics181920[[worldbank_region]:[worldbank_region]],hbe[],10)</f>
        <v>0.25</v>
      </c>
    </row>
    <row r="30" spans="1:51" x14ac:dyDescent="0.35">
      <c r="A30" s="8" t="s">
        <v>104</v>
      </c>
      <c r="B30" s="10" t="s">
        <v>22</v>
      </c>
      <c r="C30" s="11" t="s">
        <v>383</v>
      </c>
      <c r="D30">
        <f>VLOOKUP(all_lmics181920[[Setting]:[Setting]],populations[],9,FALSE)</f>
        <v>9265067</v>
      </c>
      <c r="E30">
        <f>VLOOKUP(all_lmics181920[[Setting]:[Setting]],birthrate[],3,FALSE)</f>
        <v>2.1714999999999998E-2</v>
      </c>
      <c r="F30">
        <f>all_lmics181920[[#This Row],[2017_population]]*all_lmics181920[[#This Row],[2016_birthrate]]</f>
        <v>201190.929905</v>
      </c>
      <c r="G30">
        <f>MIN(VLOOKUP(all_lmics181920[[Setting]:[Setting]],birthdose[],4,FALSE)*1.05,0.9999)</f>
        <v>0.84000000000000008</v>
      </c>
      <c r="H30">
        <f>MIN(VLOOKUP(all_lmics181920[[Setting]:[Setting]],fullvax[],4,FALSE)*1.05,0.9999)</f>
        <v>0.99990000000000001</v>
      </c>
      <c r="I30">
        <f>IFERROR(VLOOKUP(all_lmics181920[[Setting]:[Setting]],prev[],3,FALSE),VLOOKUP(all_lmics181920[[who_choice_region]:[who_choice_region]],missing[],2,FALSE))</f>
        <v>4.1444892127893984E-3</v>
      </c>
      <c r="J30">
        <f>IFERROR(VLOOKUP(all_lmics181920[[Setting]:[Setting]],prev[],4,FALSE),VLOOKUP(all_lmics181920[[who_choice_region]:[who_choice_region]],missing[],3,FALSE))</f>
        <v>2.6055266579680684E-3</v>
      </c>
      <c r="K30">
        <f>IFERROR(VLOOKUP(all_lmics181920[[Setting]:[Setting]],prev[],5,FALSE),VLOOKUP(all_lmics181920[[who_choice_region]:[who_choice_region]],missing[],4,FALSE))</f>
        <v>7.7002555713058798E-3</v>
      </c>
      <c r="L30">
        <f>IFERROR(VLOOKUP(all_lmics181920[[Setting]:[Setting]],prev[],7,FALSE),VLOOKUP(all_lmics181920[[who_choice_region]:[who_choice_region]],missing[],5,FALSE))</f>
        <v>1.8146552860433664E-3</v>
      </c>
      <c r="M30">
        <f>IFERROR(VLOOKUP(all_lmics181920[[Setting]:[Setting]],prev[],6,FALSE),0)</f>
        <v>0</v>
      </c>
      <c r="N30">
        <f>MIN(IFERROR(VLOOKUP(all_lmics181920[[Setting]:[Setting]],SBA[],4,FALSE),VLOOKUP(all_lmics181920[[who_choice_region]:[who_choice_region]],missing[],6,FALSE))*1.05, 0.9999)</f>
        <v>0.86939999999999995</v>
      </c>
      <c r="O30">
        <f>MIN(IFERROR(VLOOKUP(all_lmics181920[[Setting]:[Setting]], facility[], 3,FALSE),VLOOKUP(all_lmics181920[[who_choice_region]:[who_choice_region]],missing[],7,FALSE))*1.05, 0.9999)</f>
        <v>0.86835000000000007</v>
      </c>
      <c r="P30">
        <f>IF(VLOOKUP(all_lmics181920[[Setting]:[Setting]],all_cause_mort[],4,FALSE)="",VLOOKUP(all_lmics181920[[who_choice_region]:[who_choice_region]],missing[],8,FALSE),VLOOKUP(all_lmics181920[[Setting]:[Setting]],all_cause_mort[],4,FALSE))*1.05</f>
        <v>1.6011147600000001E-2</v>
      </c>
      <c r="Q30">
        <f>IF(VLOOKUP(all_lmics181920[[Setting]:[Setting]],all_cause_mort[],5,FALSE)="",VLOOKUP(all_lmics181920[[who_choice_region]:[who_choice_region]],missing[],9,FALSE),VLOOKUP(all_lmics181920[[Setting]:[Setting]],all_cause_mort[],5,FALSE))*1.05</f>
        <v>1.6782977400000001E-3</v>
      </c>
      <c r="R30">
        <f>IF(VLOOKUP(all_lmics181920[[Setting]:[Setting]],all_cause_mort[],6,FALSE)="",VLOOKUP(all_lmics181920[[who_choice_region]:[who_choice_region]],missing[],10,FALSE),VLOOKUP(all_lmics181920[[Setting]:[Setting]],all_cause_mort[],6,FALSE))*1.05</f>
        <v>9.0382921650000009E-4</v>
      </c>
      <c r="S30">
        <f>IF(VLOOKUP(all_lmics181920[[Setting]:[Setting]],all_cause_mort[],7,FALSE)="",VLOOKUP(all_lmics181920[[who_choice_region]:[who_choice_region]],missing[],11,FALSE),VLOOKUP(all_lmics181920[[Setting]:[Setting]],all_cause_mort[],7,FALSE))*1.05</f>
        <v>7.3062437700000004E-4</v>
      </c>
      <c r="T30">
        <f>IF(VLOOKUP(all_lmics181920[[Setting]:[Setting]],all_cause_mort[],8,FALSE)="",VLOOKUP(all_lmics181920[[who_choice_region]:[who_choice_region]],missing[],12,FALSE),VLOOKUP(all_lmics181920[[Setting]:[Setting]],all_cause_mort[],8,FALSE))*1.05</f>
        <v>1.0500763350000002E-3</v>
      </c>
      <c r="U30">
        <f>IF(VLOOKUP(all_lmics181920[[Setting]:[Setting]],all_cause_mort[],9,FALSE)="",VLOOKUP(all_lmics181920[[who_choice_region]:[who_choice_region]],missing[],13,FALSE),VLOOKUP(all_lmics181920[[Setting]:[Setting]],all_cause_mort[],9,FALSE))*1.05</f>
        <v>1.5375179400000001E-3</v>
      </c>
      <c r="V30">
        <f>IF(VLOOKUP(all_lmics181920[[Setting]:[Setting]],all_cause_mort[],10,FALSE)="",VLOOKUP(all_lmics181920[[who_choice_region]:[who_choice_region]],missing[],14,FALSE),VLOOKUP(all_lmics181920[[Setting]:[Setting]],all_cause_mort[],10,FALSE))*1.05</f>
        <v>2.0333047350000002E-3</v>
      </c>
      <c r="W30">
        <f>IF(VLOOKUP(all_lmics181920[[Setting]:[Setting]],all_cause_mort[],11,FALSE)="",VLOOKUP(all_lmics181920[[who_choice_region]:[who_choice_region]],missing[],15,FALSE),VLOOKUP(all_lmics181920[[Setting]:[Setting]],all_cause_mort[],11,FALSE))*1.05</f>
        <v>2.5058423250000003E-3</v>
      </c>
      <c r="X30">
        <f>IF(VLOOKUP(all_lmics181920[[Setting]:[Setting]],all_cause_mort[],12,FALSE)="",VLOOKUP(all_lmics181920[[who_choice_region]:[who_choice_region]],missing[],16,FALSE),VLOOKUP(all_lmics181920[[Setting]:[Setting]],all_cause_mort[],12,FALSE))*1.05</f>
        <v>2.994425385E-3</v>
      </c>
      <c r="Y30">
        <f>IF(VLOOKUP(all_lmics181920[[Setting]:[Setting]],all_cause_mort[],13,FALSE)="",VLOOKUP(all_lmics181920[[who_choice_region]:[who_choice_region]],missing[],17,FALSE),VLOOKUP(all_lmics181920[[Setting]:[Setting]],all_cause_mort[],13,FALSE))*1.05</f>
        <v>3.6009505350000004E-3</v>
      </c>
      <c r="Z30">
        <f>IF(VLOOKUP(all_lmics181920[[Setting]:[Setting]],all_cause_mort[],14,FALSE)="",VLOOKUP(all_lmics181920[[who_choice_region]:[who_choice_region]],missing[],18,FALSE),VLOOKUP(all_lmics181920[[Setting]:[Setting]],all_cause_mort[],14,FALSE))*1.05</f>
        <v>4.4809556400000001E-3</v>
      </c>
      <c r="AA30">
        <f>IF(VLOOKUP(all_lmics181920[[Setting]:[Setting]],all_cause_mort[],15,FALSE)="",VLOOKUP(all_lmics181920[[who_choice_region]:[who_choice_region]],missing[],19,FALSE),VLOOKUP(all_lmics181920[[Setting]:[Setting]],all_cause_mort[],15,FALSE))*1.05</f>
        <v>5.8746388050000004E-3</v>
      </c>
      <c r="AB30">
        <f>IF(VLOOKUP(all_lmics181920[[Setting]:[Setting]],all_cause_mort[],16,FALSE)="",VLOOKUP(all_lmics181920[[who_choice_region]:[who_choice_region]],missing[],20,FALSE),VLOOKUP(all_lmics181920[[Setting]:[Setting]],all_cause_mort[],16,FALSE))*1.05</f>
        <v>8.1508819349999997E-3</v>
      </c>
      <c r="AC30">
        <f>IF(VLOOKUP(all_lmics181920[[Setting]:[Setting]],all_cause_mort[],17,FALSE)="",VLOOKUP(all_lmics181920[[who_choice_region]:[who_choice_region]],missing[],21,FALSE),VLOOKUP(all_lmics181920[[Setting]:[Setting]],all_cause_mort[],17,FALSE))*1.05</f>
        <v>1.1893570500000001E-2</v>
      </c>
      <c r="AD30">
        <f>IF(VLOOKUP(all_lmics181920[[Setting]:[Setting]],all_cause_mort[],18,FALSE)="",VLOOKUP(all_lmics181920[[who_choice_region]:[who_choice_region]],missing[],22,FALSE),VLOOKUP(all_lmics181920[[Setting]:[Setting]],all_cause_mort[],18,FALSE))*1.05</f>
        <v>1.8037539450000001E-2</v>
      </c>
      <c r="AE30">
        <f>IF(VLOOKUP(all_lmics181920[[Setting]:[Setting]],all_cause_mort[],19,FALSE)="",VLOOKUP(all_lmics181920[[who_choice_region]:[who_choice_region]],missing[],23,FALSE),VLOOKUP(all_lmics181920[[Setting]:[Setting]],all_cause_mort[],19,FALSE))*1.05</f>
        <v>2.80652547E-2</v>
      </c>
      <c r="AF30">
        <f>IF(VLOOKUP(all_lmics181920[[Setting]:[Setting]],all_cause_mort[],20,FALSE)="",VLOOKUP(all_lmics181920[[who_choice_region]:[who_choice_region]],missing[],24,FALSE),VLOOKUP(all_lmics181920[[Setting]:[Setting]],all_cause_mort[],20,FALSE))*1.05</f>
        <v>4.4285172749999997E-2</v>
      </c>
      <c r="AG30">
        <f>IF(VLOOKUP(all_lmics181920[[Setting]:[Setting]],all_cause_mort[],21,FALSE)="",VLOOKUP(all_lmics181920[[who_choice_region]:[who_choice_region]],missing[],25,FALSE),VLOOKUP(all_lmics181920[[Setting]:[Setting]],all_cause_mort[],21,FALSE))*1.05</f>
        <v>7.018152015000001E-2</v>
      </c>
      <c r="AH30">
        <f>IF(VLOOKUP(all_lmics181920[[Setting]:[Setting]],all_cause_mort[],22,FALSE)="",VLOOKUP(all_lmics181920[[who_choice_region]:[who_choice_region]],missing[],26,FALSE),VLOOKUP(all_lmics181920[[Setting]:[Setting]],all_cause_mort[],22,FALSE))*1.05</f>
        <v>0.11080420050000001</v>
      </c>
      <c r="AI30">
        <f>IF(VLOOKUP(all_lmics181920[[Setting]:[Setting]],all_cause_mort[],23,FALSE)="",VLOOKUP(all_lmics181920[[who_choice_region]:[who_choice_region]],missing[],27,FALSE),VLOOKUP(all_lmics181920[[Setting]:[Setting]],all_cause_mort[],23,FALSE))*1.05</f>
        <v>0.1731678375</v>
      </c>
      <c r="AJ30">
        <f>IF(VLOOKUP(all_lmics181920[[Setting]:[Setting]],all_cause_mort[],24,FALSE)="",VLOOKUP(all_lmics181920[[who_choice_region]:[who_choice_region]],missing[],28,FALSE),VLOOKUP(all_lmics181920[[Setting]:[Setting]],all_cause_mort[],24,FALSE))*1.05</f>
        <v>0.27298020750000002</v>
      </c>
      <c r="AK30">
        <f>IF(VLOOKUP(all_lmics181920[[Setting]:[Setting]],all_cause_mort[],25,FALSE)="",VLOOKUP(all_lmics181920[[who_choice_region]:[who_choice_region]],missing[],29,FALSE),VLOOKUP(all_lmics181920[[Setting]:[Setting]],all_cause_mort[],25,FALSE))*1.05</f>
        <v>0.41563421149321261</v>
      </c>
      <c r="AL30">
        <f>VLOOKUP(all_lmics181920[[worldbank_region]:[worldbank_region]],Table13[],2,FALSE)*1.05</f>
        <v>91.202986349999989</v>
      </c>
      <c r="AM30">
        <f>VLOOKUP(all_lmics181920[[worldbank_region]:[worldbank_region]],Table13[],3,FALSE)*1.05</f>
        <v>91.202986349999989</v>
      </c>
      <c r="AN30">
        <f>VLOOKUP(all_lmics181920[[worldbank_region]:[worldbank_region]],Table13[],4,FALSE)*1.05</f>
        <v>141.31828934999999</v>
      </c>
      <c r="AO30">
        <f>VLOOKUP(all_lmics181920[[worldbank_region]:[worldbank_region]],Table13[],5,FALSE)*1.05</f>
        <v>141.31828934999999</v>
      </c>
      <c r="AP30">
        <f>VLOOKUP(all_lmics181920[[worldbank_region]:[worldbank_region]],Table13[],6,FALSE)*1.05</f>
        <v>141.31828934999999</v>
      </c>
      <c r="AQ30">
        <f>VLOOKUP(all_lmics181920[[worldbank_region]:[worldbank_region]],Table14[],2,FALSE)*1.05</f>
        <v>1.5903741</v>
      </c>
      <c r="AR30">
        <f>VLOOKUP(all_lmics181920[[worldbank_region]:[worldbank_region]],Table14[],3,FALSE)*1.05</f>
        <v>2.2387491000000002</v>
      </c>
      <c r="AS30">
        <f>VLOOKUP(all_lmics181920[[worldbank_region]:[worldbank_region]],Table14[],4,FALSE)*1.05</f>
        <v>1.6132578000000002</v>
      </c>
      <c r="AT30">
        <f>VLOOKUP(all_lmics181920[[worldbank_region]:[worldbank_region]],Table14[],5,FALSE)*1.05</f>
        <v>2.2616328000000001</v>
      </c>
      <c r="AU30">
        <f>VLOOKUP(all_lmics181920[[worldbank_region]:[worldbank_region]],Table14[],6,FALSE)*1.05</f>
        <v>2.8603974000000001</v>
      </c>
      <c r="AV30">
        <f>MIN(IFERROR(VLOOKUP(all_lmics181920[[Setting]:[Setting]],nFacSBA[],4,FALSE),VLOOKUP(all_lmics181920[[who_choice_region]:[who_choice_region]],missing[],30,FALSE))*1.05, 0.9999)</f>
        <v>1.5070978026357377E-2</v>
      </c>
      <c r="AW30">
        <f>VLOOKUP(all_lmics181920[[worldbank_region]:[worldbank_region]],hbe[],4)</f>
        <v>0.5</v>
      </c>
      <c r="AX30">
        <f>VLOOKUP(all_lmics181920[[worldbank_region]:[worldbank_region]],hbe[],7)</f>
        <v>1</v>
      </c>
      <c r="AY30">
        <f>VLOOKUP(all_lmics181920[[worldbank_region]:[worldbank_region]],hbe[],10)</f>
        <v>0.25</v>
      </c>
    </row>
    <row r="31" spans="1:51" x14ac:dyDescent="0.35">
      <c r="A31" s="12" t="s">
        <v>107</v>
      </c>
      <c r="B31" s="13" t="s">
        <v>36</v>
      </c>
      <c r="C31" s="14" t="s">
        <v>37</v>
      </c>
      <c r="D31">
        <f>VLOOKUP(all_lmics181920[[Setting]:[Setting]],populations[],9,FALSE)</f>
        <v>1339180127</v>
      </c>
      <c r="E31">
        <f>VLOOKUP(all_lmics181920[[Setting]:[Setting]],birthrate[],3,FALSE)</f>
        <v>1.9013000000000002E-2</v>
      </c>
      <c r="F31">
        <f>all_lmics181920[[#This Row],[2017_population]]*all_lmics181920[[#This Row],[2016_birthrate]]</f>
        <v>25461831.754651003</v>
      </c>
      <c r="G31">
        <f>MIN(VLOOKUP(all_lmics181920[[Setting]:[Setting]],birthdose[],4,FALSE)*1.05,0.9999)</f>
        <v>0.55650000000000011</v>
      </c>
      <c r="H31">
        <f>MIN(VLOOKUP(all_lmics181920[[Setting]:[Setting]],fullvax[],4,FALSE)*1.05,0.9999)</f>
        <v>0.92400000000000004</v>
      </c>
      <c r="I31">
        <f>IFERROR(VLOOKUP(all_lmics181920[[Setting]:[Setting]],prev[],3,FALSE),VLOOKUP(all_lmics181920[[who_choice_region]:[who_choice_region]],missing[],2,FALSE))</f>
        <v>2.5000000000000001E-2</v>
      </c>
      <c r="J31">
        <f>IFERROR(VLOOKUP(all_lmics181920[[Setting]:[Setting]],prev[],4,FALSE),VLOOKUP(all_lmics181920[[who_choice_region]:[who_choice_region]],missing[],3,FALSE))</f>
        <v>2.1999999999999999E-2</v>
      </c>
      <c r="K31">
        <f>IFERROR(VLOOKUP(all_lmics181920[[Setting]:[Setting]],prev[],5,FALSE),VLOOKUP(all_lmics181920[[who_choice_region]:[who_choice_region]],missing[],4,FALSE))</f>
        <v>2.7E-2</v>
      </c>
      <c r="L31">
        <f>IFERROR(VLOOKUP(all_lmics181920[[Setting]:[Setting]],prev[],7,FALSE),VLOOKUP(all_lmics181920[[who_choice_region]:[who_choice_region]],missing[],5,FALSE))</f>
        <v>1.0204081632653053E-3</v>
      </c>
      <c r="M31">
        <f>IFERROR(VLOOKUP(all_lmics181920[[Setting]:[Setting]],prev[],6,FALSE),0)</f>
        <v>1339180127</v>
      </c>
      <c r="N31">
        <f>MIN(IFERROR(VLOOKUP(all_lmics181920[[Setting]:[Setting]],SBA[],4,FALSE),VLOOKUP(all_lmics181920[[who_choice_region]:[who_choice_region]],missing[],6,FALSE))*1.05, 0.9999)</f>
        <v>0.89985000000000004</v>
      </c>
      <c r="O31">
        <f>MIN(IFERROR(VLOOKUP(all_lmics181920[[Setting]:[Setting]], facility[], 3,FALSE),VLOOKUP(all_lmics181920[[who_choice_region]:[who_choice_region]],missing[],7,FALSE))*1.05, 0.9999)</f>
        <v>0.82845000000000002</v>
      </c>
      <c r="P31">
        <f>IF(VLOOKUP(all_lmics181920[[Setting]:[Setting]],all_cause_mort[],4,FALSE)="",VLOOKUP(all_lmics181920[[who_choice_region]:[who_choice_region]],missing[],8,FALSE),VLOOKUP(all_lmics181920[[Setting]:[Setting]],all_cause_mort[],4,FALSE))*1.05</f>
        <v>3.4550872650000002E-2</v>
      </c>
      <c r="Q31">
        <f>IF(VLOOKUP(all_lmics181920[[Setting]:[Setting]],all_cause_mort[],5,FALSE)="",VLOOKUP(all_lmics181920[[who_choice_region]:[who_choice_region]],missing[],9,FALSE),VLOOKUP(all_lmics181920[[Setting]:[Setting]],all_cause_mort[],5,FALSE))*1.05</f>
        <v>2.0177688300000002E-3</v>
      </c>
      <c r="R31">
        <f>IF(VLOOKUP(all_lmics181920[[Setting]:[Setting]],all_cause_mort[],6,FALSE)="",VLOOKUP(all_lmics181920[[who_choice_region]:[who_choice_region]],missing[],10,FALSE),VLOOKUP(all_lmics181920[[Setting]:[Setting]],all_cause_mort[],6,FALSE))*1.05</f>
        <v>7.5246388350000003E-4</v>
      </c>
      <c r="S31">
        <f>IF(VLOOKUP(all_lmics181920[[Setting]:[Setting]],all_cause_mort[],7,FALSE)="",VLOOKUP(all_lmics181920[[who_choice_region]:[who_choice_region]],missing[],11,FALSE),VLOOKUP(all_lmics181920[[Setting]:[Setting]],all_cause_mort[],7,FALSE))*1.05</f>
        <v>6.3261531900000003E-4</v>
      </c>
      <c r="T31">
        <f>IF(VLOOKUP(all_lmics181920[[Setting]:[Setting]],all_cause_mort[],8,FALSE)="",VLOOKUP(all_lmics181920[[who_choice_region]:[who_choice_region]],missing[],12,FALSE),VLOOKUP(all_lmics181920[[Setting]:[Setting]],all_cause_mort[],8,FALSE))*1.05</f>
        <v>9.9594006750000001E-4</v>
      </c>
      <c r="U31">
        <f>IF(VLOOKUP(all_lmics181920[[Setting]:[Setting]],all_cause_mort[],9,FALSE)="",VLOOKUP(all_lmics181920[[who_choice_region]:[who_choice_region]],missing[],13,FALSE),VLOOKUP(all_lmics181920[[Setting]:[Setting]],all_cause_mort[],9,FALSE))*1.05</f>
        <v>1.4466427500000002E-3</v>
      </c>
      <c r="V31">
        <f>IF(VLOOKUP(all_lmics181920[[Setting]:[Setting]],all_cause_mort[],10,FALSE)="",VLOOKUP(all_lmics181920[[who_choice_region]:[who_choice_region]],missing[],14,FALSE),VLOOKUP(all_lmics181920[[Setting]:[Setting]],all_cause_mort[],10,FALSE))*1.05</f>
        <v>1.6364592300000002E-3</v>
      </c>
      <c r="W31">
        <f>IF(VLOOKUP(all_lmics181920[[Setting]:[Setting]],all_cause_mort[],11,FALSE)="",VLOOKUP(all_lmics181920[[who_choice_region]:[who_choice_region]],missing[],15,FALSE),VLOOKUP(all_lmics181920[[Setting]:[Setting]],all_cause_mort[],11,FALSE))*1.05</f>
        <v>2.0905329899999999E-3</v>
      </c>
      <c r="X31">
        <f>IF(VLOOKUP(all_lmics181920[[Setting]:[Setting]],all_cause_mort[],12,FALSE)="",VLOOKUP(all_lmics181920[[who_choice_region]:[who_choice_region]],missing[],16,FALSE),VLOOKUP(all_lmics181920[[Setting]:[Setting]],all_cause_mort[],12,FALSE))*1.05</f>
        <v>2.8998043200000002E-3</v>
      </c>
      <c r="Y31">
        <f>IF(VLOOKUP(all_lmics181920[[Setting]:[Setting]],all_cause_mort[],13,FALSE)="",VLOOKUP(all_lmics181920[[who_choice_region]:[who_choice_region]],missing[],17,FALSE),VLOOKUP(all_lmics181920[[Setting]:[Setting]],all_cause_mort[],13,FALSE))*1.05</f>
        <v>3.9078892650000006E-3</v>
      </c>
      <c r="Z31">
        <f>IF(VLOOKUP(all_lmics181920[[Setting]:[Setting]],all_cause_mort[],14,FALSE)="",VLOOKUP(all_lmics181920[[who_choice_region]:[who_choice_region]],missing[],18,FALSE),VLOOKUP(all_lmics181920[[Setting]:[Setting]],all_cause_mort[],14,FALSE))*1.05</f>
        <v>5.6330332799999997E-3</v>
      </c>
      <c r="AA31">
        <f>IF(VLOOKUP(all_lmics181920[[Setting]:[Setting]],all_cause_mort[],15,FALSE)="",VLOOKUP(all_lmics181920[[who_choice_region]:[who_choice_region]],missing[],19,FALSE),VLOOKUP(all_lmics181920[[Setting]:[Setting]],all_cause_mort[],15,FALSE))*1.05</f>
        <v>9.0822565050000005E-3</v>
      </c>
      <c r="AB31">
        <f>IF(VLOOKUP(all_lmics181920[[Setting]:[Setting]],all_cause_mort[],16,FALSE)="",VLOOKUP(all_lmics181920[[who_choice_region]:[who_choice_region]],missing[],20,FALSE),VLOOKUP(all_lmics181920[[Setting]:[Setting]],all_cause_mort[],16,FALSE))*1.05</f>
        <v>1.363205235E-2</v>
      </c>
      <c r="AC31">
        <f>IF(VLOOKUP(all_lmics181920[[Setting]:[Setting]],all_cause_mort[],17,FALSE)="",VLOOKUP(all_lmics181920[[who_choice_region]:[who_choice_region]],missing[],21,FALSE),VLOOKUP(all_lmics181920[[Setting]:[Setting]],all_cause_mort[],17,FALSE))*1.05</f>
        <v>2.0426382899999998E-2</v>
      </c>
      <c r="AD31">
        <f>IF(VLOOKUP(all_lmics181920[[Setting]:[Setting]],all_cause_mort[],18,FALSE)="",VLOOKUP(all_lmics181920[[who_choice_region]:[who_choice_region]],missing[],22,FALSE),VLOOKUP(all_lmics181920[[Setting]:[Setting]],all_cause_mort[],18,FALSE))*1.05</f>
        <v>3.1370843700000005E-2</v>
      </c>
      <c r="AE31">
        <f>IF(VLOOKUP(all_lmics181920[[Setting]:[Setting]],all_cause_mort[],19,FALSE)="",VLOOKUP(all_lmics181920[[who_choice_region]:[who_choice_region]],missing[],23,FALSE),VLOOKUP(all_lmics181920[[Setting]:[Setting]],all_cause_mort[],19,FALSE))*1.05</f>
        <v>5.0192891700000006E-2</v>
      </c>
      <c r="AF31">
        <f>IF(VLOOKUP(all_lmics181920[[Setting]:[Setting]],all_cause_mort[],20,FALSE)="",VLOOKUP(all_lmics181920[[who_choice_region]:[who_choice_region]],missing[],24,FALSE),VLOOKUP(all_lmics181920[[Setting]:[Setting]],all_cause_mort[],20,FALSE))*1.05</f>
        <v>7.4962122899999997E-2</v>
      </c>
      <c r="AG31">
        <f>IF(VLOOKUP(all_lmics181920[[Setting]:[Setting]],all_cause_mort[],21,FALSE)="",VLOOKUP(all_lmics181920[[who_choice_region]:[who_choice_region]],missing[],25,FALSE),VLOOKUP(all_lmics181920[[Setting]:[Setting]],all_cause_mort[],21,FALSE))*1.05</f>
        <v>0.11677279950000001</v>
      </c>
      <c r="AH31">
        <f>IF(VLOOKUP(all_lmics181920[[Setting]:[Setting]],all_cause_mort[],22,FALSE)="",VLOOKUP(all_lmics181920[[who_choice_region]:[who_choice_region]],missing[],26,FALSE),VLOOKUP(all_lmics181920[[Setting]:[Setting]],all_cause_mort[],22,FALSE))*1.05</f>
        <v>0.17687826450000002</v>
      </c>
      <c r="AI31">
        <f>IF(VLOOKUP(all_lmics181920[[Setting]:[Setting]],all_cause_mort[],23,FALSE)="",VLOOKUP(all_lmics181920[[who_choice_region]:[who_choice_region]],missing[],27,FALSE),VLOOKUP(all_lmics181920[[Setting]:[Setting]],all_cause_mort[],23,FALSE))*1.05</f>
        <v>0.25999011150000001</v>
      </c>
      <c r="AJ31">
        <f>IF(VLOOKUP(all_lmics181920[[Setting]:[Setting]],all_cause_mort[],24,FALSE)="",VLOOKUP(all_lmics181920[[who_choice_region]:[who_choice_region]],missing[],28,FALSE),VLOOKUP(all_lmics181920[[Setting]:[Setting]],all_cause_mort[],24,FALSE))*1.05</f>
        <v>0.24287193000000001</v>
      </c>
      <c r="AK31">
        <f>IF(VLOOKUP(all_lmics181920[[Setting]:[Setting]],all_cause_mort[],25,FALSE)="",VLOOKUP(all_lmics181920[[who_choice_region]:[who_choice_region]],missing[],29,FALSE),VLOOKUP(all_lmics181920[[Setting]:[Setting]],all_cause_mort[],25,FALSE))*1.05</f>
        <v>0.34366011242464234</v>
      </c>
      <c r="AL31">
        <f>VLOOKUP(all_lmics181920[[worldbank_region]:[worldbank_region]],Table13[],2,FALSE)*1.05</f>
        <v>60.229898399999996</v>
      </c>
      <c r="AM31">
        <f>VLOOKUP(all_lmics181920[[worldbank_region]:[worldbank_region]],Table13[],3,FALSE)*1.05</f>
        <v>60.229898399999996</v>
      </c>
      <c r="AN31">
        <f>VLOOKUP(all_lmics181920[[worldbank_region]:[worldbank_region]],Table13[],4,FALSE)*1.05</f>
        <v>110.34520139999999</v>
      </c>
      <c r="AO31">
        <f>VLOOKUP(all_lmics181920[[worldbank_region]:[worldbank_region]],Table13[],5,FALSE)*1.05</f>
        <v>110.34520139999999</v>
      </c>
      <c r="AP31">
        <f>VLOOKUP(all_lmics181920[[worldbank_region]:[worldbank_region]],Table13[],6,FALSE)*1.05</f>
        <v>110.34520139999999</v>
      </c>
      <c r="AQ31">
        <f>VLOOKUP(all_lmics181920[[worldbank_region]:[worldbank_region]],Table14[],2,FALSE)*1.05</f>
        <v>1.0068397500000001</v>
      </c>
      <c r="AR31">
        <f>VLOOKUP(all_lmics181920[[worldbank_region]:[worldbank_region]],Table14[],3,FALSE)*1.05</f>
        <v>1.6552147500000003</v>
      </c>
      <c r="AS31">
        <f>VLOOKUP(all_lmics181920[[worldbank_region]:[worldbank_region]],Table14[],4,FALSE)*1.05</f>
        <v>34.6802043</v>
      </c>
      <c r="AT31">
        <f>VLOOKUP(all_lmics181920[[worldbank_region]:[worldbank_region]],Table14[],5,FALSE)*1.05</f>
        <v>35.328579300000001</v>
      </c>
      <c r="AU31">
        <f>VLOOKUP(all_lmics181920[[worldbank_region]:[worldbank_region]],Table14[],6,FALSE)*1.05</f>
        <v>35.927343900000004</v>
      </c>
      <c r="AV31">
        <f>MIN(IFERROR(VLOOKUP(all_lmics181920[[Setting]:[Setting]],nFacSBA[],4,FALSE),VLOOKUP(all_lmics181920[[who_choice_region]:[who_choice_region]],missing[],30,FALSE))*1.05, 0.9999)</f>
        <v>0.14841242375813823</v>
      </c>
      <c r="AW31">
        <f>VLOOKUP(all_lmics181920[[worldbank_region]:[worldbank_region]],hbe[],4)</f>
        <v>0.5</v>
      </c>
      <c r="AX31">
        <f>VLOOKUP(all_lmics181920[[worldbank_region]:[worldbank_region]],hbe[],7)</f>
        <v>1</v>
      </c>
      <c r="AY31">
        <f>VLOOKUP(all_lmics181920[[worldbank_region]:[worldbank_region]],hbe[],10)</f>
        <v>0.25</v>
      </c>
    </row>
    <row r="32" spans="1:51" x14ac:dyDescent="0.35">
      <c r="A32" s="8" t="s">
        <v>108</v>
      </c>
      <c r="B32" s="10" t="s">
        <v>109</v>
      </c>
      <c r="C32" s="11" t="s">
        <v>58</v>
      </c>
      <c r="D32">
        <f>VLOOKUP(all_lmics181920[[Setting]:[Setting]],populations[],9,FALSE)</f>
        <v>263991379</v>
      </c>
      <c r="E32">
        <f>VLOOKUP(all_lmics181920[[Setting]:[Setting]],birthrate[],3,FALSE)</f>
        <v>1.8985999999999999E-2</v>
      </c>
      <c r="F32">
        <f>all_lmics181920[[#This Row],[2017_population]]*all_lmics181920[[#This Row],[2016_birthrate]]</f>
        <v>5012140.3216939997</v>
      </c>
      <c r="G32">
        <f>MIN(VLOOKUP(all_lmics181920[[Setting]:[Setting]],birthdose[],4,FALSE)*1.05,0.9999)</f>
        <v>0.33600000000000002</v>
      </c>
      <c r="H32">
        <f>MIN(VLOOKUP(all_lmics181920[[Setting]:[Setting]],fullvax[],4,FALSE)*1.05,0.9999)</f>
        <v>0.82950000000000013</v>
      </c>
      <c r="I32">
        <f>IFERROR(VLOOKUP(all_lmics181920[[Setting]:[Setting]],prev[],3,FALSE),VLOOKUP(all_lmics181920[[who_choice_region]:[who_choice_region]],missing[],2,FALSE))</f>
        <v>6.8000000000000005E-2</v>
      </c>
      <c r="J32">
        <f>IFERROR(VLOOKUP(all_lmics181920[[Setting]:[Setting]],prev[],4,FALSE),VLOOKUP(all_lmics181920[[who_choice_region]:[who_choice_region]],missing[],3,FALSE))</f>
        <v>6.3E-2</v>
      </c>
      <c r="K32">
        <f>IFERROR(VLOOKUP(all_lmics181920[[Setting]:[Setting]],prev[],5,FALSE),VLOOKUP(all_lmics181920[[who_choice_region]:[who_choice_region]],missing[],4,FALSE))</f>
        <v>8.2000000000000003E-2</v>
      </c>
      <c r="L32">
        <f>IFERROR(VLOOKUP(all_lmics181920[[Setting]:[Setting]],prev[],7,FALSE),VLOOKUP(all_lmics181920[[who_choice_region]:[who_choice_region]],missing[],5,FALSE))</f>
        <v>7.1428571428571426E-3</v>
      </c>
      <c r="M32">
        <f>IFERROR(VLOOKUP(all_lmics181920[[Setting]:[Setting]],prev[],6,FALSE),0)</f>
        <v>263991379</v>
      </c>
      <c r="N32">
        <f>MIN(IFERROR(VLOOKUP(all_lmics181920[[Setting]:[Setting]],SBA[],4,FALSE),VLOOKUP(all_lmics181920[[who_choice_region]:[who_choice_region]],missing[],6,FALSE))*1.05, 0.9999)</f>
        <v>0.97229999999999994</v>
      </c>
      <c r="O32">
        <f>MIN(IFERROR(VLOOKUP(all_lmics181920[[Setting]:[Setting]], facility[], 3,FALSE),VLOOKUP(all_lmics181920[[who_choice_region]:[who_choice_region]],missing[],7,FALSE))*1.05, 0.9999)</f>
        <v>0.83685000000000009</v>
      </c>
      <c r="P32">
        <f>IF(VLOOKUP(all_lmics181920[[Setting]:[Setting]],all_cause_mort[],4,FALSE)="",VLOOKUP(all_lmics181920[[who_choice_region]:[who_choice_region]],missing[],8,FALSE),VLOOKUP(all_lmics181920[[Setting]:[Setting]],all_cause_mort[],4,FALSE))*1.05</f>
        <v>2.0212661699999999E-2</v>
      </c>
      <c r="Q32">
        <f>IF(VLOOKUP(all_lmics181920[[Setting]:[Setting]],all_cause_mort[],5,FALSE)="",VLOOKUP(all_lmics181920[[who_choice_region]:[who_choice_region]],missing[],9,FALSE),VLOOKUP(all_lmics181920[[Setting]:[Setting]],all_cause_mort[],5,FALSE))*1.05</f>
        <v>1.60432755E-3</v>
      </c>
      <c r="R32">
        <f>IF(VLOOKUP(all_lmics181920[[Setting]:[Setting]],all_cause_mort[],6,FALSE)="",VLOOKUP(all_lmics181920[[who_choice_region]:[who_choice_region]],missing[],10,FALSE),VLOOKUP(all_lmics181920[[Setting]:[Setting]],all_cause_mort[],6,FALSE))*1.05</f>
        <v>5.3244051000000004E-4</v>
      </c>
      <c r="S32">
        <f>IF(VLOOKUP(all_lmics181920[[Setting]:[Setting]],all_cause_mort[],7,FALSE)="",VLOOKUP(all_lmics181920[[who_choice_region]:[who_choice_region]],missing[],11,FALSE),VLOOKUP(all_lmics181920[[Setting]:[Setting]],all_cause_mort[],7,FALSE))*1.05</f>
        <v>4.7042326800000005E-4</v>
      </c>
      <c r="T32">
        <f>IF(VLOOKUP(all_lmics181920[[Setting]:[Setting]],all_cause_mort[],8,FALSE)="",VLOOKUP(all_lmics181920[[who_choice_region]:[who_choice_region]],missing[],12,FALSE),VLOOKUP(all_lmics181920[[Setting]:[Setting]],all_cause_mort[],8,FALSE))*1.05</f>
        <v>9.8737443000000008E-4</v>
      </c>
      <c r="U32">
        <f>IF(VLOOKUP(all_lmics181920[[Setting]:[Setting]],all_cause_mort[],9,FALSE)="",VLOOKUP(all_lmics181920[[who_choice_region]:[who_choice_region]],missing[],13,FALSE),VLOOKUP(all_lmics181920[[Setting]:[Setting]],all_cause_mort[],9,FALSE))*1.05</f>
        <v>1.2984415500000002E-3</v>
      </c>
      <c r="V32">
        <f>IF(VLOOKUP(all_lmics181920[[Setting]:[Setting]],all_cause_mort[],10,FALSE)="",VLOOKUP(all_lmics181920[[who_choice_region]:[who_choice_region]],missing[],14,FALSE),VLOOKUP(all_lmics181920[[Setting]:[Setting]],all_cause_mort[],10,FALSE))*1.05</f>
        <v>1.3762826700000001E-3</v>
      </c>
      <c r="W32">
        <f>IF(VLOOKUP(all_lmics181920[[Setting]:[Setting]],all_cause_mort[],11,FALSE)="",VLOOKUP(all_lmics181920[[who_choice_region]:[who_choice_region]],missing[],15,FALSE),VLOOKUP(all_lmics181920[[Setting]:[Setting]],all_cause_mort[],11,FALSE))*1.05</f>
        <v>1.63804263E-3</v>
      </c>
      <c r="X32">
        <f>IF(VLOOKUP(all_lmics181920[[Setting]:[Setting]],all_cause_mort[],12,FALSE)="",VLOOKUP(all_lmics181920[[who_choice_region]:[who_choice_region]],missing[],16,FALSE),VLOOKUP(all_lmics181920[[Setting]:[Setting]],all_cause_mort[],12,FALSE))*1.05</f>
        <v>2.2064787150000002E-3</v>
      </c>
      <c r="Y32">
        <f>IF(VLOOKUP(all_lmics181920[[Setting]:[Setting]],all_cause_mort[],13,FALSE)="",VLOOKUP(all_lmics181920[[who_choice_region]:[who_choice_region]],missing[],17,FALSE),VLOOKUP(all_lmics181920[[Setting]:[Setting]],all_cause_mort[],13,FALSE))*1.05</f>
        <v>3.1720347750000002E-3</v>
      </c>
      <c r="Z32">
        <f>IF(VLOOKUP(all_lmics181920[[Setting]:[Setting]],all_cause_mort[],14,FALSE)="",VLOOKUP(all_lmics181920[[who_choice_region]:[who_choice_region]],missing[],18,FALSE),VLOOKUP(all_lmics181920[[Setting]:[Setting]],all_cause_mort[],14,FALSE))*1.05</f>
        <v>4.8782022450000002E-3</v>
      </c>
      <c r="AA32">
        <f>IF(VLOOKUP(all_lmics181920[[Setting]:[Setting]],all_cause_mort[],15,FALSE)="",VLOOKUP(all_lmics181920[[who_choice_region]:[who_choice_region]],missing[],19,FALSE),VLOOKUP(all_lmics181920[[Setting]:[Setting]],all_cause_mort[],15,FALSE))*1.05</f>
        <v>7.5884389350000005E-3</v>
      </c>
      <c r="AB32">
        <f>IF(VLOOKUP(all_lmics181920[[Setting]:[Setting]],all_cause_mort[],16,FALSE)="",VLOOKUP(all_lmics181920[[who_choice_region]:[who_choice_region]],missing[],20,FALSE),VLOOKUP(all_lmics181920[[Setting]:[Setting]],all_cause_mort[],16,FALSE))*1.05</f>
        <v>1.1896304700000001E-2</v>
      </c>
      <c r="AC32">
        <f>IF(VLOOKUP(all_lmics181920[[Setting]:[Setting]],all_cause_mort[],17,FALSE)="",VLOOKUP(all_lmics181920[[who_choice_region]:[who_choice_region]],missing[],21,FALSE),VLOOKUP(all_lmics181920[[Setting]:[Setting]],all_cause_mort[],17,FALSE))*1.05</f>
        <v>1.8603678450000001E-2</v>
      </c>
      <c r="AD32">
        <f>IF(VLOOKUP(all_lmics181920[[Setting]:[Setting]],all_cause_mort[],18,FALSE)="",VLOOKUP(all_lmics181920[[who_choice_region]:[who_choice_region]],missing[],22,FALSE),VLOOKUP(all_lmics181920[[Setting]:[Setting]],all_cause_mort[],18,FALSE))*1.05</f>
        <v>2.8845023550000001E-2</v>
      </c>
      <c r="AE32">
        <f>IF(VLOOKUP(all_lmics181920[[Setting]:[Setting]],all_cause_mort[],19,FALSE)="",VLOOKUP(all_lmics181920[[who_choice_region]:[who_choice_region]],missing[],23,FALSE),VLOOKUP(all_lmics181920[[Setting]:[Setting]],all_cause_mort[],19,FALSE))*1.05</f>
        <v>4.5778949999999999E-2</v>
      </c>
      <c r="AF32">
        <f>IF(VLOOKUP(all_lmics181920[[Setting]:[Setting]],all_cause_mort[],20,FALSE)="",VLOOKUP(all_lmics181920[[who_choice_region]:[who_choice_region]],missing[],24,FALSE),VLOOKUP(all_lmics181920[[Setting]:[Setting]],all_cause_mort[],20,FALSE))*1.05</f>
        <v>7.528833900000001E-2</v>
      </c>
      <c r="AG32">
        <f>IF(VLOOKUP(all_lmics181920[[Setting]:[Setting]],all_cause_mort[],21,FALSE)="",VLOOKUP(all_lmics181920[[who_choice_region]:[who_choice_region]],missing[],25,FALSE),VLOOKUP(all_lmics181920[[Setting]:[Setting]],all_cause_mort[],21,FALSE))*1.05</f>
        <v>0.12155266200000001</v>
      </c>
      <c r="AH32">
        <f>IF(VLOOKUP(all_lmics181920[[Setting]:[Setting]],all_cause_mort[],22,FALSE)="",VLOOKUP(all_lmics181920[[who_choice_region]:[who_choice_region]],missing[],26,FALSE),VLOOKUP(all_lmics181920[[Setting]:[Setting]],all_cause_mort[],22,FALSE))*1.05</f>
        <v>0.19304998650000002</v>
      </c>
      <c r="AI32">
        <f>IF(VLOOKUP(all_lmics181920[[Setting]:[Setting]],all_cause_mort[],23,FALSE)="",VLOOKUP(all_lmics181920[[who_choice_region]:[who_choice_region]],missing[],27,FALSE),VLOOKUP(all_lmics181920[[Setting]:[Setting]],all_cause_mort[],23,FALSE))*1.05</f>
        <v>0.28746711000000003</v>
      </c>
      <c r="AJ32">
        <f>IF(VLOOKUP(all_lmics181920[[Setting]:[Setting]],all_cause_mort[],24,FALSE)="",VLOOKUP(all_lmics181920[[who_choice_region]:[who_choice_region]],missing[],28,FALSE),VLOOKUP(all_lmics181920[[Setting]:[Setting]],all_cause_mort[],24,FALSE))*1.05</f>
        <v>0.40882399950000003</v>
      </c>
      <c r="AK32">
        <f>IF(VLOOKUP(all_lmics181920[[Setting]:[Setting]],all_cause_mort[],25,FALSE)="",VLOOKUP(all_lmics181920[[who_choice_region]:[who_choice_region]],missing[],29,FALSE),VLOOKUP(all_lmics181920[[Setting]:[Setting]],all_cause_mort[],25,FALSE))*1.05</f>
        <v>0.55232898987076029</v>
      </c>
      <c r="AL32">
        <f>VLOOKUP(all_lmics181920[[worldbank_region]:[worldbank_region]],Table13[],2,FALSE)*1.05</f>
        <v>76.717604249999994</v>
      </c>
      <c r="AM32">
        <f>VLOOKUP(all_lmics181920[[worldbank_region]:[worldbank_region]],Table13[],3,FALSE)*1.05</f>
        <v>76.717604249999994</v>
      </c>
      <c r="AN32">
        <f>VLOOKUP(all_lmics181920[[worldbank_region]:[worldbank_region]],Table13[],4,FALSE)*1.05</f>
        <v>126.83290724999999</v>
      </c>
      <c r="AO32">
        <f>VLOOKUP(all_lmics181920[[worldbank_region]:[worldbank_region]],Table13[],5,FALSE)*1.05</f>
        <v>126.83290724999999</v>
      </c>
      <c r="AP32">
        <f>VLOOKUP(all_lmics181920[[worldbank_region]:[worldbank_region]],Table13[],6,FALSE)*1.05</f>
        <v>126.83290724999999</v>
      </c>
      <c r="AQ32">
        <f>VLOOKUP(all_lmics181920[[worldbank_region]:[worldbank_region]],Table14[],2,FALSE)*1.05</f>
        <v>1.4073045</v>
      </c>
      <c r="AR32">
        <f>VLOOKUP(all_lmics181920[[worldbank_region]:[worldbank_region]],Table14[],3,FALSE)*1.05</f>
        <v>2.0556795000000001</v>
      </c>
      <c r="AS32">
        <f>VLOOKUP(all_lmics181920[[worldbank_region]:[worldbank_region]],Table14[],4,FALSE)*1.05</f>
        <v>2.0709317999999999</v>
      </c>
      <c r="AT32">
        <f>VLOOKUP(all_lmics181920[[worldbank_region]:[worldbank_region]],Table14[],5,FALSE)*1.05</f>
        <v>2.7193068</v>
      </c>
      <c r="AU32">
        <f>VLOOKUP(all_lmics181920[[worldbank_region]:[worldbank_region]],Table14[],6,FALSE)*1.05</f>
        <v>3.3180714</v>
      </c>
      <c r="AV32">
        <f>MIN(IFERROR(VLOOKUP(all_lmics181920[[Setting]:[Setting]],nFacSBA[],4,FALSE),VLOOKUP(all_lmics181920[[who_choice_region]:[who_choice_region]],missing[],30,FALSE))*1.05, 0.9999)</f>
        <v>0.58581155516782146</v>
      </c>
      <c r="AW32">
        <f>VLOOKUP(all_lmics181920[[worldbank_region]:[worldbank_region]],hbe[],4)</f>
        <v>0.5</v>
      </c>
      <c r="AX32">
        <f>VLOOKUP(all_lmics181920[[worldbank_region]:[worldbank_region]],hbe[],7)</f>
        <v>1</v>
      </c>
      <c r="AY32">
        <f>VLOOKUP(all_lmics181920[[worldbank_region]:[worldbank_region]],hbe[],10)</f>
        <v>0.25</v>
      </c>
    </row>
    <row r="33" spans="1:51" x14ac:dyDescent="0.35">
      <c r="A33" s="12" t="s">
        <v>110</v>
      </c>
      <c r="B33" s="13" t="s">
        <v>33</v>
      </c>
      <c r="C33" s="14" t="s">
        <v>7</v>
      </c>
      <c r="D33">
        <f>VLOOKUP(all_lmics181920[[Setting]:[Setting]],populations[],9,FALSE)</f>
        <v>81162788</v>
      </c>
      <c r="E33">
        <f>VLOOKUP(all_lmics181920[[Setting]:[Setting]],birthrate[],3,FALSE)</f>
        <v>1.6544E-2</v>
      </c>
      <c r="F33">
        <f>all_lmics181920[[#This Row],[2017_population]]*all_lmics181920[[#This Row],[2016_birthrate]]</f>
        <v>1342757.1646719999</v>
      </c>
      <c r="G33">
        <f>MIN(VLOOKUP(all_lmics181920[[Setting]:[Setting]],birthdose[],4,FALSE)*1.05,0.9999)</f>
        <v>0.99749999999999994</v>
      </c>
      <c r="H33">
        <f>MIN(VLOOKUP(all_lmics181920[[Setting]:[Setting]],fullvax[],4,FALSE)*1.05,0.9999)</f>
        <v>0.99990000000000001</v>
      </c>
      <c r="I33">
        <f>IFERROR(VLOOKUP(all_lmics181920[[Setting]:[Setting]],prev[],3,FALSE),VLOOKUP(all_lmics181920[[who_choice_region]:[who_choice_region]],missing[],2,FALSE))</f>
        <v>1.7000000000000001E-2</v>
      </c>
      <c r="J33">
        <f>IFERROR(VLOOKUP(all_lmics181920[[Setting]:[Setting]],prev[],4,FALSE),VLOOKUP(all_lmics181920[[who_choice_region]:[who_choice_region]],missing[],3,FALSE))</f>
        <v>1.6E-2</v>
      </c>
      <c r="K33">
        <f>IFERROR(VLOOKUP(all_lmics181920[[Setting]:[Setting]],prev[],5,FALSE),VLOOKUP(all_lmics181920[[who_choice_region]:[who_choice_region]],missing[],4,FALSE))</f>
        <v>1.9E-2</v>
      </c>
      <c r="L33">
        <f>IFERROR(VLOOKUP(all_lmics181920[[Setting]:[Setting]],prev[],7,FALSE),VLOOKUP(all_lmics181920[[who_choice_region]:[who_choice_region]],missing[],5,FALSE))</f>
        <v>1.0204081632653053E-3</v>
      </c>
      <c r="M33">
        <f>IFERROR(VLOOKUP(all_lmics181920[[Setting]:[Setting]],prev[],6,FALSE),0)</f>
        <v>81162788</v>
      </c>
      <c r="N33">
        <f>MIN(IFERROR(VLOOKUP(all_lmics181920[[Setting]:[Setting]],SBA[],4,FALSE),VLOOKUP(all_lmics181920[[who_choice_region]:[who_choice_region]],missing[],6,FALSE))*1.05, 0.9999)</f>
        <v>0.99990000000000001</v>
      </c>
      <c r="O33">
        <f>MIN(IFERROR(VLOOKUP(all_lmics181920[[Setting]:[Setting]], facility[], 3,FALSE),VLOOKUP(all_lmics181920[[who_choice_region]:[who_choice_region]],missing[],7,FALSE))*1.05, 0.9999)</f>
        <v>0.99990000000000001</v>
      </c>
      <c r="P33">
        <f>IF(VLOOKUP(all_lmics181920[[Setting]:[Setting]],all_cause_mort[],4,FALSE)="",VLOOKUP(all_lmics181920[[who_choice_region]:[who_choice_region]],missing[],8,FALSE),VLOOKUP(all_lmics181920[[Setting]:[Setting]],all_cause_mort[],4,FALSE))*1.05</f>
        <v>1.361825325E-2</v>
      </c>
      <c r="Q33">
        <f>IF(VLOOKUP(all_lmics181920[[Setting]:[Setting]],all_cause_mort[],5,FALSE)="",VLOOKUP(all_lmics181920[[who_choice_region]:[who_choice_region]],missing[],9,FALSE),VLOOKUP(all_lmics181920[[Setting]:[Setting]],all_cause_mort[],5,FALSE))*1.05</f>
        <v>5.5913929050000009E-4</v>
      </c>
      <c r="R33">
        <f>IF(VLOOKUP(all_lmics181920[[Setting]:[Setting]],all_cause_mort[],6,FALSE)="",VLOOKUP(all_lmics181920[[who_choice_region]:[who_choice_region]],missing[],10,FALSE),VLOOKUP(all_lmics181920[[Setting]:[Setting]],all_cause_mort[],6,FALSE))*1.05</f>
        <v>1.8479741700000001E-4</v>
      </c>
      <c r="S33">
        <f>IF(VLOOKUP(all_lmics181920[[Setting]:[Setting]],all_cause_mort[],7,FALSE)="",VLOOKUP(all_lmics181920[[who_choice_region]:[who_choice_region]],missing[],11,FALSE),VLOOKUP(all_lmics181920[[Setting]:[Setting]],all_cause_mort[],7,FALSE))*1.05</f>
        <v>2.0583623550000002E-4</v>
      </c>
      <c r="T33">
        <f>IF(VLOOKUP(all_lmics181920[[Setting]:[Setting]],all_cause_mort[],8,FALSE)="",VLOOKUP(all_lmics181920[[who_choice_region]:[who_choice_region]],missing[],12,FALSE),VLOOKUP(all_lmics181920[[Setting]:[Setting]],all_cause_mort[],8,FALSE))*1.05</f>
        <v>4.4847875100000002E-4</v>
      </c>
      <c r="U33">
        <f>IF(VLOOKUP(all_lmics181920[[Setting]:[Setting]],all_cause_mort[],9,FALSE)="",VLOOKUP(all_lmics181920[[who_choice_region]:[who_choice_region]],missing[],13,FALSE),VLOOKUP(all_lmics181920[[Setting]:[Setting]],all_cause_mort[],9,FALSE))*1.05</f>
        <v>7.9885757700000001E-4</v>
      </c>
      <c r="V33">
        <f>IF(VLOOKUP(all_lmics181920[[Setting]:[Setting]],all_cause_mort[],10,FALSE)="",VLOOKUP(all_lmics181920[[who_choice_region]:[who_choice_region]],missing[],14,FALSE),VLOOKUP(all_lmics181920[[Setting]:[Setting]],all_cause_mort[],10,FALSE))*1.05</f>
        <v>6.2230765800000008E-4</v>
      </c>
      <c r="W33">
        <f>IF(VLOOKUP(all_lmics181920[[Setting]:[Setting]],all_cause_mort[],11,FALSE)="",VLOOKUP(all_lmics181920[[who_choice_region]:[who_choice_region]],missing[],15,FALSE),VLOOKUP(all_lmics181920[[Setting]:[Setting]],all_cause_mort[],11,FALSE))*1.05</f>
        <v>6.7839166500000003E-4</v>
      </c>
      <c r="X33">
        <f>IF(VLOOKUP(all_lmics181920[[Setting]:[Setting]],all_cause_mort[],12,FALSE)="",VLOOKUP(all_lmics181920[[who_choice_region]:[who_choice_region]],missing[],16,FALSE),VLOOKUP(all_lmics181920[[Setting]:[Setting]],all_cause_mort[],12,FALSE))*1.05</f>
        <v>7.4238181499999996E-4</v>
      </c>
      <c r="Y33">
        <f>IF(VLOOKUP(all_lmics181920[[Setting]:[Setting]],all_cause_mort[],13,FALSE)="",VLOOKUP(all_lmics181920[[who_choice_region]:[who_choice_region]],missing[],17,FALSE),VLOOKUP(all_lmics181920[[Setting]:[Setting]],all_cause_mort[],13,FALSE))*1.05</f>
        <v>1.094287005E-3</v>
      </c>
      <c r="Z33">
        <f>IF(VLOOKUP(all_lmics181920[[Setting]:[Setting]],all_cause_mort[],14,FALSE)="",VLOOKUP(all_lmics181920[[who_choice_region]:[who_choice_region]],missing[],18,FALSE),VLOOKUP(all_lmics181920[[Setting]:[Setting]],all_cause_mort[],14,FALSE))*1.05</f>
        <v>1.8339206550000002E-3</v>
      </c>
      <c r="AA33">
        <f>IF(VLOOKUP(all_lmics181920[[Setting]:[Setting]],all_cause_mort[],15,FALSE)="",VLOOKUP(all_lmics181920[[who_choice_region]:[who_choice_region]],missing[],19,FALSE),VLOOKUP(all_lmics181920[[Setting]:[Setting]],all_cause_mort[],15,FALSE))*1.05</f>
        <v>3.4265422800000005E-3</v>
      </c>
      <c r="AB33">
        <f>IF(VLOOKUP(all_lmics181920[[Setting]:[Setting]],all_cause_mort[],16,FALSE)="",VLOOKUP(all_lmics181920[[who_choice_region]:[who_choice_region]],missing[],20,FALSE),VLOOKUP(all_lmics181920[[Setting]:[Setting]],all_cause_mort[],16,FALSE))*1.05</f>
        <v>5.0943394950000009E-3</v>
      </c>
      <c r="AC33">
        <f>IF(VLOOKUP(all_lmics181920[[Setting]:[Setting]],all_cause_mort[],17,FALSE)="",VLOOKUP(all_lmics181920[[who_choice_region]:[who_choice_region]],missing[],21,FALSE),VLOOKUP(all_lmics181920[[Setting]:[Setting]],all_cause_mort[],17,FALSE))*1.05</f>
        <v>9.5040410849999996E-3</v>
      </c>
      <c r="AD33">
        <f>IF(VLOOKUP(all_lmics181920[[Setting]:[Setting]],all_cause_mort[],18,FALSE)="",VLOOKUP(all_lmics181920[[who_choice_region]:[who_choice_region]],missing[],22,FALSE),VLOOKUP(all_lmics181920[[Setting]:[Setting]],all_cause_mort[],18,FALSE))*1.05</f>
        <v>1.761289425E-2</v>
      </c>
      <c r="AE33">
        <f>IF(VLOOKUP(all_lmics181920[[Setting]:[Setting]],all_cause_mort[],19,FALSE)="",VLOOKUP(all_lmics181920[[who_choice_region]:[who_choice_region]],missing[],23,FALSE),VLOOKUP(all_lmics181920[[Setting]:[Setting]],all_cause_mort[],19,FALSE))*1.05</f>
        <v>3.6486186450000006E-2</v>
      </c>
      <c r="AF33">
        <f>IF(VLOOKUP(all_lmics181920[[Setting]:[Setting]],all_cause_mort[],20,FALSE)="",VLOOKUP(all_lmics181920[[who_choice_region]:[who_choice_region]],missing[],24,FALSE),VLOOKUP(all_lmics181920[[Setting]:[Setting]],all_cause_mort[],20,FALSE))*1.05</f>
        <v>7.9427207999999999E-2</v>
      </c>
      <c r="AG33">
        <f>IF(VLOOKUP(all_lmics181920[[Setting]:[Setting]],all_cause_mort[],21,FALSE)="",VLOOKUP(all_lmics181920[[who_choice_region]:[who_choice_region]],missing[],25,FALSE),VLOOKUP(all_lmics181920[[Setting]:[Setting]],all_cause_mort[],21,FALSE))*1.05</f>
        <v>0.12661575150000001</v>
      </c>
      <c r="AH33">
        <f>IF(VLOOKUP(all_lmics181920[[Setting]:[Setting]],all_cause_mort[],22,FALSE)="",VLOOKUP(all_lmics181920[[who_choice_region]:[who_choice_region]],missing[],26,FALSE),VLOOKUP(all_lmics181920[[Setting]:[Setting]],all_cause_mort[],22,FALSE))*1.05</f>
        <v>0.19990247550000001</v>
      </c>
      <c r="AI33">
        <f>IF(VLOOKUP(all_lmics181920[[Setting]:[Setting]],all_cause_mort[],23,FALSE)="",VLOOKUP(all_lmics181920[[who_choice_region]:[who_choice_region]],missing[],27,FALSE),VLOOKUP(all_lmics181920[[Setting]:[Setting]],all_cause_mort[],23,FALSE))*1.05</f>
        <v>0.30900915150000002</v>
      </c>
      <c r="AJ33">
        <f>IF(VLOOKUP(all_lmics181920[[Setting]:[Setting]],all_cause_mort[],24,FALSE)="",VLOOKUP(all_lmics181920[[who_choice_region]:[who_choice_region]],missing[],28,FALSE),VLOOKUP(all_lmics181920[[Setting]:[Setting]],all_cause_mort[],24,FALSE))*1.05</f>
        <v>0.44785435800000001</v>
      </c>
      <c r="AK33">
        <f>IF(VLOOKUP(all_lmics181920[[Setting]:[Setting]],all_cause_mort[],25,FALSE)="",VLOOKUP(all_lmics181920[[who_choice_region]:[who_choice_region]],missing[],29,FALSE),VLOOKUP(all_lmics181920[[Setting]:[Setting]],all_cause_mort[],25,FALSE))*1.05</f>
        <v>0.60597743063030041</v>
      </c>
      <c r="AL33">
        <f>VLOOKUP(all_lmics181920[[worldbank_region]:[worldbank_region]],Table13[],2,FALSE)*1.05</f>
        <v>60.801990899999993</v>
      </c>
      <c r="AM33">
        <f>VLOOKUP(all_lmics181920[[worldbank_region]:[worldbank_region]],Table13[],3,FALSE)*1.05</f>
        <v>60.801990899999993</v>
      </c>
      <c r="AN33">
        <f>VLOOKUP(all_lmics181920[[worldbank_region]:[worldbank_region]],Table13[],4,FALSE)*1.05</f>
        <v>110.91729389999999</v>
      </c>
      <c r="AO33">
        <f>VLOOKUP(all_lmics181920[[worldbank_region]:[worldbank_region]],Table13[],5,FALSE)*1.05</f>
        <v>110.91729389999999</v>
      </c>
      <c r="AP33">
        <f>VLOOKUP(all_lmics181920[[worldbank_region]:[worldbank_region]],Table13[],6,FALSE)*1.05</f>
        <v>110.91729389999999</v>
      </c>
      <c r="AQ33">
        <f>VLOOKUP(all_lmics181920[[worldbank_region]:[worldbank_region]],Table14[],2,FALSE)*1.05</f>
        <v>1.57893225</v>
      </c>
      <c r="AR33">
        <f>VLOOKUP(all_lmics181920[[worldbank_region]:[worldbank_region]],Table14[],3,FALSE)*1.05</f>
        <v>2.22730725</v>
      </c>
      <c r="AS33">
        <f>VLOOKUP(all_lmics181920[[worldbank_region]:[worldbank_region]],Table14[],4,FALSE)*1.05</f>
        <v>2.0823736500000001</v>
      </c>
      <c r="AT33">
        <f>VLOOKUP(all_lmics181920[[worldbank_region]:[worldbank_region]],Table14[],5,FALSE)*1.05</f>
        <v>2.7307486499999998</v>
      </c>
      <c r="AU33">
        <f>VLOOKUP(all_lmics181920[[worldbank_region]:[worldbank_region]],Table14[],6,FALSE)*1.05</f>
        <v>3.3295132499999998</v>
      </c>
      <c r="AV33">
        <f>MIN(IFERROR(VLOOKUP(all_lmics181920[[Setting]:[Setting]],nFacSBA[],4,FALSE),VLOOKUP(all_lmics181920[[who_choice_region]:[who_choice_region]],missing[],30,FALSE))*1.05, 0.9999)</f>
        <v>0.40722609472787386</v>
      </c>
      <c r="AW33">
        <f>VLOOKUP(all_lmics181920[[worldbank_region]:[worldbank_region]],hbe[],4)</f>
        <v>0.5</v>
      </c>
      <c r="AX33">
        <f>VLOOKUP(all_lmics181920[[worldbank_region]:[worldbank_region]],hbe[],7)</f>
        <v>1</v>
      </c>
      <c r="AY33">
        <f>VLOOKUP(all_lmics181920[[worldbank_region]:[worldbank_region]],hbe[],10)</f>
        <v>0.25</v>
      </c>
    </row>
    <row r="34" spans="1:51" x14ac:dyDescent="0.35">
      <c r="A34" s="8" t="s">
        <v>111</v>
      </c>
      <c r="B34" s="10" t="s">
        <v>6</v>
      </c>
      <c r="C34" s="11" t="s">
        <v>7</v>
      </c>
      <c r="D34">
        <f>VLOOKUP(all_lmics181920[[Setting]:[Setting]],populations[],9,FALSE)</f>
        <v>38274618</v>
      </c>
      <c r="E34">
        <f>VLOOKUP(all_lmics181920[[Setting]:[Setting]],birthrate[],3,FALSE)</f>
        <v>3.3207E-2</v>
      </c>
      <c r="F34">
        <f>all_lmics181920[[#This Row],[2017_population]]*all_lmics181920[[#This Row],[2016_birthrate]]</f>
        <v>1270985.2399260001</v>
      </c>
      <c r="G34">
        <f>MIN(VLOOKUP(all_lmics181920[[Setting]:[Setting]],birthdose[],4,FALSE)*1.05,0.9999)</f>
        <v>0.49349999999999999</v>
      </c>
      <c r="H34">
        <f>MIN(VLOOKUP(all_lmics181920[[Setting]:[Setting]],fullvax[],4,FALSE)*1.05,0.9999)</f>
        <v>0.66150000000000009</v>
      </c>
      <c r="I34">
        <f>IFERROR(VLOOKUP(all_lmics181920[[Setting]:[Setting]],prev[],3,FALSE),VLOOKUP(all_lmics181920[[who_choice_region]:[who_choice_region]],missing[],2,FALSE))</f>
        <v>3.5000000000000003E-2</v>
      </c>
      <c r="J34">
        <f>IFERROR(VLOOKUP(all_lmics181920[[Setting]:[Setting]],prev[],4,FALSE),VLOOKUP(all_lmics181920[[who_choice_region]:[who_choice_region]],missing[],3,FALSE))</f>
        <v>3.2000000000000001E-2</v>
      </c>
      <c r="K34">
        <f>IFERROR(VLOOKUP(all_lmics181920[[Setting]:[Setting]],prev[],5,FALSE),VLOOKUP(all_lmics181920[[who_choice_region]:[who_choice_region]],missing[],4,FALSE))</f>
        <v>3.9E-2</v>
      </c>
      <c r="L34">
        <f>IFERROR(VLOOKUP(all_lmics181920[[Setting]:[Setting]],prev[],7,FALSE),VLOOKUP(all_lmics181920[[who_choice_region]:[who_choice_region]],missing[],5,FALSE))</f>
        <v>2.0408163265306107E-3</v>
      </c>
      <c r="M34">
        <f>IFERROR(VLOOKUP(all_lmics181920[[Setting]:[Setting]],prev[],6,FALSE),0)</f>
        <v>38274618</v>
      </c>
      <c r="N34">
        <f>MIN(IFERROR(VLOOKUP(all_lmics181920[[Setting]:[Setting]],SBA[],4,FALSE),VLOOKUP(all_lmics181920[[who_choice_region]:[who_choice_region]],missing[],6,FALSE))*1.05, 0.9999)</f>
        <v>0.73920000000000008</v>
      </c>
      <c r="O34">
        <f>MIN(IFERROR(VLOOKUP(all_lmics181920[[Setting]:[Setting]], facility[], 3,FALSE),VLOOKUP(all_lmics181920[[who_choice_region]:[who_choice_region]],missing[],7,FALSE))*1.05, 0.9999)</f>
        <v>0.8042999999999999</v>
      </c>
      <c r="P34">
        <f>IF(VLOOKUP(all_lmics181920[[Setting]:[Setting]],all_cause_mort[],4,FALSE)="",VLOOKUP(all_lmics181920[[who_choice_region]:[who_choice_region]],missing[],8,FALSE),VLOOKUP(all_lmics181920[[Setting]:[Setting]],all_cause_mort[],4,FALSE))*1.05</f>
        <v>2.5867199400000002E-2</v>
      </c>
      <c r="Q34">
        <f>IF(VLOOKUP(all_lmics181920[[Setting]:[Setting]],all_cause_mort[],5,FALSE)="",VLOOKUP(all_lmics181920[[who_choice_region]:[who_choice_region]],missing[],9,FALSE),VLOOKUP(all_lmics181920[[Setting]:[Setting]],all_cause_mort[],5,FALSE))*1.05</f>
        <v>1.1370115050000002E-3</v>
      </c>
      <c r="R34">
        <f>IF(VLOOKUP(all_lmics181920[[Setting]:[Setting]],all_cause_mort[],6,FALSE)="",VLOOKUP(all_lmics181920[[who_choice_region]:[who_choice_region]],missing[],10,FALSE),VLOOKUP(all_lmics181920[[Setting]:[Setting]],all_cause_mort[],6,FALSE))*1.05</f>
        <v>7.13334741E-4</v>
      </c>
      <c r="S34">
        <f>IF(VLOOKUP(all_lmics181920[[Setting]:[Setting]],all_cause_mort[],7,FALSE)="",VLOOKUP(all_lmics181920[[who_choice_region]:[who_choice_region]],missing[],11,FALSE),VLOOKUP(all_lmics181920[[Setting]:[Setting]],all_cause_mort[],7,FALSE))*1.05</f>
        <v>5.9467171050000005E-4</v>
      </c>
      <c r="T34">
        <f>IF(VLOOKUP(all_lmics181920[[Setting]:[Setting]],all_cause_mort[],8,FALSE)="",VLOOKUP(all_lmics181920[[who_choice_region]:[who_choice_region]],missing[],12,FALSE),VLOOKUP(all_lmics181920[[Setting]:[Setting]],all_cause_mort[],8,FALSE))*1.05</f>
        <v>1.052868705E-3</v>
      </c>
      <c r="U34">
        <f>IF(VLOOKUP(all_lmics181920[[Setting]:[Setting]],all_cause_mort[],9,FALSE)="",VLOOKUP(all_lmics181920[[who_choice_region]:[who_choice_region]],missing[],13,FALSE),VLOOKUP(all_lmics181920[[Setting]:[Setting]],all_cause_mort[],9,FALSE))*1.05</f>
        <v>1.4909772150000001E-3</v>
      </c>
      <c r="V34">
        <f>IF(VLOOKUP(all_lmics181920[[Setting]:[Setting]],all_cause_mort[],10,FALSE)="",VLOOKUP(all_lmics181920[[who_choice_region]:[who_choice_region]],missing[],14,FALSE),VLOOKUP(all_lmics181920[[Setting]:[Setting]],all_cause_mort[],10,FALSE))*1.05</f>
        <v>1.6064397300000002E-3</v>
      </c>
      <c r="W34">
        <f>IF(VLOOKUP(all_lmics181920[[Setting]:[Setting]],all_cause_mort[],11,FALSE)="",VLOOKUP(all_lmics181920[[who_choice_region]:[who_choice_region]],missing[],15,FALSE),VLOOKUP(all_lmics181920[[Setting]:[Setting]],all_cause_mort[],11,FALSE))*1.05</f>
        <v>1.8431238000000002E-3</v>
      </c>
      <c r="X34">
        <f>IF(VLOOKUP(all_lmics181920[[Setting]:[Setting]],all_cause_mort[],12,FALSE)="",VLOOKUP(all_lmics181920[[who_choice_region]:[who_choice_region]],missing[],16,FALSE),VLOOKUP(all_lmics181920[[Setting]:[Setting]],all_cause_mort[],12,FALSE))*1.05</f>
        <v>2.3261532000000001E-3</v>
      </c>
      <c r="Y34">
        <f>IF(VLOOKUP(all_lmics181920[[Setting]:[Setting]],all_cause_mort[],13,FALSE)="",VLOOKUP(all_lmics181920[[who_choice_region]:[who_choice_region]],missing[],17,FALSE),VLOOKUP(all_lmics181920[[Setting]:[Setting]],all_cause_mort[],13,FALSE))*1.05</f>
        <v>3.2690886900000001E-3</v>
      </c>
      <c r="Z34">
        <f>IF(VLOOKUP(all_lmics181920[[Setting]:[Setting]],all_cause_mort[],14,FALSE)="",VLOOKUP(all_lmics181920[[who_choice_region]:[who_choice_region]],missing[],18,FALSE),VLOOKUP(all_lmics181920[[Setting]:[Setting]],all_cause_mort[],14,FALSE))*1.05</f>
        <v>4.9815217200000006E-3</v>
      </c>
      <c r="AA34">
        <f>IF(VLOOKUP(all_lmics181920[[Setting]:[Setting]],all_cause_mort[],15,FALSE)="",VLOOKUP(all_lmics181920[[who_choice_region]:[who_choice_region]],missing[],19,FALSE),VLOOKUP(all_lmics181920[[Setting]:[Setting]],all_cause_mort[],15,FALSE))*1.05</f>
        <v>7.6508592300000003E-3</v>
      </c>
      <c r="AB34">
        <f>IF(VLOOKUP(all_lmics181920[[Setting]:[Setting]],all_cause_mort[],16,FALSE)="",VLOOKUP(all_lmics181920[[who_choice_region]:[who_choice_region]],missing[],20,FALSE),VLOOKUP(all_lmics181920[[Setting]:[Setting]],all_cause_mort[],16,FALSE))*1.05</f>
        <v>1.19392791E-2</v>
      </c>
      <c r="AC34">
        <f>IF(VLOOKUP(all_lmics181920[[Setting]:[Setting]],all_cause_mort[],17,FALSE)="",VLOOKUP(all_lmics181920[[who_choice_region]:[who_choice_region]],missing[],21,FALSE),VLOOKUP(all_lmics181920[[Setting]:[Setting]],all_cause_mort[],17,FALSE))*1.05</f>
        <v>1.8835488000000001E-2</v>
      </c>
      <c r="AD34">
        <f>IF(VLOOKUP(all_lmics181920[[Setting]:[Setting]],all_cause_mort[],18,FALSE)="",VLOOKUP(all_lmics181920[[who_choice_region]:[who_choice_region]],missing[],22,FALSE),VLOOKUP(all_lmics181920[[Setting]:[Setting]],all_cause_mort[],18,FALSE))*1.05</f>
        <v>3.0564610650000001E-2</v>
      </c>
      <c r="AE34">
        <f>IF(VLOOKUP(all_lmics181920[[Setting]:[Setting]],all_cause_mort[],19,FALSE)="",VLOOKUP(all_lmics181920[[who_choice_region]:[who_choice_region]],missing[],23,FALSE),VLOOKUP(all_lmics181920[[Setting]:[Setting]],all_cause_mort[],19,FALSE))*1.05</f>
        <v>5.0405304599999999E-2</v>
      </c>
      <c r="AF34">
        <f>IF(VLOOKUP(all_lmics181920[[Setting]:[Setting]],all_cause_mort[],20,FALSE)="",VLOOKUP(all_lmics181920[[who_choice_region]:[who_choice_region]],missing[],24,FALSE),VLOOKUP(all_lmics181920[[Setting]:[Setting]],all_cause_mort[],20,FALSE))*1.05</f>
        <v>8.2628150849999998E-2</v>
      </c>
      <c r="AG34">
        <f>IF(VLOOKUP(all_lmics181920[[Setting]:[Setting]],all_cause_mort[],21,FALSE)="",VLOOKUP(all_lmics181920[[who_choice_region]:[who_choice_region]],missing[],25,FALSE),VLOOKUP(all_lmics181920[[Setting]:[Setting]],all_cause_mort[],21,FALSE))*1.05</f>
        <v>0.136018365</v>
      </c>
      <c r="AH34">
        <f>IF(VLOOKUP(all_lmics181920[[Setting]:[Setting]],all_cause_mort[],22,FALSE)="",VLOOKUP(all_lmics181920[[who_choice_region]:[who_choice_region]],missing[],26,FALSE),VLOOKUP(all_lmics181920[[Setting]:[Setting]],all_cause_mort[],22,FALSE))*1.05</f>
        <v>0.21420769649999999</v>
      </c>
      <c r="AI34">
        <f>IF(VLOOKUP(all_lmics181920[[Setting]:[Setting]],all_cause_mort[],23,FALSE)="",VLOOKUP(all_lmics181920[[who_choice_region]:[who_choice_region]],missing[],27,FALSE),VLOOKUP(all_lmics181920[[Setting]:[Setting]],all_cause_mort[],23,FALSE))*1.05</f>
        <v>0.320016207</v>
      </c>
      <c r="AJ34">
        <f>IF(VLOOKUP(all_lmics181920[[Setting]:[Setting]],all_cause_mort[],24,FALSE)="",VLOOKUP(all_lmics181920[[who_choice_region]:[who_choice_region]],missing[],28,FALSE),VLOOKUP(all_lmics181920[[Setting]:[Setting]],all_cause_mort[],24,FALSE))*1.05</f>
        <v>0.44710709399999998</v>
      </c>
      <c r="AK34">
        <f>IF(VLOOKUP(all_lmics181920[[Setting]:[Setting]],all_cause_mort[],25,FALSE)="",VLOOKUP(all_lmics181920[[who_choice_region]:[who_choice_region]],missing[],29,FALSE),VLOOKUP(all_lmics181920[[Setting]:[Setting]],all_cause_mort[],25,FALSE))*1.05</f>
        <v>0.54364107180338772</v>
      </c>
      <c r="AL34">
        <f>VLOOKUP(all_lmics181920[[worldbank_region]:[worldbank_region]],Table13[],2,FALSE)*1.05</f>
        <v>60.801990899999993</v>
      </c>
      <c r="AM34">
        <f>VLOOKUP(all_lmics181920[[worldbank_region]:[worldbank_region]],Table13[],3,FALSE)*1.05</f>
        <v>60.801990899999993</v>
      </c>
      <c r="AN34">
        <f>VLOOKUP(all_lmics181920[[worldbank_region]:[worldbank_region]],Table13[],4,FALSE)*1.05</f>
        <v>110.91729389999999</v>
      </c>
      <c r="AO34">
        <f>VLOOKUP(all_lmics181920[[worldbank_region]:[worldbank_region]],Table13[],5,FALSE)*1.05</f>
        <v>110.91729389999999</v>
      </c>
      <c r="AP34">
        <f>VLOOKUP(all_lmics181920[[worldbank_region]:[worldbank_region]],Table13[],6,FALSE)*1.05</f>
        <v>110.91729389999999</v>
      </c>
      <c r="AQ34">
        <f>VLOOKUP(all_lmics181920[[worldbank_region]:[worldbank_region]],Table14[],2,FALSE)*1.05</f>
        <v>1.57893225</v>
      </c>
      <c r="AR34">
        <f>VLOOKUP(all_lmics181920[[worldbank_region]:[worldbank_region]],Table14[],3,FALSE)*1.05</f>
        <v>2.22730725</v>
      </c>
      <c r="AS34">
        <f>VLOOKUP(all_lmics181920[[worldbank_region]:[worldbank_region]],Table14[],4,FALSE)*1.05</f>
        <v>2.0823736500000001</v>
      </c>
      <c r="AT34">
        <f>VLOOKUP(all_lmics181920[[worldbank_region]:[worldbank_region]],Table14[],5,FALSE)*1.05</f>
        <v>2.7307486499999998</v>
      </c>
      <c r="AU34">
        <f>VLOOKUP(all_lmics181920[[worldbank_region]:[worldbank_region]],Table14[],6,FALSE)*1.05</f>
        <v>3.3295132499999998</v>
      </c>
      <c r="AV34">
        <f>MIN(IFERROR(VLOOKUP(all_lmics181920[[Setting]:[Setting]],nFacSBA[],4,FALSE),VLOOKUP(all_lmics181920[[who_choice_region]:[who_choice_region]],missing[],30,FALSE))*1.05, 0.9999)</f>
        <v>0.65118895292299184</v>
      </c>
      <c r="AW34">
        <f>VLOOKUP(all_lmics181920[[worldbank_region]:[worldbank_region]],hbe[],4)</f>
        <v>0.5</v>
      </c>
      <c r="AX34">
        <f>VLOOKUP(all_lmics181920[[worldbank_region]:[worldbank_region]],hbe[],7)</f>
        <v>1</v>
      </c>
      <c r="AY34">
        <f>VLOOKUP(all_lmics181920[[worldbank_region]:[worldbank_region]],hbe[],10)</f>
        <v>0.25</v>
      </c>
    </row>
    <row r="35" spans="1:51" x14ac:dyDescent="0.35">
      <c r="A35" s="12" t="s">
        <v>118</v>
      </c>
      <c r="B35" s="13" t="s">
        <v>40</v>
      </c>
      <c r="C35" s="14" t="s">
        <v>11</v>
      </c>
      <c r="D35">
        <f>VLOOKUP(all_lmics181920[[Setting]:[Setting]],populations[],9,FALSE)</f>
        <v>18037646</v>
      </c>
      <c r="E35">
        <f>VLOOKUP(all_lmics181920[[Setting]:[Setting]],birthrate[],3,FALSE)</f>
        <v>2.2519999999999998E-2</v>
      </c>
      <c r="F35">
        <f>all_lmics181920[[#This Row],[2017_population]]*all_lmics181920[[#This Row],[2016_birthrate]]</f>
        <v>406207.78791999997</v>
      </c>
      <c r="G35">
        <f>MIN(VLOOKUP(all_lmics181920[[Setting]:[Setting]],birthdose[],4,FALSE)*1.05,0.9999)</f>
        <v>0.94500000000000006</v>
      </c>
      <c r="H35">
        <f>MIN(VLOOKUP(all_lmics181920[[Setting]:[Setting]],fullvax[],4,FALSE)*1.05,0.9999)</f>
        <v>0.99990000000000001</v>
      </c>
      <c r="I35">
        <f>IFERROR(VLOOKUP(all_lmics181920[[Setting]:[Setting]],prev[],3,FALSE),VLOOKUP(all_lmics181920[[who_choice_region]:[who_choice_region]],missing[],2,FALSE))</f>
        <v>2.7E-2</v>
      </c>
      <c r="J35">
        <f>IFERROR(VLOOKUP(all_lmics181920[[Setting]:[Setting]],prev[],4,FALSE),VLOOKUP(all_lmics181920[[who_choice_region]:[who_choice_region]],missing[],3,FALSE))</f>
        <v>1.9E-2</v>
      </c>
      <c r="K35">
        <f>IFERROR(VLOOKUP(all_lmics181920[[Setting]:[Setting]],prev[],5,FALSE),VLOOKUP(all_lmics181920[[who_choice_region]:[who_choice_region]],missing[],4,FALSE))</f>
        <v>3.5999999999999997E-2</v>
      </c>
      <c r="L35">
        <f>IFERROR(VLOOKUP(all_lmics181920[[Setting]:[Setting]],prev[],7,FALSE),VLOOKUP(all_lmics181920[[who_choice_region]:[who_choice_region]],missing[],5,FALSE))</f>
        <v>4.5918367346938762E-3</v>
      </c>
      <c r="M35">
        <f>IFERROR(VLOOKUP(all_lmics181920[[Setting]:[Setting]],prev[],6,FALSE),0)</f>
        <v>18037646</v>
      </c>
      <c r="N35">
        <f>MIN(IFERROR(VLOOKUP(all_lmics181920[[Setting]:[Setting]],SBA[],4,FALSE),VLOOKUP(all_lmics181920[[who_choice_region]:[who_choice_region]],missing[],6,FALSE))*1.05, 0.9999)</f>
        <v>0.99990000000000001</v>
      </c>
      <c r="O35">
        <f>MIN(IFERROR(VLOOKUP(all_lmics181920[[Setting]:[Setting]], facility[], 3,FALSE),VLOOKUP(all_lmics181920[[who_choice_region]:[who_choice_region]],missing[],7,FALSE))*1.05, 0.9999)</f>
        <v>0.99990000000000001</v>
      </c>
      <c r="P35">
        <f>IF(VLOOKUP(all_lmics181920[[Setting]:[Setting]],all_cause_mort[],4,FALSE)="",VLOOKUP(all_lmics181920[[who_choice_region]:[who_choice_region]],missing[],8,FALSE),VLOOKUP(all_lmics181920[[Setting]:[Setting]],all_cause_mort[],4,FALSE))*1.05</f>
        <v>8.1153323999999995E-3</v>
      </c>
      <c r="Q35">
        <f>IF(VLOOKUP(all_lmics181920[[Setting]:[Setting]],all_cause_mort[],5,FALSE)="",VLOOKUP(all_lmics181920[[who_choice_region]:[who_choice_region]],missing[],9,FALSE),VLOOKUP(all_lmics181920[[Setting]:[Setting]],all_cause_mort[],5,FALSE))*1.05</f>
        <v>5.8750777049999998E-4</v>
      </c>
      <c r="R35">
        <f>IF(VLOOKUP(all_lmics181920[[Setting]:[Setting]],all_cause_mort[],6,FALSE)="",VLOOKUP(all_lmics181920[[who_choice_region]:[who_choice_region]],missing[],10,FALSE),VLOOKUP(all_lmics181920[[Setting]:[Setting]],all_cause_mort[],6,FALSE))*1.05</f>
        <v>2.8741323450000002E-4</v>
      </c>
      <c r="S35">
        <f>IF(VLOOKUP(all_lmics181920[[Setting]:[Setting]],all_cause_mort[],7,FALSE)="",VLOOKUP(all_lmics181920[[who_choice_region]:[who_choice_region]],missing[],11,FALSE),VLOOKUP(all_lmics181920[[Setting]:[Setting]],all_cause_mort[],7,FALSE))*1.05</f>
        <v>3.077467365E-4</v>
      </c>
      <c r="T35">
        <f>IF(VLOOKUP(all_lmics181920[[Setting]:[Setting]],all_cause_mort[],8,FALSE)="",VLOOKUP(all_lmics181920[[who_choice_region]:[who_choice_region]],missing[],12,FALSE),VLOOKUP(all_lmics181920[[Setting]:[Setting]],all_cause_mort[],8,FALSE))*1.05</f>
        <v>6.2093733450000008E-4</v>
      </c>
      <c r="U35">
        <f>IF(VLOOKUP(all_lmics181920[[Setting]:[Setting]],all_cause_mort[],9,FALSE)="",VLOOKUP(all_lmics181920[[who_choice_region]:[who_choice_region]],missing[],13,FALSE),VLOOKUP(all_lmics181920[[Setting]:[Setting]],all_cause_mort[],9,FALSE))*1.05</f>
        <v>9.1329956550000003E-4</v>
      </c>
      <c r="V35">
        <f>IF(VLOOKUP(all_lmics181920[[Setting]:[Setting]],all_cause_mort[],10,FALSE)="",VLOOKUP(all_lmics181920[[who_choice_region]:[who_choice_region]],missing[],14,FALSE),VLOOKUP(all_lmics181920[[Setting]:[Setting]],all_cause_mort[],10,FALSE))*1.05</f>
        <v>1.1920452600000001E-3</v>
      </c>
      <c r="W35">
        <f>IF(VLOOKUP(all_lmics181920[[Setting]:[Setting]],all_cause_mort[],11,FALSE)="",VLOOKUP(all_lmics181920[[who_choice_region]:[who_choice_region]],missing[],15,FALSE),VLOOKUP(all_lmics181920[[Setting]:[Setting]],all_cause_mort[],11,FALSE))*1.05</f>
        <v>1.8303784800000002E-3</v>
      </c>
      <c r="X35">
        <f>IF(VLOOKUP(all_lmics181920[[Setting]:[Setting]],all_cause_mort[],12,FALSE)="",VLOOKUP(all_lmics181920[[who_choice_region]:[who_choice_region]],missing[],16,FALSE),VLOOKUP(all_lmics181920[[Setting]:[Setting]],all_cause_mort[],12,FALSE))*1.05</f>
        <v>2.922314115E-3</v>
      </c>
      <c r="Y35">
        <f>IF(VLOOKUP(all_lmics181920[[Setting]:[Setting]],all_cause_mort[],13,FALSE)="",VLOOKUP(all_lmics181920[[who_choice_region]:[who_choice_region]],missing[],17,FALSE),VLOOKUP(all_lmics181920[[Setting]:[Setting]],all_cause_mort[],13,FALSE))*1.05</f>
        <v>4.0388328750000004E-3</v>
      </c>
      <c r="Z35">
        <f>IF(VLOOKUP(all_lmics181920[[Setting]:[Setting]],all_cause_mort[],14,FALSE)="",VLOOKUP(all_lmics181920[[who_choice_region]:[who_choice_region]],missing[],18,FALSE),VLOOKUP(all_lmics181920[[Setting]:[Setting]],all_cause_mort[],14,FALSE))*1.05</f>
        <v>5.4324250050000007E-3</v>
      </c>
      <c r="AA35">
        <f>IF(VLOOKUP(all_lmics181920[[Setting]:[Setting]],all_cause_mort[],15,FALSE)="",VLOOKUP(all_lmics181920[[who_choice_region]:[who_choice_region]],missing[],19,FALSE),VLOOKUP(all_lmics181920[[Setting]:[Setting]],all_cause_mort[],15,FALSE))*1.05</f>
        <v>7.6363571550000005E-3</v>
      </c>
      <c r="AB35">
        <f>IF(VLOOKUP(all_lmics181920[[Setting]:[Setting]],all_cause_mort[],16,FALSE)="",VLOOKUP(all_lmics181920[[who_choice_region]:[who_choice_region]],missing[],20,FALSE),VLOOKUP(all_lmics181920[[Setting]:[Setting]],all_cause_mort[],16,FALSE))*1.05</f>
        <v>1.1552206050000001E-2</v>
      </c>
      <c r="AC35">
        <f>IF(VLOOKUP(all_lmics181920[[Setting]:[Setting]],all_cause_mort[],17,FALSE)="",VLOOKUP(all_lmics181920[[who_choice_region]:[who_choice_region]],missing[],21,FALSE),VLOOKUP(all_lmics181920[[Setting]:[Setting]],all_cause_mort[],17,FALSE))*1.05</f>
        <v>1.8069221100000001E-2</v>
      </c>
      <c r="AD35">
        <f>IF(VLOOKUP(all_lmics181920[[Setting]:[Setting]],all_cause_mort[],18,FALSE)="",VLOOKUP(all_lmics181920[[who_choice_region]:[who_choice_region]],missing[],22,FALSE),VLOOKUP(all_lmics181920[[Setting]:[Setting]],all_cause_mort[],18,FALSE))*1.05</f>
        <v>2.759673105E-2</v>
      </c>
      <c r="AE35">
        <f>IF(VLOOKUP(all_lmics181920[[Setting]:[Setting]],all_cause_mort[],19,FALSE)="",VLOOKUP(all_lmics181920[[who_choice_region]:[who_choice_region]],missing[],23,FALSE),VLOOKUP(all_lmics181920[[Setting]:[Setting]],all_cause_mort[],19,FALSE))*1.05</f>
        <v>3.9597092850000001E-2</v>
      </c>
      <c r="AF35">
        <f>IF(VLOOKUP(all_lmics181920[[Setting]:[Setting]],all_cause_mort[],20,FALSE)="",VLOOKUP(all_lmics181920[[who_choice_region]:[who_choice_region]],missing[],24,FALSE),VLOOKUP(all_lmics181920[[Setting]:[Setting]],all_cause_mort[],20,FALSE))*1.05</f>
        <v>6.5637627300000001E-2</v>
      </c>
      <c r="AG35">
        <f>IF(VLOOKUP(all_lmics181920[[Setting]:[Setting]],all_cause_mort[],21,FALSE)="",VLOOKUP(all_lmics181920[[who_choice_region]:[who_choice_region]],missing[],25,FALSE),VLOOKUP(all_lmics181920[[Setting]:[Setting]],all_cause_mort[],21,FALSE))*1.05</f>
        <v>0.10464201615000002</v>
      </c>
      <c r="AH35">
        <f>IF(VLOOKUP(all_lmics181920[[Setting]:[Setting]],all_cause_mort[],22,FALSE)="",VLOOKUP(all_lmics181920[[who_choice_region]:[who_choice_region]],missing[],26,FALSE),VLOOKUP(all_lmics181920[[Setting]:[Setting]],all_cause_mort[],22,FALSE))*1.05</f>
        <v>0.16513623000000002</v>
      </c>
      <c r="AI35">
        <f>IF(VLOOKUP(all_lmics181920[[Setting]:[Setting]],all_cause_mort[],23,FALSE)="",VLOOKUP(all_lmics181920[[who_choice_region]:[who_choice_region]],missing[],27,FALSE),VLOOKUP(all_lmics181920[[Setting]:[Setting]],all_cause_mort[],23,FALSE))*1.05</f>
        <v>0.25543996800000002</v>
      </c>
      <c r="AJ35">
        <f>IF(VLOOKUP(all_lmics181920[[Setting]:[Setting]],all_cause_mort[],24,FALSE)="",VLOOKUP(all_lmics181920[[who_choice_region]:[who_choice_region]],missing[],28,FALSE),VLOOKUP(all_lmics181920[[Setting]:[Setting]],all_cause_mort[],24,FALSE))*1.05</f>
        <v>0.37148927549999999</v>
      </c>
      <c r="AK35">
        <f>IF(VLOOKUP(all_lmics181920[[Setting]:[Setting]],all_cause_mort[],25,FALSE)="",VLOOKUP(all_lmics181920[[who_choice_region]:[who_choice_region]],missing[],29,FALSE),VLOOKUP(all_lmics181920[[Setting]:[Setting]],all_cause_mort[],25,FALSE))*1.05</f>
        <v>0.52104384435080564</v>
      </c>
      <c r="AL35">
        <f>VLOOKUP(all_lmics181920[[worldbank_region]:[worldbank_region]],Table13[],2,FALSE)*1.05</f>
        <v>46.7513991</v>
      </c>
      <c r="AM35">
        <f>VLOOKUP(all_lmics181920[[worldbank_region]:[worldbank_region]],Table13[],3,FALSE)*1.05</f>
        <v>46.7513991</v>
      </c>
      <c r="AN35">
        <f>VLOOKUP(all_lmics181920[[worldbank_region]:[worldbank_region]],Table13[],4,FALSE)*1.05</f>
        <v>96.866702099999983</v>
      </c>
      <c r="AO35">
        <f>VLOOKUP(all_lmics181920[[worldbank_region]:[worldbank_region]],Table13[],5,FALSE)*1.05</f>
        <v>96.866702099999983</v>
      </c>
      <c r="AP35">
        <f>VLOOKUP(all_lmics181920[[worldbank_region]:[worldbank_region]],Table13[],6,FALSE)*1.05</f>
        <v>96.866702099999983</v>
      </c>
      <c r="AQ35">
        <f>VLOOKUP(all_lmics181920[[worldbank_region]:[worldbank_region]],Table14[],2,FALSE)*1.05</f>
        <v>6.7392065999999993</v>
      </c>
      <c r="AR35">
        <f>VLOOKUP(all_lmics181920[[worldbank_region]:[worldbank_region]],Table14[],3,FALSE)*1.05</f>
        <v>7.3875815999999999</v>
      </c>
      <c r="AS35">
        <f>VLOOKUP(all_lmics181920[[worldbank_region]:[worldbank_region]],Table14[],4,FALSE)*1.05</f>
        <v>11.007016649999999</v>
      </c>
      <c r="AT35">
        <f>VLOOKUP(all_lmics181920[[worldbank_region]:[worldbank_region]],Table14[],5,FALSE)*1.05</f>
        <v>11.65539165</v>
      </c>
      <c r="AU35">
        <f>VLOOKUP(all_lmics181920[[worldbank_region]:[worldbank_region]],Table14[],6,FALSE)*1.05</f>
        <v>12.254156249999999</v>
      </c>
      <c r="AV35">
        <f>MIN(IFERROR(VLOOKUP(all_lmics181920[[Setting]:[Setting]],nFacSBA[],4,FALSE),VLOOKUP(all_lmics181920[[who_choice_region]:[who_choice_region]],missing[],30,FALSE))*1.05, 0.9999)</f>
        <v>0.65023368685960814</v>
      </c>
      <c r="AW35">
        <f>VLOOKUP(all_lmics181920[[worldbank_region]:[worldbank_region]],hbe[],4)</f>
        <v>0.5</v>
      </c>
      <c r="AX35">
        <f>VLOOKUP(all_lmics181920[[worldbank_region]:[worldbank_region]],hbe[],7)</f>
        <v>1</v>
      </c>
      <c r="AY35">
        <f>VLOOKUP(all_lmics181920[[worldbank_region]:[worldbank_region]],hbe[],10)</f>
        <v>0.25</v>
      </c>
    </row>
    <row r="36" spans="1:51" x14ac:dyDescent="0.35">
      <c r="A36" s="12" t="s">
        <v>120</v>
      </c>
      <c r="B36" s="13" t="s">
        <v>57</v>
      </c>
      <c r="C36" s="14" t="s">
        <v>58</v>
      </c>
      <c r="D36">
        <f>VLOOKUP(all_lmics181920[[Setting]:[Setting]],populations[],9,FALSE)</f>
        <v>116398</v>
      </c>
      <c r="E36">
        <f>VLOOKUP(all_lmics181920[[Setting]:[Setting]],birthrate[],3,FALSE)</f>
        <v>2.8223999999999999E-2</v>
      </c>
      <c r="F36">
        <f>all_lmics181920[[#This Row],[2017_population]]*all_lmics181920[[#This Row],[2016_birthrate]]</f>
        <v>3285.2171519999997</v>
      </c>
      <c r="G36">
        <f>MIN(VLOOKUP(all_lmics181920[[Setting]:[Setting]],birthdose[],4,FALSE)*1.05,0.9999)</f>
        <v>0.93450000000000011</v>
      </c>
      <c r="H36">
        <f>MIN(VLOOKUP(all_lmics181920[[Setting]:[Setting]],fullvax[],4,FALSE)*1.05,0.9999)</f>
        <v>0.94500000000000006</v>
      </c>
      <c r="I36">
        <f>IFERROR(VLOOKUP(all_lmics181920[[Setting]:[Setting]],prev[],3,FALSE),VLOOKUP(all_lmics181920[[who_choice_region]:[who_choice_region]],missing[],2,FALSE))</f>
        <v>9.0999999999999998E-2</v>
      </c>
      <c r="J36">
        <f>IFERROR(VLOOKUP(all_lmics181920[[Setting]:[Setting]],prev[],4,FALSE),VLOOKUP(all_lmics181920[[who_choice_region]:[who_choice_region]],missing[],3,FALSE))</f>
        <v>6.2E-2</v>
      </c>
      <c r="K36">
        <f>IFERROR(VLOOKUP(all_lmics181920[[Setting]:[Setting]],prev[],5,FALSE),VLOOKUP(all_lmics181920[[who_choice_region]:[who_choice_region]],missing[],4,FALSE))</f>
        <v>0.105</v>
      </c>
      <c r="L36">
        <f>IFERROR(VLOOKUP(all_lmics181920[[Setting]:[Setting]],prev[],7,FALSE),VLOOKUP(all_lmics181920[[who_choice_region]:[who_choice_region]],missing[],5,FALSE))</f>
        <v>7.1428571428571426E-3</v>
      </c>
      <c r="M36">
        <f>IFERROR(VLOOKUP(all_lmics181920[[Setting]:[Setting]],prev[],6,FALSE),0)</f>
        <v>116398</v>
      </c>
      <c r="N36">
        <f>MIN(IFERROR(VLOOKUP(all_lmics181920[[Setting]:[Setting]],SBA[],4,FALSE),VLOOKUP(all_lmics181920[[who_choice_region]:[who_choice_region]],missing[],6,FALSE))*1.05, 0.9999)</f>
        <v>0.99990000000000001</v>
      </c>
      <c r="O36">
        <f>MIN(IFERROR(VLOOKUP(all_lmics181920[[Setting]:[Setting]], facility[], 3,FALSE),VLOOKUP(all_lmics181920[[who_choice_region]:[who_choice_region]],missing[],7,FALSE))*1.05, 0.9999)</f>
        <v>0.69195000000000007</v>
      </c>
      <c r="P36">
        <f>IF(VLOOKUP(all_lmics181920[[Setting]:[Setting]],all_cause_mort[],4,FALSE)="",VLOOKUP(all_lmics181920[[who_choice_region]:[who_choice_region]],missing[],8,FALSE),VLOOKUP(all_lmics181920[[Setting]:[Setting]],all_cause_mort[],4,FALSE))*1.05</f>
        <v>4.6604079900000005E-2</v>
      </c>
      <c r="Q36">
        <f>IF(VLOOKUP(all_lmics181920[[Setting]:[Setting]],all_cause_mort[],5,FALSE)="",VLOOKUP(all_lmics181920[[who_choice_region]:[who_choice_region]],missing[],9,FALSE),VLOOKUP(all_lmics181920[[Setting]:[Setting]],all_cause_mort[],5,FALSE))*1.05</f>
        <v>3.1456485899999998E-3</v>
      </c>
      <c r="R36">
        <f>IF(VLOOKUP(all_lmics181920[[Setting]:[Setting]],all_cause_mort[],6,FALSE)="",VLOOKUP(all_lmics181920[[who_choice_region]:[who_choice_region]],missing[],10,FALSE),VLOOKUP(all_lmics181920[[Setting]:[Setting]],all_cause_mort[],6,FALSE))*1.05</f>
        <v>1.0634654099999999E-3</v>
      </c>
      <c r="S36">
        <f>IF(VLOOKUP(all_lmics181920[[Setting]:[Setting]],all_cause_mort[],7,FALSE)="",VLOOKUP(all_lmics181920[[who_choice_region]:[who_choice_region]],missing[],11,FALSE),VLOOKUP(all_lmics181920[[Setting]:[Setting]],all_cause_mort[],7,FALSE))*1.05</f>
        <v>8.1031905150000011E-4</v>
      </c>
      <c r="T36">
        <f>IF(VLOOKUP(all_lmics181920[[Setting]:[Setting]],all_cause_mort[],8,FALSE)="",VLOOKUP(all_lmics181920[[who_choice_region]:[who_choice_region]],missing[],12,FALSE),VLOOKUP(all_lmics181920[[Setting]:[Setting]],all_cause_mort[],8,FALSE))*1.05</f>
        <v>1.43373489E-3</v>
      </c>
      <c r="U36">
        <f>IF(VLOOKUP(all_lmics181920[[Setting]:[Setting]],all_cause_mort[],9,FALSE)="",VLOOKUP(all_lmics181920[[who_choice_region]:[who_choice_region]],missing[],13,FALSE),VLOOKUP(all_lmics181920[[Setting]:[Setting]],all_cause_mort[],9,FALSE))*1.05</f>
        <v>1.9075515900000002E-3</v>
      </c>
      <c r="V36">
        <f>IF(VLOOKUP(all_lmics181920[[Setting]:[Setting]],all_cause_mort[],10,FALSE)="",VLOOKUP(all_lmics181920[[who_choice_region]:[who_choice_region]],missing[],14,FALSE),VLOOKUP(all_lmics181920[[Setting]:[Setting]],all_cause_mort[],10,FALSE))*1.05</f>
        <v>2.0383249950000001E-3</v>
      </c>
      <c r="W36">
        <f>IF(VLOOKUP(all_lmics181920[[Setting]:[Setting]],all_cause_mort[],11,FALSE)="",VLOOKUP(all_lmics181920[[who_choice_region]:[who_choice_region]],missing[],15,FALSE),VLOOKUP(all_lmics181920[[Setting]:[Setting]],all_cause_mort[],11,FALSE))*1.05</f>
        <v>2.3911294050000002E-3</v>
      </c>
      <c r="X36">
        <f>IF(VLOOKUP(all_lmics181920[[Setting]:[Setting]],all_cause_mort[],12,FALSE)="",VLOOKUP(all_lmics181920[[who_choice_region]:[who_choice_region]],missing[],16,FALSE),VLOOKUP(all_lmics181920[[Setting]:[Setting]],all_cause_mort[],12,FALSE))*1.05</f>
        <v>3.136911435E-3</v>
      </c>
      <c r="Y36">
        <f>IF(VLOOKUP(all_lmics181920[[Setting]:[Setting]],all_cause_mort[],13,FALSE)="",VLOOKUP(all_lmics181920[[who_choice_region]:[who_choice_region]],missing[],17,FALSE),VLOOKUP(all_lmics181920[[Setting]:[Setting]],all_cause_mort[],13,FALSE))*1.05</f>
        <v>4.3367244899999999E-3</v>
      </c>
      <c r="Z36">
        <f>IF(VLOOKUP(all_lmics181920[[Setting]:[Setting]],all_cause_mort[],14,FALSE)="",VLOOKUP(all_lmics181920[[who_choice_region]:[who_choice_region]],missing[],18,FALSE),VLOOKUP(all_lmics181920[[Setting]:[Setting]],all_cause_mort[],14,FALSE))*1.05</f>
        <v>6.3311499300000001E-3</v>
      </c>
      <c r="AA36">
        <f>IF(VLOOKUP(all_lmics181920[[Setting]:[Setting]],all_cause_mort[],15,FALSE)="",VLOOKUP(all_lmics181920[[who_choice_region]:[who_choice_region]],missing[],19,FALSE),VLOOKUP(all_lmics181920[[Setting]:[Setting]],all_cause_mort[],15,FALSE))*1.05</f>
        <v>9.5316050549999996E-3</v>
      </c>
      <c r="AB36">
        <f>IF(VLOOKUP(all_lmics181920[[Setting]:[Setting]],all_cause_mort[],16,FALSE)="",VLOOKUP(all_lmics181920[[who_choice_region]:[who_choice_region]],missing[],20,FALSE),VLOOKUP(all_lmics181920[[Setting]:[Setting]],all_cause_mort[],16,FALSE))*1.05</f>
        <v>1.44694347E-2</v>
      </c>
      <c r="AC36">
        <f>IF(VLOOKUP(all_lmics181920[[Setting]:[Setting]],all_cause_mort[],17,FALSE)="",VLOOKUP(all_lmics181920[[who_choice_region]:[who_choice_region]],missing[],21,FALSE),VLOOKUP(all_lmics181920[[Setting]:[Setting]],all_cause_mort[],17,FALSE))*1.05</f>
        <v>2.0499150000000001E-2</v>
      </c>
      <c r="AD36">
        <f>IF(VLOOKUP(all_lmics181920[[Setting]:[Setting]],all_cause_mort[],18,FALSE)="",VLOOKUP(all_lmics181920[[who_choice_region]:[who_choice_region]],missing[],22,FALSE),VLOOKUP(all_lmics181920[[Setting]:[Setting]],all_cause_mort[],18,FALSE))*1.05</f>
        <v>2.8871351250000003E-2</v>
      </c>
      <c r="AE36">
        <f>IF(VLOOKUP(all_lmics181920[[Setting]:[Setting]],all_cause_mort[],19,FALSE)="",VLOOKUP(all_lmics181920[[who_choice_region]:[who_choice_region]],missing[],23,FALSE),VLOOKUP(all_lmics181920[[Setting]:[Setting]],all_cause_mort[],19,FALSE))*1.05</f>
        <v>4.2976696350000003E-2</v>
      </c>
      <c r="AF36">
        <f>IF(VLOOKUP(all_lmics181920[[Setting]:[Setting]],all_cause_mort[],20,FALSE)="",VLOOKUP(all_lmics181920[[who_choice_region]:[who_choice_region]],missing[],24,FALSE),VLOOKUP(all_lmics181920[[Setting]:[Setting]],all_cause_mort[],20,FALSE))*1.05</f>
        <v>6.8467846650000011E-2</v>
      </c>
      <c r="AG36">
        <f>IF(VLOOKUP(all_lmics181920[[Setting]:[Setting]],all_cause_mort[],21,FALSE)="",VLOOKUP(all_lmics181920[[who_choice_region]:[who_choice_region]],missing[],25,FALSE),VLOOKUP(all_lmics181920[[Setting]:[Setting]],all_cause_mort[],21,FALSE))*1.05</f>
        <v>0.10818090150000001</v>
      </c>
      <c r="AH36">
        <f>IF(VLOOKUP(all_lmics181920[[Setting]:[Setting]],all_cause_mort[],22,FALSE)="",VLOOKUP(all_lmics181920[[who_choice_region]:[who_choice_region]],missing[],26,FALSE),VLOOKUP(all_lmics181920[[Setting]:[Setting]],all_cause_mort[],22,FALSE))*1.05</f>
        <v>0.16085341650000001</v>
      </c>
      <c r="AI36">
        <f>IF(VLOOKUP(all_lmics181920[[Setting]:[Setting]],all_cause_mort[],23,FALSE)="",VLOOKUP(all_lmics181920[[who_choice_region]:[who_choice_region]],missing[],27,FALSE),VLOOKUP(all_lmics181920[[Setting]:[Setting]],all_cause_mort[],23,FALSE))*1.05</f>
        <v>0.21839492850000003</v>
      </c>
      <c r="AJ36">
        <f>IF(VLOOKUP(all_lmics181920[[Setting]:[Setting]],all_cause_mort[],24,FALSE)="",VLOOKUP(all_lmics181920[[who_choice_region]:[who_choice_region]],missing[],28,FALSE),VLOOKUP(all_lmics181920[[Setting]:[Setting]],all_cause_mort[],24,FALSE))*1.05</f>
        <v>0.29426262600000003</v>
      </c>
      <c r="AK36">
        <f>IF(VLOOKUP(all_lmics181920[[Setting]:[Setting]],all_cause_mort[],25,FALSE)="",VLOOKUP(all_lmics181920[[who_choice_region]:[who_choice_region]],missing[],29,FALSE),VLOOKUP(all_lmics181920[[Setting]:[Setting]],all_cause_mort[],25,FALSE))*1.05</f>
        <v>0.38772395073867527</v>
      </c>
      <c r="AL36">
        <f>VLOOKUP(all_lmics181920[[worldbank_region]:[worldbank_region]],Table13[],2,FALSE)*1.05</f>
        <v>76.717604249999994</v>
      </c>
      <c r="AM36">
        <f>VLOOKUP(all_lmics181920[[worldbank_region]:[worldbank_region]],Table13[],3,FALSE)*1.05</f>
        <v>76.717604249999994</v>
      </c>
      <c r="AN36">
        <f>VLOOKUP(all_lmics181920[[worldbank_region]:[worldbank_region]],Table13[],4,FALSE)*1.05</f>
        <v>126.83290724999999</v>
      </c>
      <c r="AO36">
        <f>VLOOKUP(all_lmics181920[[worldbank_region]:[worldbank_region]],Table13[],5,FALSE)*1.05</f>
        <v>126.83290724999999</v>
      </c>
      <c r="AP36">
        <f>VLOOKUP(all_lmics181920[[worldbank_region]:[worldbank_region]],Table13[],6,FALSE)*1.05</f>
        <v>126.83290724999999</v>
      </c>
      <c r="AQ36">
        <f>VLOOKUP(all_lmics181920[[worldbank_region]:[worldbank_region]],Table14[],2,FALSE)*1.05</f>
        <v>1.4073045</v>
      </c>
      <c r="AR36">
        <f>VLOOKUP(all_lmics181920[[worldbank_region]:[worldbank_region]],Table14[],3,FALSE)*1.05</f>
        <v>2.0556795000000001</v>
      </c>
      <c r="AS36">
        <f>VLOOKUP(all_lmics181920[[worldbank_region]:[worldbank_region]],Table14[],4,FALSE)*1.05</f>
        <v>2.0709317999999999</v>
      </c>
      <c r="AT36">
        <f>VLOOKUP(all_lmics181920[[worldbank_region]:[worldbank_region]],Table14[],5,FALSE)*1.05</f>
        <v>2.7193068</v>
      </c>
      <c r="AU36">
        <f>VLOOKUP(all_lmics181920[[worldbank_region]:[worldbank_region]],Table14[],6,FALSE)*1.05</f>
        <v>3.3180714</v>
      </c>
      <c r="AV36">
        <f>MIN(IFERROR(VLOOKUP(all_lmics181920[[Setting]:[Setting]],nFacSBA[],4,FALSE),VLOOKUP(all_lmics181920[[who_choice_region]:[who_choice_region]],missing[],30,FALSE))*1.05, 0.9999)</f>
        <v>0.16784953724039575</v>
      </c>
      <c r="AW36">
        <f>VLOOKUP(all_lmics181920[[worldbank_region]:[worldbank_region]],hbe[],4)</f>
        <v>0.5</v>
      </c>
      <c r="AX36">
        <f>VLOOKUP(all_lmics181920[[worldbank_region]:[worldbank_region]],hbe[],7)</f>
        <v>1</v>
      </c>
      <c r="AY36">
        <f>VLOOKUP(all_lmics181920[[worldbank_region]:[worldbank_region]],hbe[],10)</f>
        <v>0.25</v>
      </c>
    </row>
    <row r="37" spans="1:51" x14ac:dyDescent="0.35">
      <c r="A37" s="8" t="s">
        <v>121</v>
      </c>
      <c r="B37" s="10" t="s">
        <v>33</v>
      </c>
      <c r="C37" s="11" t="s">
        <v>7</v>
      </c>
      <c r="D37">
        <f>VLOOKUP(all_lmics181920[[Setting]:[Setting]],populations[],9,FALSE)</f>
        <v>4136528</v>
      </c>
      <c r="E37">
        <f>VLOOKUP(all_lmics181920[[Setting]:[Setting]],birthrate[],3,FALSE)</f>
        <v>1.6416E-2</v>
      </c>
      <c r="F37">
        <f>all_lmics181920[[#This Row],[2017_population]]*all_lmics181920[[#This Row],[2016_birthrate]]</f>
        <v>67905.243648000003</v>
      </c>
      <c r="G37">
        <f>MIN(VLOOKUP(all_lmics181920[[Setting]:[Setting]],birthdose[],4,FALSE)*1.05,0.9999)</f>
        <v>0.99990000000000001</v>
      </c>
      <c r="H37">
        <f>MIN(VLOOKUP(all_lmics181920[[Setting]:[Setting]],fullvax[],4,FALSE)*1.05,0.9999)</f>
        <v>0.99990000000000001</v>
      </c>
      <c r="I37">
        <f>IFERROR(VLOOKUP(all_lmics181920[[Setting]:[Setting]],prev[],3,FALSE),VLOOKUP(all_lmics181920[[who_choice_region]:[who_choice_region]],missing[],2,FALSE))</f>
        <v>1.7999999999999999E-2</v>
      </c>
      <c r="J37">
        <f>IFERROR(VLOOKUP(all_lmics181920[[Setting]:[Setting]],prev[],4,FALSE),VLOOKUP(all_lmics181920[[who_choice_region]:[who_choice_region]],missing[],3,FALSE))</f>
        <v>1.0999999999999999E-2</v>
      </c>
      <c r="K37">
        <f>IFERROR(VLOOKUP(all_lmics181920[[Setting]:[Setting]],prev[],5,FALSE),VLOOKUP(all_lmics181920[[who_choice_region]:[who_choice_region]],missing[],4,FALSE))</f>
        <v>2.4E-2</v>
      </c>
      <c r="L37">
        <f>IFERROR(VLOOKUP(all_lmics181920[[Setting]:[Setting]],prev[],7,FALSE),VLOOKUP(all_lmics181920[[who_choice_region]:[who_choice_region]],missing[],5,FALSE))</f>
        <v>3.0612244897959195E-3</v>
      </c>
      <c r="M37">
        <f>IFERROR(VLOOKUP(all_lmics181920[[Setting]:[Setting]],prev[],6,FALSE),0)</f>
        <v>4136528</v>
      </c>
      <c r="N37">
        <f>MIN(IFERROR(VLOOKUP(all_lmics181920[[Setting]:[Setting]],SBA[],4,FALSE),VLOOKUP(all_lmics181920[[who_choice_region]:[who_choice_region]],missing[],6,FALSE))*1.05, 0.9999)</f>
        <v>0.99990000000000001</v>
      </c>
      <c r="O37">
        <f>MIN(IFERROR(VLOOKUP(all_lmics181920[[Setting]:[Setting]], facility[], 3,FALSE),VLOOKUP(all_lmics181920[[who_choice_region]:[who_choice_region]],missing[],7,FALSE))*1.05, 0.9999)</f>
        <v>0.99990000000000001</v>
      </c>
      <c r="P37">
        <f>IF(VLOOKUP(all_lmics181920[[Setting]:[Setting]],all_cause_mort[],4,FALSE)="",VLOOKUP(all_lmics181920[[who_choice_region]:[who_choice_region]],missing[],8,FALSE),VLOOKUP(all_lmics181920[[Setting]:[Setting]],all_cause_mort[],4,FALSE))*1.05</f>
        <v>7.5256349700000011E-3</v>
      </c>
      <c r="Q37">
        <f>IF(VLOOKUP(all_lmics181920[[Setting]:[Setting]],all_cause_mort[],5,FALSE)="",VLOOKUP(all_lmics181920[[who_choice_region]:[who_choice_region]],missing[],9,FALSE),VLOOKUP(all_lmics181920[[Setting]:[Setting]],all_cause_mort[],5,FALSE))*1.05</f>
        <v>3.1107919500000006E-4</v>
      </c>
      <c r="R37">
        <f>IF(VLOOKUP(all_lmics181920[[Setting]:[Setting]],all_cause_mort[],6,FALSE)="",VLOOKUP(all_lmics181920[[who_choice_region]:[who_choice_region]],missing[],10,FALSE),VLOOKUP(all_lmics181920[[Setting]:[Setting]],all_cause_mort[],6,FALSE))*1.05</f>
        <v>1.8067867650000001E-4</v>
      </c>
      <c r="S37">
        <f>IF(VLOOKUP(all_lmics181920[[Setting]:[Setting]],all_cause_mort[],7,FALSE)="",VLOOKUP(all_lmics181920[[who_choice_region]:[who_choice_region]],missing[],11,FALSE),VLOOKUP(all_lmics181920[[Setting]:[Setting]],all_cause_mort[],7,FALSE))*1.05</f>
        <v>2.2509433800000001E-4</v>
      </c>
      <c r="T37">
        <f>IF(VLOOKUP(all_lmics181920[[Setting]:[Setting]],all_cause_mort[],8,FALSE)="",VLOOKUP(all_lmics181920[[who_choice_region]:[who_choice_region]],missing[],12,FALSE),VLOOKUP(all_lmics181920[[Setting]:[Setting]],all_cause_mort[],8,FALSE))*1.05</f>
        <v>5.4023218200000001E-4</v>
      </c>
      <c r="U37">
        <f>IF(VLOOKUP(all_lmics181920[[Setting]:[Setting]],all_cause_mort[],9,FALSE)="",VLOOKUP(all_lmics181920[[who_choice_region]:[who_choice_region]],missing[],13,FALSE),VLOOKUP(all_lmics181920[[Setting]:[Setting]],all_cause_mort[],9,FALSE))*1.05</f>
        <v>6.3131329799999999E-4</v>
      </c>
      <c r="V37">
        <f>IF(VLOOKUP(all_lmics181920[[Setting]:[Setting]],all_cause_mort[],10,FALSE)="",VLOOKUP(all_lmics181920[[who_choice_region]:[who_choice_region]],missing[],14,FALSE),VLOOKUP(all_lmics181920[[Setting]:[Setting]],all_cause_mort[],10,FALSE))*1.05</f>
        <v>5.6970740400000004E-4</v>
      </c>
      <c r="W37">
        <f>IF(VLOOKUP(all_lmics181920[[Setting]:[Setting]],all_cause_mort[],11,FALSE)="",VLOOKUP(all_lmics181920[[who_choice_region]:[who_choice_region]],missing[],15,FALSE),VLOOKUP(all_lmics181920[[Setting]:[Setting]],all_cause_mort[],11,FALSE))*1.05</f>
        <v>4.9797402899999998E-4</v>
      </c>
      <c r="X37">
        <f>IF(VLOOKUP(all_lmics181920[[Setting]:[Setting]],all_cause_mort[],12,FALSE)="",VLOOKUP(all_lmics181920[[who_choice_region]:[who_choice_region]],missing[],16,FALSE),VLOOKUP(all_lmics181920[[Setting]:[Setting]],all_cause_mort[],12,FALSE))*1.05</f>
        <v>6.9997982249999995E-4</v>
      </c>
      <c r="Y37">
        <f>IF(VLOOKUP(all_lmics181920[[Setting]:[Setting]],all_cause_mort[],13,FALSE)="",VLOOKUP(all_lmics181920[[who_choice_region]:[who_choice_region]],missing[],17,FALSE),VLOOKUP(all_lmics181920[[Setting]:[Setting]],all_cause_mort[],13,FALSE))*1.05</f>
        <v>9.8234725050000003E-4</v>
      </c>
      <c r="Z37">
        <f>IF(VLOOKUP(all_lmics181920[[Setting]:[Setting]],all_cause_mort[],14,FALSE)="",VLOOKUP(all_lmics181920[[who_choice_region]:[who_choice_region]],missing[],18,FALSE),VLOOKUP(all_lmics181920[[Setting]:[Setting]],all_cause_mort[],14,FALSE))*1.05</f>
        <v>1.603165095E-3</v>
      </c>
      <c r="AA37">
        <f>IF(VLOOKUP(all_lmics181920[[Setting]:[Setting]],all_cause_mort[],15,FALSE)="",VLOOKUP(all_lmics181920[[who_choice_region]:[who_choice_region]],missing[],19,FALSE),VLOOKUP(all_lmics181920[[Setting]:[Setting]],all_cause_mort[],15,FALSE))*1.05</f>
        <v>2.810261895E-3</v>
      </c>
      <c r="AB37">
        <f>IF(VLOOKUP(all_lmics181920[[Setting]:[Setting]],all_cause_mort[],16,FALSE)="",VLOOKUP(all_lmics181920[[who_choice_region]:[who_choice_region]],missing[],20,FALSE),VLOOKUP(all_lmics181920[[Setting]:[Setting]],all_cause_mort[],16,FALSE))*1.05</f>
        <v>4.492003005E-3</v>
      </c>
      <c r="AC37">
        <f>IF(VLOOKUP(all_lmics181920[[Setting]:[Setting]],all_cause_mort[],17,FALSE)="",VLOOKUP(all_lmics181920[[who_choice_region]:[who_choice_region]],missing[],21,FALSE),VLOOKUP(all_lmics181920[[Setting]:[Setting]],all_cause_mort[],17,FALSE))*1.05</f>
        <v>1.1996219550000001E-2</v>
      </c>
      <c r="AD37">
        <f>IF(VLOOKUP(all_lmics181920[[Setting]:[Setting]],all_cause_mort[],18,FALSE)="",VLOOKUP(all_lmics181920[[who_choice_region]:[who_choice_region]],missing[],22,FALSE),VLOOKUP(all_lmics181920[[Setting]:[Setting]],all_cause_mort[],18,FALSE))*1.05</f>
        <v>2.6410201650000003E-2</v>
      </c>
      <c r="AE37">
        <f>IF(VLOOKUP(all_lmics181920[[Setting]:[Setting]],all_cause_mort[],19,FALSE)="",VLOOKUP(all_lmics181920[[who_choice_region]:[who_choice_region]],missing[],23,FALSE),VLOOKUP(all_lmics181920[[Setting]:[Setting]],all_cause_mort[],19,FALSE))*1.05</f>
        <v>5.0317733550000007E-2</v>
      </c>
      <c r="AF37">
        <f>IF(VLOOKUP(all_lmics181920[[Setting]:[Setting]],all_cause_mort[],20,FALSE)="",VLOOKUP(all_lmics181920[[who_choice_region]:[who_choice_region]],missing[],24,FALSE),VLOOKUP(all_lmics181920[[Setting]:[Setting]],all_cause_mort[],20,FALSE))*1.05</f>
        <v>9.3378124350000008E-2</v>
      </c>
      <c r="AG37">
        <f>IF(VLOOKUP(all_lmics181920[[Setting]:[Setting]],all_cause_mort[],21,FALSE)="",VLOOKUP(all_lmics181920[[who_choice_region]:[who_choice_region]],missing[],25,FALSE),VLOOKUP(all_lmics181920[[Setting]:[Setting]],all_cause_mort[],21,FALSE))*1.05</f>
        <v>0.16467760049999999</v>
      </c>
      <c r="AH37">
        <f>IF(VLOOKUP(all_lmics181920[[Setting]:[Setting]],all_cause_mort[],22,FALSE)="",VLOOKUP(all_lmics181920[[who_choice_region]:[who_choice_region]],missing[],26,FALSE),VLOOKUP(all_lmics181920[[Setting]:[Setting]],all_cause_mort[],22,FALSE))*1.05</f>
        <v>0.27198855599999999</v>
      </c>
      <c r="AI37">
        <f>IF(VLOOKUP(all_lmics181920[[Setting]:[Setting]],all_cause_mort[],23,FALSE)="",VLOOKUP(all_lmics181920[[who_choice_region]:[who_choice_region]],missing[],27,FALSE),VLOOKUP(all_lmics181920[[Setting]:[Setting]],all_cause_mort[],23,FALSE))*1.05</f>
        <v>0.42501920999999998</v>
      </c>
      <c r="AJ37">
        <f>IF(VLOOKUP(all_lmics181920[[Setting]:[Setting]],all_cause_mort[],24,FALSE)="",VLOOKUP(all_lmics181920[[who_choice_region]:[who_choice_region]],missing[],28,FALSE),VLOOKUP(all_lmics181920[[Setting]:[Setting]],all_cause_mort[],24,FALSE))*1.05</f>
        <v>0.59486224350000005</v>
      </c>
      <c r="AK37">
        <f>IF(VLOOKUP(all_lmics181920[[Setting]:[Setting]],all_cause_mort[],25,FALSE)="",VLOOKUP(all_lmics181920[[who_choice_region]:[who_choice_region]],missing[],29,FALSE),VLOOKUP(all_lmics181920[[Setting]:[Setting]],all_cause_mort[],25,FALSE))*1.05</f>
        <v>0.72382603689113867</v>
      </c>
      <c r="AL37">
        <f>VLOOKUP(all_lmics181920[[worldbank_region]:[worldbank_region]],Table13[],2,FALSE)*1.05</f>
        <v>60.801990899999993</v>
      </c>
      <c r="AM37">
        <f>VLOOKUP(all_lmics181920[[worldbank_region]:[worldbank_region]],Table13[],3,FALSE)*1.05</f>
        <v>60.801990899999993</v>
      </c>
      <c r="AN37">
        <f>VLOOKUP(all_lmics181920[[worldbank_region]:[worldbank_region]],Table13[],4,FALSE)*1.05</f>
        <v>110.91729389999999</v>
      </c>
      <c r="AO37">
        <f>VLOOKUP(all_lmics181920[[worldbank_region]:[worldbank_region]],Table13[],5,FALSE)*1.05</f>
        <v>110.91729389999999</v>
      </c>
      <c r="AP37">
        <f>VLOOKUP(all_lmics181920[[worldbank_region]:[worldbank_region]],Table13[],6,FALSE)*1.05</f>
        <v>110.91729389999999</v>
      </c>
      <c r="AQ37">
        <f>VLOOKUP(all_lmics181920[[worldbank_region]:[worldbank_region]],Table14[],2,FALSE)*1.05</f>
        <v>1.57893225</v>
      </c>
      <c r="AR37">
        <f>VLOOKUP(all_lmics181920[[worldbank_region]:[worldbank_region]],Table14[],3,FALSE)*1.05</f>
        <v>2.22730725</v>
      </c>
      <c r="AS37">
        <f>VLOOKUP(all_lmics181920[[worldbank_region]:[worldbank_region]],Table14[],4,FALSE)*1.05</f>
        <v>2.0823736500000001</v>
      </c>
      <c r="AT37">
        <f>VLOOKUP(all_lmics181920[[worldbank_region]:[worldbank_region]],Table14[],5,FALSE)*1.05</f>
        <v>2.7307486499999998</v>
      </c>
      <c r="AU37">
        <f>VLOOKUP(all_lmics181920[[worldbank_region]:[worldbank_region]],Table14[],6,FALSE)*1.05</f>
        <v>3.3295132499999998</v>
      </c>
      <c r="AV37">
        <f>MIN(IFERROR(VLOOKUP(all_lmics181920[[Setting]:[Setting]],nFacSBA[],4,FALSE),VLOOKUP(all_lmics181920[[who_choice_region]:[who_choice_region]],missing[],30,FALSE))*1.05, 0.9999)</f>
        <v>0.40722609472787386</v>
      </c>
      <c r="AW37">
        <f>VLOOKUP(all_lmics181920[[worldbank_region]:[worldbank_region]],hbe[],4)</f>
        <v>0.5</v>
      </c>
      <c r="AX37">
        <f>VLOOKUP(all_lmics181920[[worldbank_region]:[worldbank_region]],hbe[],7)</f>
        <v>1</v>
      </c>
      <c r="AY37">
        <f>VLOOKUP(all_lmics181920[[worldbank_region]:[worldbank_region]],hbe[],10)</f>
        <v>0.25</v>
      </c>
    </row>
    <row r="38" spans="1:51" x14ac:dyDescent="0.35">
      <c r="A38" s="12" t="s">
        <v>122</v>
      </c>
      <c r="B38" s="13" t="s">
        <v>10</v>
      </c>
      <c r="C38" s="14" t="s">
        <v>11</v>
      </c>
      <c r="D38">
        <f>VLOOKUP(all_lmics181920[[Setting]:[Setting]],populations[],9,FALSE)</f>
        <v>6201500</v>
      </c>
      <c r="E38">
        <f>VLOOKUP(all_lmics181920[[Setting]:[Setting]],birthrate[],3,FALSE)</f>
        <v>2.5999999999999999E-2</v>
      </c>
      <c r="F38">
        <f>all_lmics181920[[#This Row],[2017_population]]*all_lmics181920[[#This Row],[2016_birthrate]]</f>
        <v>161239</v>
      </c>
      <c r="G38">
        <f>MIN(VLOOKUP(all_lmics181920[[Setting]:[Setting]],birthdose[],4,FALSE)*1.05,0.9999)</f>
        <v>0.99990000000000001</v>
      </c>
      <c r="H38">
        <f>MIN(VLOOKUP(all_lmics181920[[Setting]:[Setting]],fullvax[],4,FALSE)*1.05,0.9999)</f>
        <v>0.96600000000000008</v>
      </c>
      <c r="I38">
        <f>IFERROR(VLOOKUP(all_lmics181920[[Setting]:[Setting]],prev[],3,FALSE),VLOOKUP(all_lmics181920[[who_choice_region]:[who_choice_region]],missing[],2,FALSE))</f>
        <v>0.1032</v>
      </c>
      <c r="J38">
        <f>IFERROR(VLOOKUP(all_lmics181920[[Setting]:[Setting]],prev[],4,FALSE),VLOOKUP(all_lmics181920[[who_choice_region]:[who_choice_region]],missing[],3,FALSE))</f>
        <v>8.5599999999999996E-2</v>
      </c>
      <c r="K38">
        <f>IFERROR(VLOOKUP(all_lmics181920[[Setting]:[Setting]],prev[],5,FALSE),VLOOKUP(all_lmics181920[[who_choice_region]:[who_choice_region]],missing[],4,FALSE))</f>
        <v>0.12379999999999999</v>
      </c>
      <c r="L38">
        <f>IFERROR(VLOOKUP(all_lmics181920[[Setting]:[Setting]],prev[],7,FALSE),VLOOKUP(all_lmics181920[[who_choice_region]:[who_choice_region]],missing[],5,FALSE))</f>
        <v>1.0510204081632649E-2</v>
      </c>
      <c r="M38">
        <f>IFERROR(VLOOKUP(all_lmics181920[[Setting]:[Setting]],prev[],6,FALSE),0)</f>
        <v>5447900</v>
      </c>
      <c r="N38">
        <f>MIN(IFERROR(VLOOKUP(all_lmics181920[[Setting]:[Setting]],SBA[],4,FALSE),VLOOKUP(all_lmics181920[[who_choice_region]:[who_choice_region]],missing[],6,FALSE))*1.05, 0.9999)</f>
        <v>0.99990000000000001</v>
      </c>
      <c r="O38">
        <f>MIN(IFERROR(VLOOKUP(all_lmics181920[[Setting]:[Setting]], facility[], 3,FALSE),VLOOKUP(all_lmics181920[[who_choice_region]:[who_choice_region]],missing[],7,FALSE))*1.05, 0.9999)</f>
        <v>0.99990000000000001</v>
      </c>
      <c r="P38">
        <f>IF(VLOOKUP(all_lmics181920[[Setting]:[Setting]],all_cause_mort[],4,FALSE)="",VLOOKUP(all_lmics181920[[who_choice_region]:[who_choice_region]],missing[],8,FALSE),VLOOKUP(all_lmics181920[[Setting]:[Setting]],all_cause_mort[],4,FALSE))*1.05</f>
        <v>1.6514174250000003E-2</v>
      </c>
      <c r="Q38">
        <f>IF(VLOOKUP(all_lmics181920[[Setting]:[Setting]],all_cause_mort[],5,FALSE)="",VLOOKUP(all_lmics181920[[who_choice_region]:[who_choice_region]],missing[],9,FALSE),VLOOKUP(all_lmics181920[[Setting]:[Setting]],all_cause_mort[],5,FALSE))*1.05</f>
        <v>7.5402291299999996E-4</v>
      </c>
      <c r="R38">
        <f>IF(VLOOKUP(all_lmics181920[[Setting]:[Setting]],all_cause_mort[],6,FALSE)="",VLOOKUP(all_lmics181920[[who_choice_region]:[who_choice_region]],missing[],10,FALSE),VLOOKUP(all_lmics181920[[Setting]:[Setting]],all_cause_mort[],6,FALSE))*1.05</f>
        <v>3.1563572250000002E-4</v>
      </c>
      <c r="S38">
        <f>IF(VLOOKUP(all_lmics181920[[Setting]:[Setting]],all_cause_mort[],7,FALSE)="",VLOOKUP(all_lmics181920[[who_choice_region]:[who_choice_region]],missing[],11,FALSE),VLOOKUP(all_lmics181920[[Setting]:[Setting]],all_cause_mort[],7,FALSE))*1.05</f>
        <v>3.7938972750000002E-4</v>
      </c>
      <c r="T38">
        <f>IF(VLOOKUP(all_lmics181920[[Setting]:[Setting]],all_cause_mort[],8,FALSE)="",VLOOKUP(all_lmics181920[[who_choice_region]:[who_choice_region]],missing[],12,FALSE),VLOOKUP(all_lmics181920[[Setting]:[Setting]],all_cause_mort[],8,FALSE))*1.05</f>
        <v>5.9584656600000004E-4</v>
      </c>
      <c r="U38">
        <f>IF(VLOOKUP(all_lmics181920[[Setting]:[Setting]],all_cause_mort[],9,FALSE)="",VLOOKUP(all_lmics181920[[who_choice_region]:[who_choice_region]],missing[],13,FALSE),VLOOKUP(all_lmics181920[[Setting]:[Setting]],all_cause_mort[],9,FALSE))*1.05</f>
        <v>8.1376970849999998E-4</v>
      </c>
      <c r="V38">
        <f>IF(VLOOKUP(all_lmics181920[[Setting]:[Setting]],all_cause_mort[],10,FALSE)="",VLOOKUP(all_lmics181920[[who_choice_region]:[who_choice_region]],missing[],14,FALSE),VLOOKUP(all_lmics181920[[Setting]:[Setting]],all_cause_mort[],10,FALSE))*1.05</f>
        <v>1.0457033160000001E-3</v>
      </c>
      <c r="W38">
        <f>IF(VLOOKUP(all_lmics181920[[Setting]:[Setting]],all_cause_mort[],11,FALSE)="",VLOOKUP(all_lmics181920[[who_choice_region]:[who_choice_region]],missing[],15,FALSE),VLOOKUP(all_lmics181920[[Setting]:[Setting]],all_cause_mort[],11,FALSE))*1.05</f>
        <v>1.6806703200000002E-3</v>
      </c>
      <c r="X38">
        <f>IF(VLOOKUP(all_lmics181920[[Setting]:[Setting]],all_cause_mort[],12,FALSE)="",VLOOKUP(all_lmics181920[[who_choice_region]:[who_choice_region]],missing[],16,FALSE),VLOOKUP(all_lmics181920[[Setting]:[Setting]],all_cause_mort[],12,FALSE))*1.05</f>
        <v>2.5066571249999997E-3</v>
      </c>
      <c r="Y38">
        <f>IF(VLOOKUP(all_lmics181920[[Setting]:[Setting]],all_cause_mort[],13,FALSE)="",VLOOKUP(all_lmics181920[[who_choice_region]:[who_choice_region]],missing[],17,FALSE),VLOOKUP(all_lmics181920[[Setting]:[Setting]],all_cause_mort[],13,FALSE))*1.05</f>
        <v>3.8149661550000002E-3</v>
      </c>
      <c r="Z38">
        <f>IF(VLOOKUP(all_lmics181920[[Setting]:[Setting]],all_cause_mort[],14,FALSE)="",VLOOKUP(all_lmics181920[[who_choice_region]:[who_choice_region]],missing[],18,FALSE),VLOOKUP(all_lmics181920[[Setting]:[Setting]],all_cause_mort[],14,FALSE))*1.05</f>
        <v>5.32783272E-3</v>
      </c>
      <c r="AA38">
        <f>IF(VLOOKUP(all_lmics181920[[Setting]:[Setting]],all_cause_mort[],15,FALSE)="",VLOOKUP(all_lmics181920[[who_choice_region]:[who_choice_region]],missing[],19,FALSE),VLOOKUP(all_lmics181920[[Setting]:[Setting]],all_cause_mort[],15,FALSE))*1.05</f>
        <v>7.7203247100000004E-3</v>
      </c>
      <c r="AB38">
        <f>IF(VLOOKUP(all_lmics181920[[Setting]:[Setting]],all_cause_mort[],16,FALSE)="",VLOOKUP(all_lmics181920[[who_choice_region]:[who_choice_region]],missing[],20,FALSE),VLOOKUP(all_lmics181920[[Setting]:[Setting]],all_cause_mort[],16,FALSE))*1.05</f>
        <v>1.1400516749999999E-2</v>
      </c>
      <c r="AC38">
        <f>IF(VLOOKUP(all_lmics181920[[Setting]:[Setting]],all_cause_mort[],17,FALSE)="",VLOOKUP(all_lmics181920[[who_choice_region]:[who_choice_region]],missing[],21,FALSE),VLOOKUP(all_lmics181920[[Setting]:[Setting]],all_cause_mort[],17,FALSE))*1.05</f>
        <v>1.8252015600000001E-2</v>
      </c>
      <c r="AD38">
        <f>IF(VLOOKUP(all_lmics181920[[Setting]:[Setting]],all_cause_mort[],18,FALSE)="",VLOOKUP(all_lmics181920[[who_choice_region]:[who_choice_region]],missing[],22,FALSE),VLOOKUP(all_lmics181920[[Setting]:[Setting]],all_cause_mort[],18,FALSE))*1.05</f>
        <v>2.6970143549999999E-2</v>
      </c>
      <c r="AE38">
        <f>IF(VLOOKUP(all_lmics181920[[Setting]:[Setting]],all_cause_mort[],19,FALSE)="",VLOOKUP(all_lmics181920[[who_choice_region]:[who_choice_region]],missing[],23,FALSE),VLOOKUP(all_lmics181920[[Setting]:[Setting]],all_cause_mort[],19,FALSE))*1.05</f>
        <v>5.7747362400000002E-2</v>
      </c>
      <c r="AF38">
        <f>IF(VLOOKUP(all_lmics181920[[Setting]:[Setting]],all_cause_mort[],20,FALSE)="",VLOOKUP(all_lmics181920[[who_choice_region]:[who_choice_region]],missing[],24,FALSE),VLOOKUP(all_lmics181920[[Setting]:[Setting]],all_cause_mort[],20,FALSE))*1.05</f>
        <v>0.109356492</v>
      </c>
      <c r="AG38">
        <f>IF(VLOOKUP(all_lmics181920[[Setting]:[Setting]],all_cause_mort[],21,FALSE)="",VLOOKUP(all_lmics181920[[who_choice_region]:[who_choice_region]],missing[],25,FALSE),VLOOKUP(all_lmics181920[[Setting]:[Setting]],all_cause_mort[],21,FALSE))*1.05</f>
        <v>0.15641940300000001</v>
      </c>
      <c r="AH38">
        <f>IF(VLOOKUP(all_lmics181920[[Setting]:[Setting]],all_cause_mort[],22,FALSE)="",VLOOKUP(all_lmics181920[[who_choice_region]:[who_choice_region]],missing[],26,FALSE),VLOOKUP(all_lmics181920[[Setting]:[Setting]],all_cause_mort[],22,FALSE))*1.05</f>
        <v>0.20426505750000001</v>
      </c>
      <c r="AI38">
        <f>IF(VLOOKUP(all_lmics181920[[Setting]:[Setting]],all_cause_mort[],23,FALSE)="",VLOOKUP(all_lmics181920[[who_choice_region]:[who_choice_region]],missing[],27,FALSE),VLOOKUP(all_lmics181920[[Setting]:[Setting]],all_cause_mort[],23,FALSE))*1.05</f>
        <v>0.250752264</v>
      </c>
      <c r="AJ38">
        <f>IF(VLOOKUP(all_lmics181920[[Setting]:[Setting]],all_cause_mort[],24,FALSE)="",VLOOKUP(all_lmics181920[[who_choice_region]:[who_choice_region]],missing[],28,FALSE),VLOOKUP(all_lmics181920[[Setting]:[Setting]],all_cause_mort[],24,FALSE))*1.05</f>
        <v>0.31374152250000004</v>
      </c>
      <c r="AK38">
        <f>IF(VLOOKUP(all_lmics181920[[Setting]:[Setting]],all_cause_mort[],25,FALSE)="",VLOOKUP(all_lmics181920[[who_choice_region]:[who_choice_region]],missing[],29,FALSE),VLOOKUP(all_lmics181920[[Setting]:[Setting]],all_cause_mort[],25,FALSE))*1.05</f>
        <v>0.46163811449583658</v>
      </c>
      <c r="AL38">
        <f>VLOOKUP(all_lmics181920[[worldbank_region]:[worldbank_region]],Table13[],2,FALSE)*1.05</f>
        <v>46.7513991</v>
      </c>
      <c r="AM38">
        <f>VLOOKUP(all_lmics181920[[worldbank_region]:[worldbank_region]],Table13[],3,FALSE)*1.05</f>
        <v>46.7513991</v>
      </c>
      <c r="AN38">
        <f>VLOOKUP(all_lmics181920[[worldbank_region]:[worldbank_region]],Table13[],4,FALSE)*1.05</f>
        <v>96.866702099999983</v>
      </c>
      <c r="AO38">
        <f>VLOOKUP(all_lmics181920[[worldbank_region]:[worldbank_region]],Table13[],5,FALSE)*1.05</f>
        <v>96.866702099999983</v>
      </c>
      <c r="AP38">
        <f>VLOOKUP(all_lmics181920[[worldbank_region]:[worldbank_region]],Table13[],6,FALSE)*1.05</f>
        <v>96.866702099999983</v>
      </c>
      <c r="AQ38">
        <f>VLOOKUP(all_lmics181920[[worldbank_region]:[worldbank_region]],Table14[],2,FALSE)*1.05</f>
        <v>6.7392065999999993</v>
      </c>
      <c r="AR38">
        <f>VLOOKUP(all_lmics181920[[worldbank_region]:[worldbank_region]],Table14[],3,FALSE)*1.05</f>
        <v>7.3875815999999999</v>
      </c>
      <c r="AS38">
        <f>VLOOKUP(all_lmics181920[[worldbank_region]:[worldbank_region]],Table14[],4,FALSE)*1.05</f>
        <v>11.007016649999999</v>
      </c>
      <c r="AT38">
        <f>VLOOKUP(all_lmics181920[[worldbank_region]:[worldbank_region]],Table14[],5,FALSE)*1.05</f>
        <v>11.65539165</v>
      </c>
      <c r="AU38">
        <f>VLOOKUP(all_lmics181920[[worldbank_region]:[worldbank_region]],Table14[],6,FALSE)*1.05</f>
        <v>12.254156249999999</v>
      </c>
      <c r="AV38">
        <f>MIN(IFERROR(VLOOKUP(all_lmics181920[[Setting]:[Setting]],nFacSBA[],4,FALSE),VLOOKUP(all_lmics181920[[who_choice_region]:[who_choice_region]],missing[],30,FALSE))*1.05, 0.9999)</f>
        <v>0.5602570271020012</v>
      </c>
      <c r="AW38">
        <f>VLOOKUP(all_lmics181920[[worldbank_region]:[worldbank_region]],hbe[],4)</f>
        <v>0.5</v>
      </c>
      <c r="AX38">
        <f>VLOOKUP(all_lmics181920[[worldbank_region]:[worldbank_region]],hbe[],7)</f>
        <v>1</v>
      </c>
      <c r="AY38">
        <f>VLOOKUP(all_lmics181920[[worldbank_region]:[worldbank_region]],hbe[],10)</f>
        <v>0.25</v>
      </c>
    </row>
    <row r="39" spans="1:51" x14ac:dyDescent="0.35">
      <c r="A39" s="8" t="s">
        <v>123</v>
      </c>
      <c r="B39" s="10" t="s">
        <v>57</v>
      </c>
      <c r="C39" s="11" t="s">
        <v>58</v>
      </c>
      <c r="D39">
        <f>VLOOKUP(all_lmics181920[[Setting]:[Setting]],populations[],9,FALSE)</f>
        <v>6858160</v>
      </c>
      <c r="E39">
        <f>VLOOKUP(all_lmics181920[[Setting]:[Setting]],birthrate[],3,FALSE)</f>
        <v>2.3850000000000003E-2</v>
      </c>
      <c r="F39">
        <f>all_lmics181920[[#This Row],[2017_population]]*all_lmics181920[[#This Row],[2016_birthrate]]</f>
        <v>163567.11600000001</v>
      </c>
      <c r="G39">
        <f>MIN(VLOOKUP(all_lmics181920[[Setting]:[Setting]],birthdose[],4,FALSE)*1.05,0.9999)</f>
        <v>0.57750000000000012</v>
      </c>
      <c r="H39">
        <f>MIN(VLOOKUP(all_lmics181920[[Setting]:[Setting]],fullvax[],4,FALSE)*1.05,0.9999)</f>
        <v>0.89249999999999996</v>
      </c>
      <c r="I39">
        <f>IFERROR(VLOOKUP(all_lmics181920[[Setting]:[Setting]],prev[],3,FALSE),VLOOKUP(all_lmics181920[[who_choice_region]:[who_choice_region]],missing[],2,FALSE))</f>
        <v>3.6999999999999998E-2</v>
      </c>
      <c r="J39">
        <f>IFERROR(VLOOKUP(all_lmics181920[[Setting]:[Setting]],prev[],4,FALSE),VLOOKUP(all_lmics181920[[who_choice_region]:[who_choice_region]],missing[],3,FALSE))</f>
        <v>3.3000000000000002E-2</v>
      </c>
      <c r="K39">
        <f>IFERROR(VLOOKUP(all_lmics181920[[Setting]:[Setting]],prev[],5,FALSE),VLOOKUP(all_lmics181920[[who_choice_region]:[who_choice_region]],missing[],4,FALSE))</f>
        <v>4.5999999999999999E-2</v>
      </c>
      <c r="L39">
        <f>IFERROR(VLOOKUP(all_lmics181920[[Setting]:[Setting]],prev[],7,FALSE),VLOOKUP(all_lmics181920[[who_choice_region]:[who_choice_region]],missing[],5,FALSE))</f>
        <v>4.591836734693878E-3</v>
      </c>
      <c r="M39">
        <f>IFERROR(VLOOKUP(all_lmics181920[[Setting]:[Setting]],prev[],6,FALSE),0)</f>
        <v>6858160</v>
      </c>
      <c r="N39">
        <f>MIN(IFERROR(VLOOKUP(all_lmics181920[[Setting]:[Setting]],SBA[],4,FALSE),VLOOKUP(all_lmics181920[[who_choice_region]:[who_choice_region]],missing[],6,FALSE))*1.05, 0.9999)</f>
        <v>0.42105000000000004</v>
      </c>
      <c r="O39">
        <f>MIN(IFERROR(VLOOKUP(all_lmics181920[[Setting]:[Setting]], facility[], 3,FALSE),VLOOKUP(all_lmics181920[[who_choice_region]:[who_choice_region]],missing[],7,FALSE))*1.05, 0.9999)</f>
        <v>0.39375000000000004</v>
      </c>
      <c r="P39">
        <f>IF(VLOOKUP(all_lmics181920[[Setting]:[Setting]],all_cause_mort[],4,FALSE)="",VLOOKUP(all_lmics181920[[who_choice_region]:[who_choice_region]],missing[],8,FALSE),VLOOKUP(all_lmics181920[[Setting]:[Setting]],all_cause_mort[],4,FALSE))*1.05</f>
        <v>4.2088868850000002E-2</v>
      </c>
      <c r="Q39">
        <f>IF(VLOOKUP(all_lmics181920[[Setting]:[Setting]],all_cause_mort[],5,FALSE)="",VLOOKUP(all_lmics181920[[who_choice_region]:[who_choice_region]],missing[],9,FALSE),VLOOKUP(all_lmics181920[[Setting]:[Setting]],all_cause_mort[],5,FALSE))*1.05</f>
        <v>2.6278458150000004E-3</v>
      </c>
      <c r="R39">
        <f>IF(VLOOKUP(all_lmics181920[[Setting]:[Setting]],all_cause_mort[],6,FALSE)="",VLOOKUP(all_lmics181920[[who_choice_region]:[who_choice_region]],missing[],10,FALSE),VLOOKUP(all_lmics181920[[Setting]:[Setting]],all_cause_mort[],6,FALSE))*1.05</f>
        <v>9.4716692700000003E-4</v>
      </c>
      <c r="S39">
        <f>IF(VLOOKUP(all_lmics181920[[Setting]:[Setting]],all_cause_mort[],7,FALSE)="",VLOOKUP(all_lmics181920[[who_choice_region]:[who_choice_region]],missing[],11,FALSE),VLOOKUP(all_lmics181920[[Setting]:[Setting]],all_cause_mort[],7,FALSE))*1.05</f>
        <v>7.5803766149999999E-4</v>
      </c>
      <c r="T39">
        <f>IF(VLOOKUP(all_lmics181920[[Setting]:[Setting]],all_cause_mort[],8,FALSE)="",VLOOKUP(all_lmics181920[[who_choice_region]:[who_choice_region]],missing[],12,FALSE),VLOOKUP(all_lmics181920[[Setting]:[Setting]],all_cause_mort[],8,FALSE))*1.05</f>
        <v>1.283632665E-3</v>
      </c>
      <c r="U39">
        <f>IF(VLOOKUP(all_lmics181920[[Setting]:[Setting]],all_cause_mort[],9,FALSE)="",VLOOKUP(all_lmics181920[[who_choice_region]:[who_choice_region]],missing[],13,FALSE),VLOOKUP(all_lmics181920[[Setting]:[Setting]],all_cause_mort[],9,FALSE))*1.05</f>
        <v>1.8065016900000001E-3</v>
      </c>
      <c r="V39">
        <f>IF(VLOOKUP(all_lmics181920[[Setting]:[Setting]],all_cause_mort[],10,FALSE)="",VLOOKUP(all_lmics181920[[who_choice_region]:[who_choice_region]],missing[],14,FALSE),VLOOKUP(all_lmics181920[[Setting]:[Setting]],all_cause_mort[],10,FALSE))*1.05</f>
        <v>1.9603796100000001E-3</v>
      </c>
      <c r="W39">
        <f>IF(VLOOKUP(all_lmics181920[[Setting]:[Setting]],all_cause_mort[],11,FALSE)="",VLOOKUP(all_lmics181920[[who_choice_region]:[who_choice_region]],missing[],15,FALSE),VLOOKUP(all_lmics181920[[Setting]:[Setting]],all_cause_mort[],11,FALSE))*1.05</f>
        <v>2.2628721149999999E-3</v>
      </c>
      <c r="X39">
        <f>IF(VLOOKUP(all_lmics181920[[Setting]:[Setting]],all_cause_mort[],12,FALSE)="",VLOOKUP(all_lmics181920[[who_choice_region]:[who_choice_region]],missing[],16,FALSE),VLOOKUP(all_lmics181920[[Setting]:[Setting]],all_cause_mort[],12,FALSE))*1.05</f>
        <v>2.8883128050000003E-3</v>
      </c>
      <c r="Y39">
        <f>IF(VLOOKUP(all_lmics181920[[Setting]:[Setting]],all_cause_mort[],13,FALSE)="",VLOOKUP(all_lmics181920[[who_choice_region]:[who_choice_region]],missing[],17,FALSE),VLOOKUP(all_lmics181920[[Setting]:[Setting]],all_cause_mort[],13,FALSE))*1.05</f>
        <v>3.9922423800000002E-3</v>
      </c>
      <c r="Z39">
        <f>IF(VLOOKUP(all_lmics181920[[Setting]:[Setting]],all_cause_mort[],14,FALSE)="",VLOOKUP(all_lmics181920[[who_choice_region]:[who_choice_region]],missing[],18,FALSE),VLOOKUP(all_lmics181920[[Setting]:[Setting]],all_cause_mort[],14,FALSE))*1.05</f>
        <v>5.92195359E-3</v>
      </c>
      <c r="AA39">
        <f>IF(VLOOKUP(all_lmics181920[[Setting]:[Setting]],all_cause_mort[],15,FALSE)="",VLOOKUP(all_lmics181920[[who_choice_region]:[who_choice_region]],missing[],19,FALSE),VLOOKUP(all_lmics181920[[Setting]:[Setting]],all_cause_mort[],15,FALSE))*1.05</f>
        <v>8.9660359950000015E-3</v>
      </c>
      <c r="AB39">
        <f>IF(VLOOKUP(all_lmics181920[[Setting]:[Setting]],all_cause_mort[],16,FALSE)="",VLOOKUP(all_lmics181920[[who_choice_region]:[who_choice_region]],missing[],20,FALSE),VLOOKUP(all_lmics181920[[Setting]:[Setting]],all_cause_mort[],16,FALSE))*1.05</f>
        <v>1.3797218400000002E-2</v>
      </c>
      <c r="AC39">
        <f>IF(VLOOKUP(all_lmics181920[[Setting]:[Setting]],all_cause_mort[],17,FALSE)="",VLOOKUP(all_lmics181920[[who_choice_region]:[who_choice_region]],missing[],21,FALSE),VLOOKUP(all_lmics181920[[Setting]:[Setting]],all_cause_mort[],17,FALSE))*1.05</f>
        <v>2.1502880700000001E-2</v>
      </c>
      <c r="AD39">
        <f>IF(VLOOKUP(all_lmics181920[[Setting]:[Setting]],all_cause_mort[],18,FALSE)="",VLOOKUP(all_lmics181920[[who_choice_region]:[who_choice_region]],missing[],22,FALSE),VLOOKUP(all_lmics181920[[Setting]:[Setting]],all_cause_mort[],18,FALSE))*1.05</f>
        <v>3.3914901300000008E-2</v>
      </c>
      <c r="AE39">
        <f>IF(VLOOKUP(all_lmics181920[[Setting]:[Setting]],all_cause_mort[],19,FALSE)="",VLOOKUP(all_lmics181920[[who_choice_region]:[who_choice_region]],missing[],23,FALSE),VLOOKUP(all_lmics181920[[Setting]:[Setting]],all_cause_mort[],19,FALSE))*1.05</f>
        <v>5.4856235700000006E-2</v>
      </c>
      <c r="AF39">
        <f>IF(VLOOKUP(all_lmics181920[[Setting]:[Setting]],all_cause_mort[],20,FALSE)="",VLOOKUP(all_lmics181920[[who_choice_region]:[who_choice_region]],missing[],24,FALSE),VLOOKUP(all_lmics181920[[Setting]:[Setting]],all_cause_mort[],20,FALSE))*1.05</f>
        <v>8.9348436449999999E-2</v>
      </c>
      <c r="AG39">
        <f>IF(VLOOKUP(all_lmics181920[[Setting]:[Setting]],all_cause_mort[],21,FALSE)="",VLOOKUP(all_lmics181920[[who_choice_region]:[who_choice_region]],missing[],25,FALSE),VLOOKUP(all_lmics181920[[Setting]:[Setting]],all_cause_mort[],21,FALSE))*1.05</f>
        <v>0.1453339545</v>
      </c>
      <c r="AH39">
        <f>IF(VLOOKUP(all_lmics181920[[Setting]:[Setting]],all_cause_mort[],22,FALSE)="",VLOOKUP(all_lmics181920[[who_choice_region]:[who_choice_region]],missing[],26,FALSE),VLOOKUP(all_lmics181920[[Setting]:[Setting]],all_cause_mort[],22,FALSE))*1.05</f>
        <v>0.22738625700000001</v>
      </c>
      <c r="AI39">
        <f>IF(VLOOKUP(all_lmics181920[[Setting]:[Setting]],all_cause_mort[],23,FALSE)="",VLOOKUP(all_lmics181920[[who_choice_region]:[who_choice_region]],missing[],27,FALSE),VLOOKUP(all_lmics181920[[Setting]:[Setting]],all_cause_mort[],23,FALSE))*1.05</f>
        <v>0.33334276500000004</v>
      </c>
      <c r="AJ39">
        <f>IF(VLOOKUP(all_lmics181920[[Setting]:[Setting]],all_cause_mort[],24,FALSE)="",VLOOKUP(all_lmics181920[[who_choice_region]:[who_choice_region]],missing[],28,FALSE),VLOOKUP(all_lmics181920[[Setting]:[Setting]],all_cause_mort[],24,FALSE))*1.05</f>
        <v>0.46217307150000003</v>
      </c>
      <c r="AK39">
        <f>IF(VLOOKUP(all_lmics181920[[Setting]:[Setting]],all_cause_mort[],25,FALSE)="",VLOOKUP(all_lmics181920[[who_choice_region]:[who_choice_region]],missing[],29,FALSE),VLOOKUP(all_lmics181920[[Setting]:[Setting]],all_cause_mort[],25,FALSE))*1.05</f>
        <v>0.60699290512007187</v>
      </c>
      <c r="AL39">
        <f>VLOOKUP(all_lmics181920[[worldbank_region]:[worldbank_region]],Table13[],2,FALSE)*1.05</f>
        <v>76.717604249999994</v>
      </c>
      <c r="AM39">
        <f>VLOOKUP(all_lmics181920[[worldbank_region]:[worldbank_region]],Table13[],3,FALSE)*1.05</f>
        <v>76.717604249999994</v>
      </c>
      <c r="AN39">
        <f>VLOOKUP(all_lmics181920[[worldbank_region]:[worldbank_region]],Table13[],4,FALSE)*1.05</f>
        <v>126.83290724999999</v>
      </c>
      <c r="AO39">
        <f>VLOOKUP(all_lmics181920[[worldbank_region]:[worldbank_region]],Table13[],5,FALSE)*1.05</f>
        <v>126.83290724999999</v>
      </c>
      <c r="AP39">
        <f>VLOOKUP(all_lmics181920[[worldbank_region]:[worldbank_region]],Table13[],6,FALSE)*1.05</f>
        <v>126.83290724999999</v>
      </c>
      <c r="AQ39">
        <f>VLOOKUP(all_lmics181920[[worldbank_region]:[worldbank_region]],Table14[],2,FALSE)*1.05</f>
        <v>1.4073045</v>
      </c>
      <c r="AR39">
        <f>VLOOKUP(all_lmics181920[[worldbank_region]:[worldbank_region]],Table14[],3,FALSE)*1.05</f>
        <v>2.0556795000000001</v>
      </c>
      <c r="AS39">
        <f>VLOOKUP(all_lmics181920[[worldbank_region]:[worldbank_region]],Table14[],4,FALSE)*1.05</f>
        <v>2.0709317999999999</v>
      </c>
      <c r="AT39">
        <f>VLOOKUP(all_lmics181920[[worldbank_region]:[worldbank_region]],Table14[],5,FALSE)*1.05</f>
        <v>2.7193068</v>
      </c>
      <c r="AU39">
        <f>VLOOKUP(all_lmics181920[[worldbank_region]:[worldbank_region]],Table14[],6,FALSE)*1.05</f>
        <v>3.3180714</v>
      </c>
      <c r="AV39">
        <f>MIN(IFERROR(VLOOKUP(all_lmics181920[[Setting]:[Setting]],nFacSBA[],4,FALSE),VLOOKUP(all_lmics181920[[who_choice_region]:[who_choice_region]],missing[],30,FALSE))*1.05, 0.9999)</f>
        <v>7.5287904184258667E-2</v>
      </c>
      <c r="AW39">
        <f>VLOOKUP(all_lmics181920[[worldbank_region]:[worldbank_region]],hbe[],4)</f>
        <v>0.5</v>
      </c>
      <c r="AX39">
        <f>VLOOKUP(all_lmics181920[[worldbank_region]:[worldbank_region]],hbe[],7)</f>
        <v>1</v>
      </c>
      <c r="AY39">
        <f>VLOOKUP(all_lmics181920[[worldbank_region]:[worldbank_region]],hbe[],10)</f>
        <v>0.25</v>
      </c>
    </row>
    <row r="40" spans="1:51" x14ac:dyDescent="0.35">
      <c r="A40" s="8" t="s">
        <v>125</v>
      </c>
      <c r="B40" s="10" t="s">
        <v>33</v>
      </c>
      <c r="C40" s="11" t="s">
        <v>7</v>
      </c>
      <c r="D40">
        <f>VLOOKUP(all_lmics181920[[Setting]:[Setting]],populations[],9,FALSE)</f>
        <v>6082357</v>
      </c>
      <c r="E40">
        <f>VLOOKUP(all_lmics181920[[Setting]:[Setting]],birthrate[],3,FALSE)</f>
        <v>1.5470000000000001E-2</v>
      </c>
      <c r="F40">
        <f>all_lmics181920[[#This Row],[2017_population]]*all_lmics181920[[#This Row],[2016_birthrate]]</f>
        <v>94094.062790000011</v>
      </c>
      <c r="G40">
        <f>MIN(VLOOKUP(all_lmics181920[[Setting]:[Setting]],birthdose[],4,FALSE)*1.05,0.9999)</f>
        <v>0.84000000000000008</v>
      </c>
      <c r="H40">
        <f>MIN(VLOOKUP(all_lmics181920[[Setting]:[Setting]],fullvax[],4,FALSE)*1.05,0.9999)</f>
        <v>0.81900000000000006</v>
      </c>
      <c r="I40">
        <f>IFERROR(VLOOKUP(all_lmics181920[[Setting]:[Setting]],prev[],3,FALSE),VLOOKUP(all_lmics181920[[who_choice_region]:[who_choice_region]],missing[],2,FALSE))</f>
        <v>1.2E-2</v>
      </c>
      <c r="J40">
        <f>IFERROR(VLOOKUP(all_lmics181920[[Setting]:[Setting]],prev[],4,FALSE),VLOOKUP(all_lmics181920[[who_choice_region]:[who_choice_region]],missing[],3,FALSE))</f>
        <v>1.0999999999999999E-2</v>
      </c>
      <c r="K40">
        <f>IFERROR(VLOOKUP(all_lmics181920[[Setting]:[Setting]],prev[],5,FALSE),VLOOKUP(all_lmics181920[[who_choice_region]:[who_choice_region]],missing[],4,FALSE))</f>
        <v>1.2999999999999999E-2</v>
      </c>
      <c r="L40">
        <f>IFERROR(VLOOKUP(all_lmics181920[[Setting]:[Setting]],prev[],7,FALSE),VLOOKUP(all_lmics181920[[who_choice_region]:[who_choice_region]],missing[],5,FALSE))</f>
        <v>5.1020408163265267E-4</v>
      </c>
      <c r="M40">
        <f>IFERROR(VLOOKUP(all_lmics181920[[Setting]:[Setting]],prev[],6,FALSE),0)</f>
        <v>6082357</v>
      </c>
      <c r="N40">
        <f>MIN(IFERROR(VLOOKUP(all_lmics181920[[Setting]:[Setting]],SBA[],4,FALSE),VLOOKUP(all_lmics181920[[who_choice_region]:[who_choice_region]],missing[],6,FALSE))*1.05, 0.9999)</f>
        <v>0.99990000000000001</v>
      </c>
      <c r="O40">
        <f>MIN(IFERROR(VLOOKUP(all_lmics181920[[Setting]:[Setting]], facility[], 3,FALSE),VLOOKUP(all_lmics181920[[who_choice_region]:[who_choice_region]],missing[],7,FALSE))*1.05, 0.9999)</f>
        <v>0.99990000000000001</v>
      </c>
      <c r="P40">
        <f>IF(VLOOKUP(all_lmics181920[[Setting]:[Setting]],all_cause_mort[],4,FALSE)="",VLOOKUP(all_lmics181920[[who_choice_region]:[who_choice_region]],missing[],8,FALSE),VLOOKUP(all_lmics181920[[Setting]:[Setting]],all_cause_mort[],4,FALSE))*1.05</f>
        <v>9.9722583450000003E-3</v>
      </c>
      <c r="Q40">
        <f>IF(VLOOKUP(all_lmics181920[[Setting]:[Setting]],all_cause_mort[],5,FALSE)="",VLOOKUP(all_lmics181920[[who_choice_region]:[who_choice_region]],missing[],9,FALSE),VLOOKUP(all_lmics181920[[Setting]:[Setting]],all_cause_mort[],5,FALSE))*1.05</f>
        <v>3.9573528750000002E-4</v>
      </c>
      <c r="R40">
        <f>IF(VLOOKUP(all_lmics181920[[Setting]:[Setting]],all_cause_mort[],6,FALSE)="",VLOOKUP(all_lmics181920[[who_choice_region]:[who_choice_region]],missing[],10,FALSE),VLOOKUP(all_lmics181920[[Setting]:[Setting]],all_cause_mort[],6,FALSE))*1.05</f>
        <v>1.924701975E-4</v>
      </c>
      <c r="S40">
        <f>IF(VLOOKUP(all_lmics181920[[Setting]:[Setting]],all_cause_mort[],7,FALSE)="",VLOOKUP(all_lmics181920[[who_choice_region]:[who_choice_region]],missing[],11,FALSE),VLOOKUP(all_lmics181920[[Setting]:[Setting]],all_cause_mort[],7,FALSE))*1.05</f>
        <v>1.6119688200000003E-4</v>
      </c>
      <c r="T40">
        <f>IF(VLOOKUP(all_lmics181920[[Setting]:[Setting]],all_cause_mort[],8,FALSE)="",VLOOKUP(all_lmics181920[[who_choice_region]:[who_choice_region]],missing[],12,FALSE),VLOOKUP(all_lmics181920[[Setting]:[Setting]],all_cause_mort[],8,FALSE))*1.05</f>
        <v>3.0230748449999999E-4</v>
      </c>
      <c r="U40">
        <f>IF(VLOOKUP(all_lmics181920[[Setting]:[Setting]],all_cause_mort[],9,FALSE)="",VLOOKUP(all_lmics181920[[who_choice_region]:[who_choice_region]],missing[],13,FALSE),VLOOKUP(all_lmics181920[[Setting]:[Setting]],all_cause_mort[],9,FALSE))*1.05</f>
        <v>4.2157899000000004E-4</v>
      </c>
      <c r="V40">
        <f>IF(VLOOKUP(all_lmics181920[[Setting]:[Setting]],all_cause_mort[],10,FALSE)="",VLOOKUP(all_lmics181920[[who_choice_region]:[who_choice_region]],missing[],14,FALSE),VLOOKUP(all_lmics181920[[Setting]:[Setting]],all_cause_mort[],10,FALSE))*1.05</f>
        <v>4.5132007199999999E-4</v>
      </c>
      <c r="W40">
        <f>IF(VLOOKUP(all_lmics181920[[Setting]:[Setting]],all_cause_mort[],11,FALSE)="",VLOOKUP(all_lmics181920[[who_choice_region]:[who_choice_region]],missing[],15,FALSE),VLOOKUP(all_lmics181920[[Setting]:[Setting]],all_cause_mort[],11,FALSE))*1.05</f>
        <v>5.3149323150000001E-4</v>
      </c>
      <c r="X40">
        <f>IF(VLOOKUP(all_lmics181920[[Setting]:[Setting]],all_cause_mort[],12,FALSE)="",VLOOKUP(all_lmics181920[[who_choice_region]:[who_choice_region]],missing[],16,FALSE),VLOOKUP(all_lmics181920[[Setting]:[Setting]],all_cause_mort[],12,FALSE))*1.05</f>
        <v>7.1573514600000007E-4</v>
      </c>
      <c r="Y40">
        <f>IF(VLOOKUP(all_lmics181920[[Setting]:[Setting]],all_cause_mort[],13,FALSE)="",VLOOKUP(all_lmics181920[[who_choice_region]:[who_choice_region]],missing[],17,FALSE),VLOOKUP(all_lmics181920[[Setting]:[Setting]],all_cause_mort[],13,FALSE))*1.05</f>
        <v>1.1016093900000001E-3</v>
      </c>
      <c r="Z40">
        <f>IF(VLOOKUP(all_lmics181920[[Setting]:[Setting]],all_cause_mort[],14,FALSE)="",VLOOKUP(all_lmics181920[[who_choice_region]:[who_choice_region]],missing[],18,FALSE),VLOOKUP(all_lmics181920[[Setting]:[Setting]],all_cause_mort[],14,FALSE))*1.05</f>
        <v>1.9247530050000002E-3</v>
      </c>
      <c r="AA40">
        <f>IF(VLOOKUP(all_lmics181920[[Setting]:[Setting]],all_cause_mort[],15,FALSE)="",VLOOKUP(all_lmics181920[[who_choice_region]:[who_choice_region]],missing[],19,FALSE),VLOOKUP(all_lmics181920[[Setting]:[Setting]],all_cause_mort[],15,FALSE))*1.05</f>
        <v>3.2989108950000003E-3</v>
      </c>
      <c r="AB40">
        <f>IF(VLOOKUP(all_lmics181920[[Setting]:[Setting]],all_cause_mort[],16,FALSE)="",VLOOKUP(all_lmics181920[[who_choice_region]:[who_choice_region]],missing[],20,FALSE),VLOOKUP(all_lmics181920[[Setting]:[Setting]],all_cause_mort[],16,FALSE))*1.05</f>
        <v>5.7846292349999998E-3</v>
      </c>
      <c r="AC40">
        <f>IF(VLOOKUP(all_lmics181920[[Setting]:[Setting]],all_cause_mort[],17,FALSE)="",VLOOKUP(all_lmics181920[[who_choice_region]:[who_choice_region]],missing[],21,FALSE),VLOOKUP(all_lmics181920[[Setting]:[Setting]],all_cause_mort[],17,FALSE))*1.05</f>
        <v>9.2585482500000017E-3</v>
      </c>
      <c r="AD40">
        <f>IF(VLOOKUP(all_lmics181920[[Setting]:[Setting]],all_cause_mort[],18,FALSE)="",VLOOKUP(all_lmics181920[[who_choice_region]:[who_choice_region]],missing[],22,FALSE),VLOOKUP(all_lmics181920[[Setting]:[Setting]],all_cause_mort[],18,FALSE))*1.05</f>
        <v>1.6012989300000002E-2</v>
      </c>
      <c r="AE40">
        <f>IF(VLOOKUP(all_lmics181920[[Setting]:[Setting]],all_cause_mort[],19,FALSE)="",VLOOKUP(all_lmics181920[[who_choice_region]:[who_choice_region]],missing[],23,FALSE),VLOOKUP(all_lmics181920[[Setting]:[Setting]],all_cause_mort[],19,FALSE))*1.05</f>
        <v>2.8465859100000001E-2</v>
      </c>
      <c r="AF40">
        <f>IF(VLOOKUP(all_lmics181920[[Setting]:[Setting]],all_cause_mort[],20,FALSE)="",VLOOKUP(all_lmics181920[[who_choice_region]:[who_choice_region]],missing[],24,FALSE),VLOOKUP(all_lmics181920[[Setting]:[Setting]],all_cause_mort[],20,FALSE))*1.05</f>
        <v>4.9189177800000004E-2</v>
      </c>
      <c r="AG40">
        <f>IF(VLOOKUP(all_lmics181920[[Setting]:[Setting]],all_cause_mort[],21,FALSE)="",VLOOKUP(all_lmics181920[[who_choice_region]:[who_choice_region]],missing[],25,FALSE),VLOOKUP(all_lmics181920[[Setting]:[Setting]],all_cause_mort[],21,FALSE))*1.05</f>
        <v>8.5829998800000001E-2</v>
      </c>
      <c r="AH40">
        <f>IF(VLOOKUP(all_lmics181920[[Setting]:[Setting]],all_cause_mort[],22,FALSE)="",VLOOKUP(all_lmics181920[[who_choice_region]:[who_choice_region]],missing[],26,FALSE),VLOOKUP(all_lmics181920[[Setting]:[Setting]],all_cause_mort[],22,FALSE))*1.05</f>
        <v>0.14530011300000001</v>
      </c>
      <c r="AI40">
        <f>IF(VLOOKUP(all_lmics181920[[Setting]:[Setting]],all_cause_mort[],23,FALSE)="",VLOOKUP(all_lmics181920[[who_choice_region]:[who_choice_region]],missing[],27,FALSE),VLOOKUP(all_lmics181920[[Setting]:[Setting]],all_cause_mort[],23,FALSE))*1.05</f>
        <v>0.22944687150000001</v>
      </c>
      <c r="AJ40">
        <f>IF(VLOOKUP(all_lmics181920[[Setting]:[Setting]],all_cause_mort[],24,FALSE)="",VLOOKUP(all_lmics181920[[who_choice_region]:[who_choice_region]],missing[],28,FALSE),VLOOKUP(all_lmics181920[[Setting]:[Setting]],all_cause_mort[],24,FALSE))*1.05</f>
        <v>0.33615302700000005</v>
      </c>
      <c r="AK40">
        <f>IF(VLOOKUP(all_lmics181920[[Setting]:[Setting]],all_cause_mort[],25,FALSE)="",VLOOKUP(all_lmics181920[[who_choice_region]:[who_choice_region]],missing[],29,FALSE),VLOOKUP(all_lmics181920[[Setting]:[Setting]],all_cause_mort[],25,FALSE))*1.05</f>
        <v>0.47885844524787258</v>
      </c>
      <c r="AL40">
        <f>VLOOKUP(all_lmics181920[[worldbank_region]:[worldbank_region]],Table13[],2,FALSE)*1.05</f>
        <v>60.801990899999993</v>
      </c>
      <c r="AM40">
        <f>VLOOKUP(all_lmics181920[[worldbank_region]:[worldbank_region]],Table13[],3,FALSE)*1.05</f>
        <v>60.801990899999993</v>
      </c>
      <c r="AN40">
        <f>VLOOKUP(all_lmics181920[[worldbank_region]:[worldbank_region]],Table13[],4,FALSE)*1.05</f>
        <v>110.91729389999999</v>
      </c>
      <c r="AO40">
        <f>VLOOKUP(all_lmics181920[[worldbank_region]:[worldbank_region]],Table13[],5,FALSE)*1.05</f>
        <v>110.91729389999999</v>
      </c>
      <c r="AP40">
        <f>VLOOKUP(all_lmics181920[[worldbank_region]:[worldbank_region]],Table13[],6,FALSE)*1.05</f>
        <v>110.91729389999999</v>
      </c>
      <c r="AQ40">
        <f>VLOOKUP(all_lmics181920[[worldbank_region]:[worldbank_region]],Table14[],2,FALSE)*1.05</f>
        <v>1.57893225</v>
      </c>
      <c r="AR40">
        <f>VLOOKUP(all_lmics181920[[worldbank_region]:[worldbank_region]],Table14[],3,FALSE)*1.05</f>
        <v>2.22730725</v>
      </c>
      <c r="AS40">
        <f>VLOOKUP(all_lmics181920[[worldbank_region]:[worldbank_region]],Table14[],4,FALSE)*1.05</f>
        <v>2.0823736500000001</v>
      </c>
      <c r="AT40">
        <f>VLOOKUP(all_lmics181920[[worldbank_region]:[worldbank_region]],Table14[],5,FALSE)*1.05</f>
        <v>2.7307486499999998</v>
      </c>
      <c r="AU40">
        <f>VLOOKUP(all_lmics181920[[worldbank_region]:[worldbank_region]],Table14[],6,FALSE)*1.05</f>
        <v>3.3295132499999998</v>
      </c>
      <c r="AV40">
        <f>MIN(IFERROR(VLOOKUP(all_lmics181920[[Setting]:[Setting]],nFacSBA[],4,FALSE),VLOOKUP(all_lmics181920[[who_choice_region]:[who_choice_region]],missing[],30,FALSE))*1.05, 0.9999)</f>
        <v>0.40722609472787386</v>
      </c>
      <c r="AW40">
        <f>VLOOKUP(all_lmics181920[[worldbank_region]:[worldbank_region]],hbe[],4)</f>
        <v>0.5</v>
      </c>
      <c r="AX40">
        <f>VLOOKUP(all_lmics181920[[worldbank_region]:[worldbank_region]],hbe[],7)</f>
        <v>1</v>
      </c>
      <c r="AY40">
        <f>VLOOKUP(all_lmics181920[[worldbank_region]:[worldbank_region]],hbe[],10)</f>
        <v>0.25</v>
      </c>
    </row>
    <row r="41" spans="1:51" x14ac:dyDescent="0.35">
      <c r="A41" s="8" t="s">
        <v>129</v>
      </c>
      <c r="B41" s="10" t="s">
        <v>40</v>
      </c>
      <c r="C41" s="11" t="s">
        <v>11</v>
      </c>
      <c r="D41">
        <f>VLOOKUP(all_lmics181920[[Setting]:[Setting]],populations[],9,FALSE)</f>
        <v>2827721</v>
      </c>
      <c r="E41">
        <f>VLOOKUP(all_lmics181920[[Setting]:[Setting]],birthrate[],3,FALSE)</f>
        <v>1.0699999999999999E-2</v>
      </c>
      <c r="F41">
        <f>all_lmics181920[[#This Row],[2017_population]]*all_lmics181920[[#This Row],[2016_birthrate]]</f>
        <v>30256.614699999998</v>
      </c>
      <c r="G41">
        <f>MIN(VLOOKUP(all_lmics181920[[Setting]:[Setting]],birthdose[],4,FALSE)*1.05,0.9999)</f>
        <v>0.99990000000000001</v>
      </c>
      <c r="H41">
        <f>MIN(VLOOKUP(all_lmics181920[[Setting]:[Setting]],fullvax[],4,FALSE)*1.05,0.9999)</f>
        <v>0.98699999999999999</v>
      </c>
      <c r="I41">
        <f>IFERROR(VLOOKUP(all_lmics181920[[Setting]:[Setting]],prev[],3,FALSE),VLOOKUP(all_lmics181920[[who_choice_region]:[who_choice_region]],missing[],2,FALSE))</f>
        <v>1.7000000000000001E-2</v>
      </c>
      <c r="J41">
        <f>IFERROR(VLOOKUP(all_lmics181920[[Setting]:[Setting]],prev[],4,FALSE),VLOOKUP(all_lmics181920[[who_choice_region]:[who_choice_region]],missing[],3,FALSE))</f>
        <v>1.55E-2</v>
      </c>
      <c r="K41">
        <f>IFERROR(VLOOKUP(all_lmics181920[[Setting]:[Setting]],prev[],5,FALSE),VLOOKUP(all_lmics181920[[who_choice_region]:[who_choice_region]],missing[],4,FALSE))</f>
        <v>1.8599999999999998E-2</v>
      </c>
      <c r="L41">
        <f>IFERROR(VLOOKUP(all_lmics181920[[Setting]:[Setting]],prev[],7,FALSE),VLOOKUP(all_lmics181920[[who_choice_region]:[who_choice_region]],missing[],5,FALSE))</f>
        <v>8.1632653061224352E-4</v>
      </c>
      <c r="M41">
        <f>IFERROR(VLOOKUP(all_lmics181920[[Setting]:[Setting]],prev[],6,FALSE),0)</f>
        <v>3097282</v>
      </c>
      <c r="N41">
        <f>MIN(IFERROR(VLOOKUP(all_lmics181920[[Setting]:[Setting]],SBA[],4,FALSE),VLOOKUP(all_lmics181920[[who_choice_region]:[who_choice_region]],missing[],6,FALSE))*1.05, 0.9999)</f>
        <v>0.99990000000000001</v>
      </c>
      <c r="O41">
        <f>MIN(IFERROR(VLOOKUP(all_lmics181920[[Setting]:[Setting]], facility[], 3,FALSE),VLOOKUP(all_lmics181920[[who_choice_region]:[who_choice_region]],missing[],7,FALSE))*1.05, 0.9999)</f>
        <v>0.99990000000000001</v>
      </c>
      <c r="P41">
        <f>IF(VLOOKUP(all_lmics181920[[Setting]:[Setting]],all_cause_mort[],4,FALSE)="",VLOOKUP(all_lmics181920[[who_choice_region]:[who_choice_region]],missing[],8,FALSE),VLOOKUP(all_lmics181920[[Setting]:[Setting]],all_cause_mort[],4,FALSE))*1.05</f>
        <v>4.2600882449999999E-3</v>
      </c>
      <c r="Q41">
        <f>IF(VLOOKUP(all_lmics181920[[Setting]:[Setting]],all_cause_mort[],5,FALSE)="",VLOOKUP(all_lmics181920[[who_choice_region]:[who_choice_region]],missing[],9,FALSE),VLOOKUP(all_lmics181920[[Setting]:[Setting]],all_cause_mort[],5,FALSE))*1.05</f>
        <v>2.2015656600000001E-4</v>
      </c>
      <c r="R41">
        <f>IF(VLOOKUP(all_lmics181920[[Setting]:[Setting]],all_cause_mort[],6,FALSE)="",VLOOKUP(all_lmics181920[[who_choice_region]:[who_choice_region]],missing[],10,FALSE),VLOOKUP(all_lmics181920[[Setting]:[Setting]],all_cause_mort[],6,FALSE))*1.05</f>
        <v>9.7439108550000003E-5</v>
      </c>
      <c r="S41">
        <f>IF(VLOOKUP(all_lmics181920[[Setting]:[Setting]],all_cause_mort[],7,FALSE)="",VLOOKUP(all_lmics181920[[who_choice_region]:[who_choice_region]],missing[],11,FALSE),VLOOKUP(all_lmics181920[[Setting]:[Setting]],all_cause_mort[],7,FALSE))*1.05</f>
        <v>2.0646216150000001E-4</v>
      </c>
      <c r="T41">
        <f>IF(VLOOKUP(all_lmics181920[[Setting]:[Setting]],all_cause_mort[],8,FALSE)="",VLOOKUP(all_lmics181920[[who_choice_region]:[who_choice_region]],missing[],12,FALSE),VLOOKUP(all_lmics181920[[Setting]:[Setting]],all_cause_mort[],8,FALSE))*1.05</f>
        <v>4.4136132600000003E-4</v>
      </c>
      <c r="U41">
        <f>IF(VLOOKUP(all_lmics181920[[Setting]:[Setting]],all_cause_mort[],9,FALSE)="",VLOOKUP(all_lmics181920[[who_choice_region]:[who_choice_region]],missing[],13,FALSE),VLOOKUP(all_lmics181920[[Setting]:[Setting]],all_cause_mort[],9,FALSE))*1.05</f>
        <v>7.0045795050000014E-4</v>
      </c>
      <c r="V41">
        <f>IF(VLOOKUP(all_lmics181920[[Setting]:[Setting]],all_cause_mort[],10,FALSE)="",VLOOKUP(all_lmics181920[[who_choice_region]:[who_choice_region]],missing[],14,FALSE),VLOOKUP(all_lmics181920[[Setting]:[Setting]],all_cause_mort[],10,FALSE))*1.05</f>
        <v>1.18190919E-3</v>
      </c>
      <c r="W41">
        <f>IF(VLOOKUP(all_lmics181920[[Setting]:[Setting]],all_cause_mort[],11,FALSE)="",VLOOKUP(all_lmics181920[[who_choice_region]:[who_choice_region]],missing[],15,FALSE),VLOOKUP(all_lmics181920[[Setting]:[Setting]],all_cause_mort[],11,FALSE))*1.05</f>
        <v>1.9325796000000002E-3</v>
      </c>
      <c r="X41">
        <f>IF(VLOOKUP(all_lmics181920[[Setting]:[Setting]],all_cause_mort[],12,FALSE)="",VLOOKUP(all_lmics181920[[who_choice_region]:[who_choice_region]],missing[],16,FALSE),VLOOKUP(all_lmics181920[[Setting]:[Setting]],all_cause_mort[],12,FALSE))*1.05</f>
        <v>2.8043988000000003E-3</v>
      </c>
      <c r="Y41">
        <f>IF(VLOOKUP(all_lmics181920[[Setting]:[Setting]],all_cause_mort[],13,FALSE)="",VLOOKUP(all_lmics181920[[who_choice_region]:[who_choice_region]],missing[],17,FALSE),VLOOKUP(all_lmics181920[[Setting]:[Setting]],all_cause_mort[],13,FALSE))*1.05</f>
        <v>3.9873175650000005E-3</v>
      </c>
      <c r="Z41">
        <f>IF(VLOOKUP(all_lmics181920[[Setting]:[Setting]],all_cause_mort[],14,FALSE)="",VLOOKUP(all_lmics181920[[who_choice_region]:[who_choice_region]],missing[],18,FALSE),VLOOKUP(all_lmics181920[[Setting]:[Setting]],all_cause_mort[],14,FALSE))*1.05</f>
        <v>5.7987952050000003E-3</v>
      </c>
      <c r="AA41">
        <f>IF(VLOOKUP(all_lmics181920[[Setting]:[Setting]],all_cause_mort[],15,FALSE)="",VLOOKUP(all_lmics181920[[who_choice_region]:[who_choice_region]],missing[],19,FALSE),VLOOKUP(all_lmics181920[[Setting]:[Setting]],all_cause_mort[],15,FALSE))*1.05</f>
        <v>8.0477903100000005E-3</v>
      </c>
      <c r="AB41">
        <f>IF(VLOOKUP(all_lmics181920[[Setting]:[Setting]],all_cause_mort[],16,FALSE)="",VLOOKUP(all_lmics181920[[who_choice_region]:[who_choice_region]],missing[],20,FALSE),VLOOKUP(all_lmics181920[[Setting]:[Setting]],all_cause_mort[],16,FALSE))*1.05</f>
        <v>1.1597530349999999E-2</v>
      </c>
      <c r="AC41">
        <f>IF(VLOOKUP(all_lmics181920[[Setting]:[Setting]],all_cause_mort[],17,FALSE)="",VLOOKUP(all_lmics181920[[who_choice_region]:[who_choice_region]],missing[],21,FALSE),VLOOKUP(all_lmics181920[[Setting]:[Setting]],all_cause_mort[],17,FALSE))*1.05</f>
        <v>1.7336419800000002E-2</v>
      </c>
      <c r="AD41">
        <f>IF(VLOOKUP(all_lmics181920[[Setting]:[Setting]],all_cause_mort[],18,FALSE)="",VLOOKUP(all_lmics181920[[who_choice_region]:[who_choice_region]],missing[],22,FALSE),VLOOKUP(all_lmics181920[[Setting]:[Setting]],all_cause_mort[],18,FALSE))*1.05</f>
        <v>2.3667479849999999E-2</v>
      </c>
      <c r="AE41">
        <f>IF(VLOOKUP(all_lmics181920[[Setting]:[Setting]],all_cause_mort[],19,FALSE)="",VLOOKUP(all_lmics181920[[who_choice_region]:[who_choice_region]],missing[],23,FALSE),VLOOKUP(all_lmics181920[[Setting]:[Setting]],all_cause_mort[],19,FALSE))*1.05</f>
        <v>3.2613189000000001E-2</v>
      </c>
      <c r="AF41">
        <f>IF(VLOOKUP(all_lmics181920[[Setting]:[Setting]],all_cause_mort[],20,FALSE)="",VLOOKUP(all_lmics181920[[who_choice_region]:[who_choice_region]],missing[],24,FALSE),VLOOKUP(all_lmics181920[[Setting]:[Setting]],all_cause_mort[],20,FALSE))*1.05</f>
        <v>4.6891646549999999E-2</v>
      </c>
      <c r="AG41">
        <f>IF(VLOOKUP(all_lmics181920[[Setting]:[Setting]],all_cause_mort[],21,FALSE)="",VLOOKUP(all_lmics181920[[who_choice_region]:[who_choice_region]],missing[],25,FALSE),VLOOKUP(all_lmics181920[[Setting]:[Setting]],all_cause_mort[],21,FALSE))*1.05</f>
        <v>7.9050195000000004E-2</v>
      </c>
      <c r="AH41">
        <f>IF(VLOOKUP(all_lmics181920[[Setting]:[Setting]],all_cause_mort[],22,FALSE)="",VLOOKUP(all_lmics181920[[who_choice_region]:[who_choice_region]],missing[],26,FALSE),VLOOKUP(all_lmics181920[[Setting]:[Setting]],all_cause_mort[],22,FALSE))*1.05</f>
        <v>0.10009873545</v>
      </c>
      <c r="AI41">
        <f>IF(VLOOKUP(all_lmics181920[[Setting]:[Setting]],all_cause_mort[],23,FALSE)="",VLOOKUP(all_lmics181920[[who_choice_region]:[who_choice_region]],missing[],27,FALSE),VLOOKUP(all_lmics181920[[Setting]:[Setting]],all_cause_mort[],23,FALSE))*1.05</f>
        <v>0.14672984550000001</v>
      </c>
      <c r="AJ41">
        <f>IF(VLOOKUP(all_lmics181920[[Setting]:[Setting]],all_cause_mort[],24,FALSE)="",VLOOKUP(all_lmics181920[[who_choice_region]:[who_choice_region]],missing[],28,FALSE),VLOOKUP(all_lmics181920[[Setting]:[Setting]],all_cause_mort[],24,FALSE))*1.05</f>
        <v>0.21353493000000001</v>
      </c>
      <c r="AK41">
        <f>IF(VLOOKUP(all_lmics181920[[Setting]:[Setting]],all_cause_mort[],25,FALSE)="",VLOOKUP(all_lmics181920[[who_choice_region]:[who_choice_region]],missing[],29,FALSE),VLOOKUP(all_lmics181920[[Setting]:[Setting]],all_cause_mort[],25,FALSE))*1.05</f>
        <v>0.32194595171362678</v>
      </c>
      <c r="AL41">
        <f>VLOOKUP(all_lmics181920[[worldbank_region]:[worldbank_region]],Table13[],2,FALSE)*1.05</f>
        <v>46.7513991</v>
      </c>
      <c r="AM41">
        <f>VLOOKUP(all_lmics181920[[worldbank_region]:[worldbank_region]],Table13[],3,FALSE)*1.05</f>
        <v>46.7513991</v>
      </c>
      <c r="AN41">
        <f>VLOOKUP(all_lmics181920[[worldbank_region]:[worldbank_region]],Table13[],4,FALSE)*1.05</f>
        <v>96.866702099999983</v>
      </c>
      <c r="AO41">
        <f>VLOOKUP(all_lmics181920[[worldbank_region]:[worldbank_region]],Table13[],5,FALSE)*1.05</f>
        <v>96.866702099999983</v>
      </c>
      <c r="AP41">
        <f>VLOOKUP(all_lmics181920[[worldbank_region]:[worldbank_region]],Table13[],6,FALSE)*1.05</f>
        <v>96.866702099999983</v>
      </c>
      <c r="AQ41">
        <f>VLOOKUP(all_lmics181920[[worldbank_region]:[worldbank_region]],Table14[],2,FALSE)*1.05</f>
        <v>6.7392065999999993</v>
      </c>
      <c r="AR41">
        <f>VLOOKUP(all_lmics181920[[worldbank_region]:[worldbank_region]],Table14[],3,FALSE)*1.05</f>
        <v>7.3875815999999999</v>
      </c>
      <c r="AS41">
        <f>VLOOKUP(all_lmics181920[[worldbank_region]:[worldbank_region]],Table14[],4,FALSE)*1.05</f>
        <v>11.007016649999999</v>
      </c>
      <c r="AT41">
        <f>VLOOKUP(all_lmics181920[[worldbank_region]:[worldbank_region]],Table14[],5,FALSE)*1.05</f>
        <v>11.65539165</v>
      </c>
      <c r="AU41">
        <f>VLOOKUP(all_lmics181920[[worldbank_region]:[worldbank_region]],Table14[],6,FALSE)*1.05</f>
        <v>12.254156249999999</v>
      </c>
      <c r="AV41">
        <f>MIN(IFERROR(VLOOKUP(all_lmics181920[[Setting]:[Setting]],nFacSBA[],4,FALSE),VLOOKUP(all_lmics181920[[who_choice_region]:[who_choice_region]],missing[],30,FALSE))*1.05, 0.9999)</f>
        <v>0.40331210264279499</v>
      </c>
      <c r="AW41">
        <f>VLOOKUP(all_lmics181920[[worldbank_region]:[worldbank_region]],hbe[],4)</f>
        <v>0.5</v>
      </c>
      <c r="AX41">
        <f>VLOOKUP(all_lmics181920[[worldbank_region]:[worldbank_region]],hbe[],7)</f>
        <v>1</v>
      </c>
      <c r="AY41">
        <f>VLOOKUP(all_lmics181920[[worldbank_region]:[worldbank_region]],hbe[],10)</f>
        <v>0.25</v>
      </c>
    </row>
    <row r="42" spans="1:51" x14ac:dyDescent="0.35">
      <c r="A42" s="8" t="s">
        <v>133</v>
      </c>
      <c r="B42" s="10" t="s">
        <v>57</v>
      </c>
      <c r="C42" s="11" t="s">
        <v>58</v>
      </c>
      <c r="D42">
        <f>VLOOKUP(all_lmics181920[[Setting]:[Setting]],populations[],9,FALSE)</f>
        <v>31624264</v>
      </c>
      <c r="E42">
        <f>VLOOKUP(all_lmics181920[[Setting]:[Setting]],birthrate[],3,FALSE)</f>
        <v>1.7052000000000001E-2</v>
      </c>
      <c r="F42">
        <f>all_lmics181920[[#This Row],[2017_population]]*all_lmics181920[[#This Row],[2016_birthrate]]</f>
        <v>539256.94972800009</v>
      </c>
      <c r="G42">
        <f>MIN(VLOOKUP(all_lmics181920[[Setting]:[Setting]],birthdose[],4,FALSE)*1.05,0.9999)</f>
        <v>0.94500000000000006</v>
      </c>
      <c r="H42">
        <f>MIN(VLOOKUP(all_lmics181920[[Setting]:[Setting]],fullvax[],4,FALSE)*1.05,0.9999)</f>
        <v>0.99990000000000001</v>
      </c>
      <c r="I42">
        <f>IFERROR(VLOOKUP(all_lmics181920[[Setting]:[Setting]],prev[],3,FALSE),VLOOKUP(all_lmics181920[[who_choice_region]:[who_choice_region]],missing[],2,FALSE))</f>
        <v>8.9999999999999993E-3</v>
      </c>
      <c r="J42">
        <f>IFERROR(VLOOKUP(all_lmics181920[[Setting]:[Setting]],prev[],4,FALSE),VLOOKUP(all_lmics181920[[who_choice_region]:[who_choice_region]],missing[],3,FALSE))</f>
        <v>5.0000000000000001E-3</v>
      </c>
      <c r="K42">
        <f>IFERROR(VLOOKUP(all_lmics181920[[Setting]:[Setting]],prev[],5,FALSE),VLOOKUP(all_lmics181920[[who_choice_region]:[who_choice_region]],missing[],4,FALSE))</f>
        <v>0.01</v>
      </c>
      <c r="L42">
        <f>IFERROR(VLOOKUP(all_lmics181920[[Setting]:[Setting]],prev[],7,FALSE),VLOOKUP(all_lmics181920[[who_choice_region]:[who_choice_region]],missing[],5,FALSE))</f>
        <v>5.1020408163265354E-4</v>
      </c>
      <c r="M42">
        <f>IFERROR(VLOOKUP(all_lmics181920[[Setting]:[Setting]],prev[],6,FALSE),0)</f>
        <v>31624264</v>
      </c>
      <c r="N42">
        <f>MIN(IFERROR(VLOOKUP(all_lmics181920[[Setting]:[Setting]],SBA[],4,FALSE),VLOOKUP(all_lmics181920[[who_choice_region]:[who_choice_region]],missing[],6,FALSE))*1.05, 0.9999)</f>
        <v>0.99990000000000001</v>
      </c>
      <c r="O42">
        <f>MIN(IFERROR(VLOOKUP(all_lmics181920[[Setting]:[Setting]], facility[], 3,FALSE),VLOOKUP(all_lmics181920[[who_choice_region]:[who_choice_region]],missing[],7,FALSE))*1.05, 0.9999)</f>
        <v>0.99990000000000001</v>
      </c>
      <c r="P42">
        <f>IF(VLOOKUP(all_lmics181920[[Setting]:[Setting]],all_cause_mort[],4,FALSE)="",VLOOKUP(all_lmics181920[[who_choice_region]:[who_choice_region]],missing[],8,FALSE),VLOOKUP(all_lmics181920[[Setting]:[Setting]],all_cause_mort[],4,FALSE))*1.05</f>
        <v>6.2272648199999999E-3</v>
      </c>
      <c r="Q42">
        <f>IF(VLOOKUP(all_lmics181920[[Setting]:[Setting]],all_cause_mort[],5,FALSE)="",VLOOKUP(all_lmics181920[[who_choice_region]:[who_choice_region]],missing[],9,FALSE),VLOOKUP(all_lmics181920[[Setting]:[Setting]],all_cause_mort[],5,FALSE))*1.05</f>
        <v>2.8273667100000004E-4</v>
      </c>
      <c r="R42">
        <f>IF(VLOOKUP(all_lmics181920[[Setting]:[Setting]],all_cause_mort[],6,FALSE)="",VLOOKUP(all_lmics181920[[who_choice_region]:[who_choice_region]],missing[],10,FALSE),VLOOKUP(all_lmics181920[[Setting]:[Setting]],all_cause_mort[],6,FALSE))*1.05</f>
        <v>1.8278858850000001E-4</v>
      </c>
      <c r="S42">
        <f>IF(VLOOKUP(all_lmics181920[[Setting]:[Setting]],all_cause_mort[],7,FALSE)="",VLOOKUP(all_lmics181920[[who_choice_region]:[who_choice_region]],missing[],11,FALSE),VLOOKUP(all_lmics181920[[Setting]:[Setting]],all_cause_mort[],7,FALSE))*1.05</f>
        <v>2.5375375199999998E-4</v>
      </c>
      <c r="T42">
        <f>IF(VLOOKUP(all_lmics181920[[Setting]:[Setting]],all_cause_mort[],8,FALSE)="",VLOOKUP(all_lmics181920[[who_choice_region]:[who_choice_region]],missing[],12,FALSE),VLOOKUP(all_lmics181920[[Setting]:[Setting]],all_cause_mort[],8,FALSE))*1.05</f>
        <v>5.9362790550000007E-4</v>
      </c>
      <c r="U42">
        <f>IF(VLOOKUP(all_lmics181920[[Setting]:[Setting]],all_cause_mort[],9,FALSE)="",VLOOKUP(all_lmics181920[[who_choice_region]:[who_choice_region]],missing[],13,FALSE),VLOOKUP(all_lmics181920[[Setting]:[Setting]],all_cause_mort[],9,FALSE))*1.05</f>
        <v>6.2254568250000005E-4</v>
      </c>
      <c r="V42">
        <f>IF(VLOOKUP(all_lmics181920[[Setting]:[Setting]],all_cause_mort[],10,FALSE)="",VLOOKUP(all_lmics181920[[who_choice_region]:[who_choice_region]],missing[],14,FALSE),VLOOKUP(all_lmics181920[[Setting]:[Setting]],all_cause_mort[],10,FALSE))*1.05</f>
        <v>6.5451507449999996E-4</v>
      </c>
      <c r="W42">
        <f>IF(VLOOKUP(all_lmics181920[[Setting]:[Setting]],all_cause_mort[],11,FALSE)="",VLOOKUP(all_lmics181920[[who_choice_region]:[who_choice_region]],missing[],15,FALSE),VLOOKUP(all_lmics181920[[Setting]:[Setting]],all_cause_mort[],11,FALSE))*1.05</f>
        <v>1.132871355E-3</v>
      </c>
      <c r="X42">
        <f>IF(VLOOKUP(all_lmics181920[[Setting]:[Setting]],all_cause_mort[],12,FALSE)="",VLOOKUP(all_lmics181920[[who_choice_region]:[who_choice_region]],missing[],16,FALSE),VLOOKUP(all_lmics181920[[Setting]:[Setting]],all_cause_mort[],12,FALSE))*1.05</f>
        <v>1.6887824100000001E-3</v>
      </c>
      <c r="Y42">
        <f>IF(VLOOKUP(all_lmics181920[[Setting]:[Setting]],all_cause_mort[],13,FALSE)="",VLOOKUP(all_lmics181920[[who_choice_region]:[who_choice_region]],missing[],17,FALSE),VLOOKUP(all_lmics181920[[Setting]:[Setting]],all_cause_mort[],13,FALSE))*1.05</f>
        <v>2.5131184050000001E-3</v>
      </c>
      <c r="Z42">
        <f>IF(VLOOKUP(all_lmics181920[[Setting]:[Setting]],all_cause_mort[],14,FALSE)="",VLOOKUP(all_lmics181920[[who_choice_region]:[who_choice_region]],missing[],18,FALSE),VLOOKUP(all_lmics181920[[Setting]:[Setting]],all_cause_mort[],14,FALSE))*1.05</f>
        <v>4.4068553550000002E-3</v>
      </c>
      <c r="AA42">
        <f>IF(VLOOKUP(all_lmics181920[[Setting]:[Setting]],all_cause_mort[],15,FALSE)="",VLOOKUP(all_lmics181920[[who_choice_region]:[who_choice_region]],missing[],19,FALSE),VLOOKUP(all_lmics181920[[Setting]:[Setting]],all_cause_mort[],15,FALSE))*1.05</f>
        <v>6.7155661649999998E-3</v>
      </c>
      <c r="AB42">
        <f>IF(VLOOKUP(all_lmics181920[[Setting]:[Setting]],all_cause_mort[],16,FALSE)="",VLOOKUP(all_lmics181920[[who_choice_region]:[who_choice_region]],missing[],20,FALSE),VLOOKUP(all_lmics181920[[Setting]:[Setting]],all_cause_mort[],16,FALSE))*1.05</f>
        <v>9.843200324999999E-3</v>
      </c>
      <c r="AC42">
        <f>IF(VLOOKUP(all_lmics181920[[Setting]:[Setting]],all_cause_mort[],17,FALSE)="",VLOOKUP(all_lmics181920[[who_choice_region]:[who_choice_region]],missing[],21,FALSE),VLOOKUP(all_lmics181920[[Setting]:[Setting]],all_cause_mort[],17,FALSE))*1.05</f>
        <v>1.3664694750000001E-2</v>
      </c>
      <c r="AD42">
        <f>IF(VLOOKUP(all_lmics181920[[Setting]:[Setting]],all_cause_mort[],18,FALSE)="",VLOOKUP(all_lmics181920[[who_choice_region]:[who_choice_region]],missing[],22,FALSE),VLOOKUP(all_lmics181920[[Setting]:[Setting]],all_cause_mort[],18,FALSE))*1.05</f>
        <v>2.2344145950000002E-2</v>
      </c>
      <c r="AE42">
        <f>IF(VLOOKUP(all_lmics181920[[Setting]:[Setting]],all_cause_mort[],19,FALSE)="",VLOOKUP(all_lmics181920[[who_choice_region]:[who_choice_region]],missing[],23,FALSE),VLOOKUP(all_lmics181920[[Setting]:[Setting]],all_cause_mort[],19,FALSE))*1.05</f>
        <v>3.89329416E-2</v>
      </c>
      <c r="AF42">
        <f>IF(VLOOKUP(all_lmics181920[[Setting]:[Setting]],all_cause_mort[],20,FALSE)="",VLOOKUP(all_lmics181920[[who_choice_region]:[who_choice_region]],missing[],24,FALSE),VLOOKUP(all_lmics181920[[Setting]:[Setting]],all_cause_mort[],20,FALSE))*1.05</f>
        <v>5.7594462450000002E-2</v>
      </c>
      <c r="AG42">
        <f>IF(VLOOKUP(all_lmics181920[[Setting]:[Setting]],all_cause_mort[],21,FALSE)="",VLOOKUP(all_lmics181920[[who_choice_region]:[who_choice_region]],missing[],25,FALSE),VLOOKUP(all_lmics181920[[Setting]:[Setting]],all_cause_mort[],21,FALSE))*1.05</f>
        <v>8.9626100550000004E-2</v>
      </c>
      <c r="AH42">
        <f>IF(VLOOKUP(all_lmics181920[[Setting]:[Setting]],all_cause_mort[],22,FALSE)="",VLOOKUP(all_lmics181920[[who_choice_region]:[who_choice_region]],missing[],26,FALSE),VLOOKUP(all_lmics181920[[Setting]:[Setting]],all_cause_mort[],22,FALSE))*1.05</f>
        <v>0.13459465950000002</v>
      </c>
      <c r="AI42">
        <f>IF(VLOOKUP(all_lmics181920[[Setting]:[Setting]],all_cause_mort[],23,FALSE)="",VLOOKUP(all_lmics181920[[who_choice_region]:[who_choice_region]],missing[],27,FALSE),VLOOKUP(all_lmics181920[[Setting]:[Setting]],all_cause_mort[],23,FALSE))*1.05</f>
        <v>0.1912041495</v>
      </c>
      <c r="AJ42">
        <f>IF(VLOOKUP(all_lmics181920[[Setting]:[Setting]],all_cause_mort[],24,FALSE)="",VLOOKUP(all_lmics181920[[who_choice_region]:[who_choice_region]],missing[],28,FALSE),VLOOKUP(all_lmics181920[[Setting]:[Setting]],all_cause_mort[],24,FALSE))*1.05</f>
        <v>0.24873158100000001</v>
      </c>
      <c r="AK42">
        <f>IF(VLOOKUP(all_lmics181920[[Setting]:[Setting]],all_cause_mort[],25,FALSE)="",VLOOKUP(all_lmics181920[[who_choice_region]:[who_choice_region]],missing[],29,FALSE),VLOOKUP(all_lmics181920[[Setting]:[Setting]],all_cause_mort[],25,FALSE))*1.05</f>
        <v>0.32232111477428205</v>
      </c>
      <c r="AL42">
        <f>VLOOKUP(all_lmics181920[[worldbank_region]:[worldbank_region]],Table13[],2,FALSE)*1.05</f>
        <v>76.717604249999994</v>
      </c>
      <c r="AM42">
        <f>VLOOKUP(all_lmics181920[[worldbank_region]:[worldbank_region]],Table13[],3,FALSE)*1.05</f>
        <v>76.717604249999994</v>
      </c>
      <c r="AN42">
        <f>VLOOKUP(all_lmics181920[[worldbank_region]:[worldbank_region]],Table13[],4,FALSE)*1.05</f>
        <v>126.83290724999999</v>
      </c>
      <c r="AO42">
        <f>VLOOKUP(all_lmics181920[[worldbank_region]:[worldbank_region]],Table13[],5,FALSE)*1.05</f>
        <v>126.83290724999999</v>
      </c>
      <c r="AP42">
        <f>VLOOKUP(all_lmics181920[[worldbank_region]:[worldbank_region]],Table13[],6,FALSE)*1.05</f>
        <v>126.83290724999999</v>
      </c>
      <c r="AQ42">
        <f>VLOOKUP(all_lmics181920[[worldbank_region]:[worldbank_region]],Table14[],2,FALSE)*1.05</f>
        <v>1.4073045</v>
      </c>
      <c r="AR42">
        <f>VLOOKUP(all_lmics181920[[worldbank_region]:[worldbank_region]],Table14[],3,FALSE)*1.05</f>
        <v>2.0556795000000001</v>
      </c>
      <c r="AS42">
        <f>VLOOKUP(all_lmics181920[[worldbank_region]:[worldbank_region]],Table14[],4,FALSE)*1.05</f>
        <v>2.0709317999999999</v>
      </c>
      <c r="AT42">
        <f>VLOOKUP(all_lmics181920[[worldbank_region]:[worldbank_region]],Table14[],5,FALSE)*1.05</f>
        <v>2.7193068</v>
      </c>
      <c r="AU42">
        <f>VLOOKUP(all_lmics181920[[worldbank_region]:[worldbank_region]],Table14[],6,FALSE)*1.05</f>
        <v>3.3180714</v>
      </c>
      <c r="AV42">
        <f>MIN(IFERROR(VLOOKUP(all_lmics181920[[Setting]:[Setting]],nFacSBA[],4,FALSE),VLOOKUP(all_lmics181920[[who_choice_region]:[who_choice_region]],missing[],30,FALSE))*1.05, 0.9999)</f>
        <v>0.16784953724039575</v>
      </c>
      <c r="AW42">
        <f>VLOOKUP(all_lmics181920[[worldbank_region]:[worldbank_region]],hbe[],4)</f>
        <v>0.5</v>
      </c>
      <c r="AX42">
        <f>VLOOKUP(all_lmics181920[[worldbank_region]:[worldbank_region]],hbe[],7)</f>
        <v>1</v>
      </c>
      <c r="AY42">
        <f>VLOOKUP(all_lmics181920[[worldbank_region]:[worldbank_region]],hbe[],10)</f>
        <v>0.25</v>
      </c>
    </row>
    <row r="43" spans="1:51" x14ac:dyDescent="0.35">
      <c r="A43" s="12" t="s">
        <v>134</v>
      </c>
      <c r="B43" s="13" t="s">
        <v>36</v>
      </c>
      <c r="C43" s="14" t="s">
        <v>37</v>
      </c>
      <c r="D43">
        <f>VLOOKUP(all_lmics181920[[Setting]:[Setting]],populations[],9,FALSE)</f>
        <v>436330</v>
      </c>
      <c r="E43">
        <f>VLOOKUP(all_lmics181920[[Setting]:[Setting]],birthrate[],3,FALSE)</f>
        <v>1.8269999999999998E-2</v>
      </c>
      <c r="F43">
        <f>all_lmics181920[[#This Row],[2017_population]]*all_lmics181920[[#This Row],[2016_birthrate]]</f>
        <v>7971.7490999999991</v>
      </c>
      <c r="G43">
        <f>MIN(VLOOKUP(all_lmics181920[[Setting]:[Setting]],birthdose[],4,FALSE)*1.05,0.9999)</f>
        <v>0.99990000000000001</v>
      </c>
      <c r="H43">
        <f>MIN(VLOOKUP(all_lmics181920[[Setting]:[Setting]],fullvax[],4,FALSE)*1.05,0.9999)</f>
        <v>0.99990000000000001</v>
      </c>
      <c r="I43">
        <f>IFERROR(VLOOKUP(all_lmics181920[[Setting]:[Setting]],prev[],3,FALSE),VLOOKUP(all_lmics181920[[who_choice_region]:[who_choice_region]],missing[],2,FALSE))</f>
        <v>2.9042976123168401E-2</v>
      </c>
      <c r="J43">
        <f>IFERROR(VLOOKUP(all_lmics181920[[Setting]:[Setting]],prev[],4,FALSE),VLOOKUP(all_lmics181920[[who_choice_region]:[who_choice_region]],missing[],3,FALSE))</f>
        <v>2.3703460291678725E-2</v>
      </c>
      <c r="K43">
        <f>IFERROR(VLOOKUP(all_lmics181920[[Setting]:[Setting]],prev[],5,FALSE),VLOOKUP(all_lmics181920[[who_choice_region]:[who_choice_region]],missing[],4,FALSE))</f>
        <v>3.2561757047722864E-2</v>
      </c>
      <c r="L43">
        <f>IFERROR(VLOOKUP(all_lmics181920[[Setting]:[Setting]],prev[],7,FALSE),VLOOKUP(all_lmics181920[[who_choice_region]:[who_choice_region]],missing[],5,FALSE))</f>
        <v>1.7952963900788081E-3</v>
      </c>
      <c r="M43">
        <f>IFERROR(VLOOKUP(all_lmics181920[[Setting]:[Setting]],prev[],6,FALSE),0)</f>
        <v>0</v>
      </c>
      <c r="N43">
        <f>MIN(IFERROR(VLOOKUP(all_lmics181920[[Setting]:[Setting]],SBA[],4,FALSE),VLOOKUP(all_lmics181920[[who_choice_region]:[who_choice_region]],missing[],6,FALSE))*1.05, 0.9999)</f>
        <v>0.99990000000000001</v>
      </c>
      <c r="O43">
        <f>MIN(IFERROR(VLOOKUP(all_lmics181920[[Setting]:[Setting]], facility[], 3,FALSE),VLOOKUP(all_lmics181920[[who_choice_region]:[who_choice_region]],missing[],7,FALSE))*1.05, 0.9999)</f>
        <v>0.99855000000000005</v>
      </c>
      <c r="P43">
        <f>IF(VLOOKUP(all_lmics181920[[Setting]:[Setting]],all_cause_mort[],4,FALSE)="",VLOOKUP(all_lmics181920[[who_choice_region]:[who_choice_region]],missing[],8,FALSE),VLOOKUP(all_lmics181920[[Setting]:[Setting]],all_cause_mort[],4,FALSE))*1.05</f>
        <v>7.1483312249999995E-3</v>
      </c>
      <c r="Q43">
        <f>IF(VLOOKUP(all_lmics181920[[Setting]:[Setting]],all_cause_mort[],5,FALSE)="",VLOOKUP(all_lmics181920[[who_choice_region]:[who_choice_region]],missing[],9,FALSE),VLOOKUP(all_lmics181920[[Setting]:[Setting]],all_cause_mort[],5,FALSE))*1.05</f>
        <v>3.0600927E-4</v>
      </c>
      <c r="R43">
        <f>IF(VLOOKUP(all_lmics181920[[Setting]:[Setting]],all_cause_mort[],6,FALSE)="",VLOOKUP(all_lmics181920[[who_choice_region]:[who_choice_region]],missing[],10,FALSE),VLOOKUP(all_lmics181920[[Setting]:[Setting]],all_cause_mort[],6,FALSE))*1.05</f>
        <v>2.6540143350000002E-4</v>
      </c>
      <c r="S43">
        <f>IF(VLOOKUP(all_lmics181920[[Setting]:[Setting]],all_cause_mort[],7,FALSE)="",VLOOKUP(all_lmics181920[[who_choice_region]:[who_choice_region]],missing[],11,FALSE),VLOOKUP(all_lmics181920[[Setting]:[Setting]],all_cause_mort[],7,FALSE))*1.05</f>
        <v>3.5642692050000003E-4</v>
      </c>
      <c r="T43">
        <f>IF(VLOOKUP(all_lmics181920[[Setting]:[Setting]],all_cause_mort[],8,FALSE)="",VLOOKUP(all_lmics181920[[who_choice_region]:[who_choice_region]],missing[],12,FALSE),VLOOKUP(all_lmics181920[[Setting]:[Setting]],all_cause_mort[],8,FALSE))*1.05</f>
        <v>3.6397641000000006E-4</v>
      </c>
      <c r="U43">
        <f>IF(VLOOKUP(all_lmics181920[[Setting]:[Setting]],all_cause_mort[],9,FALSE)="",VLOOKUP(all_lmics181920[[who_choice_region]:[who_choice_region]],missing[],13,FALSE),VLOOKUP(all_lmics181920[[Setting]:[Setting]],all_cause_mort[],9,FALSE))*1.05</f>
        <v>5.3281386900000003E-4</v>
      </c>
      <c r="V43">
        <f>IF(VLOOKUP(all_lmics181920[[Setting]:[Setting]],all_cause_mort[],10,FALSE)="",VLOOKUP(all_lmics181920[[who_choice_region]:[who_choice_region]],missing[],14,FALSE),VLOOKUP(all_lmics181920[[Setting]:[Setting]],all_cause_mort[],10,FALSE))*1.05</f>
        <v>4.9470732150000006E-4</v>
      </c>
      <c r="W43">
        <f>IF(VLOOKUP(all_lmics181920[[Setting]:[Setting]],all_cause_mort[],11,FALSE)="",VLOOKUP(all_lmics181920[[who_choice_region]:[who_choice_region]],missing[],15,FALSE),VLOOKUP(all_lmics181920[[Setting]:[Setting]],all_cause_mort[],11,FALSE))*1.05</f>
        <v>5.5316191349999997E-4</v>
      </c>
      <c r="X43">
        <f>IF(VLOOKUP(all_lmics181920[[Setting]:[Setting]],all_cause_mort[],12,FALSE)="",VLOOKUP(all_lmics181920[[who_choice_region]:[who_choice_region]],missing[],16,FALSE),VLOOKUP(all_lmics181920[[Setting]:[Setting]],all_cause_mort[],12,FALSE))*1.05</f>
        <v>6.161453865000001E-4</v>
      </c>
      <c r="Y43">
        <f>IF(VLOOKUP(all_lmics181920[[Setting]:[Setting]],all_cause_mort[],13,FALSE)="",VLOOKUP(all_lmics181920[[who_choice_region]:[who_choice_region]],missing[],17,FALSE),VLOOKUP(all_lmics181920[[Setting]:[Setting]],all_cause_mort[],13,FALSE))*1.05</f>
        <v>9.8277730950000006E-4</v>
      </c>
      <c r="Z43">
        <f>IF(VLOOKUP(all_lmics181920[[Setting]:[Setting]],all_cause_mort[],14,FALSE)="",VLOOKUP(all_lmics181920[[who_choice_region]:[who_choice_region]],missing[],18,FALSE),VLOOKUP(all_lmics181920[[Setting]:[Setting]],all_cause_mort[],14,FALSE))*1.05</f>
        <v>1.7339889E-3</v>
      </c>
      <c r="AA43">
        <f>IF(VLOOKUP(all_lmics181920[[Setting]:[Setting]],all_cause_mort[],15,FALSE)="",VLOOKUP(all_lmics181920[[who_choice_region]:[who_choice_region]],missing[],19,FALSE),VLOOKUP(all_lmics181920[[Setting]:[Setting]],all_cause_mort[],15,FALSE))*1.05</f>
        <v>2.5254139050000001E-3</v>
      </c>
      <c r="AB43">
        <f>IF(VLOOKUP(all_lmics181920[[Setting]:[Setting]],all_cause_mort[],16,FALSE)="",VLOOKUP(all_lmics181920[[who_choice_region]:[who_choice_region]],missing[],20,FALSE),VLOOKUP(all_lmics181920[[Setting]:[Setting]],all_cause_mort[],16,FALSE))*1.05</f>
        <v>4.8870386250000003E-3</v>
      </c>
      <c r="AC43">
        <f>IF(VLOOKUP(all_lmics181920[[Setting]:[Setting]],all_cause_mort[],17,FALSE)="",VLOOKUP(all_lmics181920[[who_choice_region]:[who_choice_region]],missing[],21,FALSE),VLOOKUP(all_lmics181920[[Setting]:[Setting]],all_cause_mort[],17,FALSE))*1.05</f>
        <v>9.2085740249999992E-3</v>
      </c>
      <c r="AD43">
        <f>IF(VLOOKUP(all_lmics181920[[Setting]:[Setting]],all_cause_mort[],18,FALSE)="",VLOOKUP(all_lmics181920[[who_choice_region]:[who_choice_region]],missing[],22,FALSE),VLOOKUP(all_lmics181920[[Setting]:[Setting]],all_cause_mort[],18,FALSE))*1.05</f>
        <v>1.755412365E-2</v>
      </c>
      <c r="AE43">
        <f>IF(VLOOKUP(all_lmics181920[[Setting]:[Setting]],all_cause_mort[],19,FALSE)="",VLOOKUP(all_lmics181920[[who_choice_region]:[who_choice_region]],missing[],23,FALSE),VLOOKUP(all_lmics181920[[Setting]:[Setting]],all_cause_mort[],19,FALSE))*1.05</f>
        <v>3.3481421399999996E-2</v>
      </c>
      <c r="AF43">
        <f>IF(VLOOKUP(all_lmics181920[[Setting]:[Setting]],all_cause_mort[],20,FALSE)="",VLOOKUP(all_lmics181920[[who_choice_region]:[who_choice_region]],missing[],24,FALSE),VLOOKUP(all_lmics181920[[Setting]:[Setting]],all_cause_mort[],20,FALSE))*1.05</f>
        <v>6.4077665399999997E-2</v>
      </c>
      <c r="AG43">
        <f>IF(VLOOKUP(all_lmics181920[[Setting]:[Setting]],all_cause_mort[],21,FALSE)="",VLOOKUP(all_lmics181920[[who_choice_region]:[who_choice_region]],missing[],25,FALSE),VLOOKUP(all_lmics181920[[Setting]:[Setting]],all_cause_mort[],21,FALSE))*1.05</f>
        <v>9.3134704949999994E-2</v>
      </c>
      <c r="AH43">
        <f>IF(VLOOKUP(all_lmics181920[[Setting]:[Setting]],all_cause_mort[],22,FALSE)="",VLOOKUP(all_lmics181920[[who_choice_region]:[who_choice_region]],missing[],26,FALSE),VLOOKUP(all_lmics181920[[Setting]:[Setting]],all_cause_mort[],22,FALSE))*1.05</f>
        <v>0.13886763450000003</v>
      </c>
      <c r="AI43">
        <f>IF(VLOOKUP(all_lmics181920[[Setting]:[Setting]],all_cause_mort[],23,FALSE)="",VLOOKUP(all_lmics181920[[who_choice_region]:[who_choice_region]],missing[],27,FALSE),VLOOKUP(all_lmics181920[[Setting]:[Setting]],all_cause_mort[],23,FALSE))*1.05</f>
        <v>0.1985518815</v>
      </c>
      <c r="AJ43">
        <f>IF(VLOOKUP(all_lmics181920[[Setting]:[Setting]],all_cause_mort[],24,FALSE)="",VLOOKUP(all_lmics181920[[who_choice_region]:[who_choice_region]],missing[],28,FALSE),VLOOKUP(all_lmics181920[[Setting]:[Setting]],all_cause_mort[],24,FALSE))*1.05</f>
        <v>0.27046897500000006</v>
      </c>
      <c r="AK43">
        <f>IF(VLOOKUP(all_lmics181920[[Setting]:[Setting]],all_cause_mort[],25,FALSE)="",VLOOKUP(all_lmics181920[[who_choice_region]:[who_choice_region]],missing[],29,FALSE),VLOOKUP(all_lmics181920[[Setting]:[Setting]],all_cause_mort[],25,FALSE))*1.05</f>
        <v>0.3782660844683301</v>
      </c>
      <c r="AL43">
        <f>VLOOKUP(all_lmics181920[[worldbank_region]:[worldbank_region]],Table13[],2,FALSE)*1.05</f>
        <v>60.229898399999996</v>
      </c>
      <c r="AM43">
        <f>VLOOKUP(all_lmics181920[[worldbank_region]:[worldbank_region]],Table13[],3,FALSE)*1.05</f>
        <v>60.229898399999996</v>
      </c>
      <c r="AN43">
        <f>VLOOKUP(all_lmics181920[[worldbank_region]:[worldbank_region]],Table13[],4,FALSE)*1.05</f>
        <v>110.34520139999999</v>
      </c>
      <c r="AO43">
        <f>VLOOKUP(all_lmics181920[[worldbank_region]:[worldbank_region]],Table13[],5,FALSE)*1.05</f>
        <v>110.34520139999999</v>
      </c>
      <c r="AP43">
        <f>VLOOKUP(all_lmics181920[[worldbank_region]:[worldbank_region]],Table13[],6,FALSE)*1.05</f>
        <v>110.34520139999999</v>
      </c>
      <c r="AQ43">
        <f>VLOOKUP(all_lmics181920[[worldbank_region]:[worldbank_region]],Table14[],2,FALSE)*1.05</f>
        <v>1.0068397500000001</v>
      </c>
      <c r="AR43">
        <f>VLOOKUP(all_lmics181920[[worldbank_region]:[worldbank_region]],Table14[],3,FALSE)*1.05</f>
        <v>1.6552147500000003</v>
      </c>
      <c r="AS43">
        <f>VLOOKUP(all_lmics181920[[worldbank_region]:[worldbank_region]],Table14[],4,FALSE)*1.05</f>
        <v>34.6802043</v>
      </c>
      <c r="AT43">
        <f>VLOOKUP(all_lmics181920[[worldbank_region]:[worldbank_region]],Table14[],5,FALSE)*1.05</f>
        <v>35.328579300000001</v>
      </c>
      <c r="AU43">
        <f>VLOOKUP(all_lmics181920[[worldbank_region]:[worldbank_region]],Table14[],6,FALSE)*1.05</f>
        <v>35.927343900000004</v>
      </c>
      <c r="AV43">
        <f>MIN(IFERROR(VLOOKUP(all_lmics181920[[Setting]:[Setting]],nFacSBA[],4,FALSE),VLOOKUP(all_lmics181920[[who_choice_region]:[who_choice_region]],missing[],30,FALSE))*1.05, 0.9999)</f>
        <v>0.4158542635658915</v>
      </c>
      <c r="AW43">
        <f>VLOOKUP(all_lmics181920[[worldbank_region]:[worldbank_region]],hbe[],4)</f>
        <v>0.5</v>
      </c>
      <c r="AX43">
        <f>VLOOKUP(all_lmics181920[[worldbank_region]:[worldbank_region]],hbe[],7)</f>
        <v>1</v>
      </c>
      <c r="AY43">
        <f>VLOOKUP(all_lmics181920[[worldbank_region]:[worldbank_region]],hbe[],10)</f>
        <v>0.25</v>
      </c>
    </row>
    <row r="44" spans="1:51" x14ac:dyDescent="0.35">
      <c r="A44" s="8" t="s">
        <v>137</v>
      </c>
      <c r="B44" s="10" t="s">
        <v>57</v>
      </c>
      <c r="C44" s="11" t="s">
        <v>58</v>
      </c>
      <c r="D44">
        <f>VLOOKUP(all_lmics181920[[Setting]:[Setting]],populations[],9,FALSE)</f>
        <v>53127</v>
      </c>
      <c r="E44">
        <f>VLOOKUP(all_lmics181920[[Setting]:[Setting]],birthrate[],3,FALSE)</f>
        <v>2.4399999999999998E-2</v>
      </c>
      <c r="F44">
        <f>all_lmics181920[[#This Row],[2017_population]]*all_lmics181920[[#This Row],[2016_birthrate]]</f>
        <v>1296.2987999999998</v>
      </c>
      <c r="G44">
        <f>MIN(VLOOKUP(all_lmics181920[[Setting]:[Setting]],birthdose[],4,FALSE)*1.05,0.9999)</f>
        <v>0.99990000000000001</v>
      </c>
      <c r="H44">
        <f>MIN(VLOOKUP(all_lmics181920[[Setting]:[Setting]],fullvax[],4,FALSE)*1.05,0.9999)</f>
        <v>0.86099999999999999</v>
      </c>
      <c r="I44">
        <f>IFERROR(VLOOKUP(all_lmics181920[[Setting]:[Setting]],prev[],3,FALSE),VLOOKUP(all_lmics181920[[who_choice_region]:[who_choice_region]],missing[],2,FALSE))</f>
        <v>7.8E-2</v>
      </c>
      <c r="J44">
        <f>IFERROR(VLOOKUP(all_lmics181920[[Setting]:[Setting]],prev[],4,FALSE),VLOOKUP(all_lmics181920[[who_choice_region]:[who_choice_region]],missing[],3,FALSE))</f>
        <v>6.1400000000000003E-2</v>
      </c>
      <c r="K44">
        <f>IFERROR(VLOOKUP(all_lmics181920[[Setting]:[Setting]],prev[],5,FALSE),VLOOKUP(all_lmics181920[[who_choice_region]:[who_choice_region]],missing[],4,FALSE))</f>
        <v>9.8599999999999993E-2</v>
      </c>
      <c r="L44">
        <f>IFERROR(VLOOKUP(all_lmics181920[[Setting]:[Setting]],prev[],7,FALSE),VLOOKUP(all_lmics181920[[who_choice_region]:[who_choice_region]],missing[],5,FALSE))</f>
        <v>1.0510204081632649E-2</v>
      </c>
      <c r="M44">
        <f>IFERROR(VLOOKUP(all_lmics181920[[Setting]:[Setting]],prev[],6,FALSE),0)</f>
        <v>52425</v>
      </c>
      <c r="N44">
        <f>MIN(IFERROR(VLOOKUP(all_lmics181920[[Setting]:[Setting]],SBA[],4,FALSE),VLOOKUP(all_lmics181920[[who_choice_region]:[who_choice_region]],missing[],6,FALSE))*1.05, 0.9999)</f>
        <v>0.94604999999999995</v>
      </c>
      <c r="O44">
        <f>MIN(IFERROR(VLOOKUP(all_lmics181920[[Setting]:[Setting]], facility[], 3,FALSE),VLOOKUP(all_lmics181920[[who_choice_region]:[who_choice_region]],missing[],7,FALSE))*1.05, 0.9999)</f>
        <v>0.89355000000000007</v>
      </c>
      <c r="P44">
        <f>IF(VLOOKUP(all_lmics181920[[Setting]:[Setting]],all_cause_mort[],4,FALSE)="",VLOOKUP(all_lmics181920[[who_choice_region]:[who_choice_region]],missing[],8,FALSE),VLOOKUP(all_lmics181920[[Setting]:[Setting]],all_cause_mort[],4,FALSE))*1.05</f>
        <v>1.2780109291645556E-2</v>
      </c>
      <c r="Q44">
        <f>IF(VLOOKUP(all_lmics181920[[Setting]:[Setting]],all_cause_mort[],5,FALSE)="",VLOOKUP(all_lmics181920[[who_choice_region]:[who_choice_region]],missing[],9,FALSE),VLOOKUP(all_lmics181920[[Setting]:[Setting]],all_cause_mort[],5,FALSE))*1.05</f>
        <v>7.1786871319156546E-4</v>
      </c>
      <c r="R44">
        <f>IF(VLOOKUP(all_lmics181920[[Setting]:[Setting]],all_cause_mort[],6,FALSE)="",VLOOKUP(all_lmics181920[[who_choice_region]:[who_choice_region]],missing[],10,FALSE),VLOOKUP(all_lmics181920[[Setting]:[Setting]],all_cause_mort[],6,FALSE))*1.05</f>
        <v>4.0767642011616217E-4</v>
      </c>
      <c r="S44">
        <f>IF(VLOOKUP(all_lmics181920[[Setting]:[Setting]],all_cause_mort[],7,FALSE)="",VLOOKUP(all_lmics181920[[who_choice_region]:[who_choice_region]],missing[],11,FALSE),VLOOKUP(all_lmics181920[[Setting]:[Setting]],all_cause_mort[],7,FALSE))*1.05</f>
        <v>3.2205796455142674E-4</v>
      </c>
      <c r="T44">
        <f>IF(VLOOKUP(all_lmics181920[[Setting]:[Setting]],all_cause_mort[],8,FALSE)="",VLOOKUP(all_lmics181920[[who_choice_region]:[who_choice_region]],missing[],12,FALSE),VLOOKUP(all_lmics181920[[Setting]:[Setting]],all_cause_mort[],8,FALSE))*1.05</f>
        <v>5.1717609361841266E-4</v>
      </c>
      <c r="U44">
        <f>IF(VLOOKUP(all_lmics181920[[Setting]:[Setting]],all_cause_mort[],9,FALSE)="",VLOOKUP(all_lmics181920[[who_choice_region]:[who_choice_region]],missing[],13,FALSE),VLOOKUP(all_lmics181920[[Setting]:[Setting]],all_cause_mort[],9,FALSE))*1.05</f>
        <v>7.2047008642704062E-4</v>
      </c>
      <c r="V44">
        <f>IF(VLOOKUP(all_lmics181920[[Setting]:[Setting]],all_cause_mort[],10,FALSE)="",VLOOKUP(all_lmics181920[[who_choice_region]:[who_choice_region]],missing[],14,FALSE),VLOOKUP(all_lmics181920[[Setting]:[Setting]],all_cause_mort[],10,FALSE))*1.05</f>
        <v>8.9773041914274104E-4</v>
      </c>
      <c r="W44">
        <f>IF(VLOOKUP(all_lmics181920[[Setting]:[Setting]],all_cause_mort[],11,FALSE)="",VLOOKUP(all_lmics181920[[who_choice_region]:[who_choice_region]],missing[],15,FALSE),VLOOKUP(all_lmics181920[[Setting]:[Setting]],all_cause_mort[],11,FALSE))*1.05</f>
        <v>1.117932677212313E-3</v>
      </c>
      <c r="X44">
        <f>IF(VLOOKUP(all_lmics181920[[Setting]:[Setting]],all_cause_mort[],12,FALSE)="",VLOOKUP(all_lmics181920[[who_choice_region]:[who_choice_region]],missing[],16,FALSE),VLOOKUP(all_lmics181920[[Setting]:[Setting]],all_cause_mort[],12,FALSE))*1.05</f>
        <v>1.4391494293269772E-3</v>
      </c>
      <c r="Y44">
        <f>IF(VLOOKUP(all_lmics181920[[Setting]:[Setting]],all_cause_mort[],13,FALSE)="",VLOOKUP(all_lmics181920[[who_choice_region]:[who_choice_region]],missing[],17,FALSE),VLOOKUP(all_lmics181920[[Setting]:[Setting]],all_cause_mort[],13,FALSE))*1.05</f>
        <v>2.030563961456885E-3</v>
      </c>
      <c r="Z44">
        <f>IF(VLOOKUP(all_lmics181920[[Setting]:[Setting]],all_cause_mort[],14,FALSE)="",VLOOKUP(all_lmics181920[[who_choice_region]:[who_choice_region]],missing[],18,FALSE),VLOOKUP(all_lmics181920[[Setting]:[Setting]],all_cause_mort[],14,FALSE))*1.05</f>
        <v>2.98716710615395E-3</v>
      </c>
      <c r="AA44">
        <f>IF(VLOOKUP(all_lmics181920[[Setting]:[Setting]],all_cause_mort[],15,FALSE)="",VLOOKUP(all_lmics181920[[who_choice_region]:[who_choice_region]],missing[],19,FALSE),VLOOKUP(all_lmics181920[[Setting]:[Setting]],all_cause_mort[],15,FALSE))*1.05</f>
        <v>4.7667121398962051E-3</v>
      </c>
      <c r="AB44">
        <f>IF(VLOOKUP(all_lmics181920[[Setting]:[Setting]],all_cause_mort[],16,FALSE)="",VLOOKUP(all_lmics181920[[who_choice_region]:[who_choice_region]],missing[],20,FALSE),VLOOKUP(all_lmics181920[[Setting]:[Setting]],all_cause_mort[],16,FALSE))*1.05</f>
        <v>7.6571256051219394E-3</v>
      </c>
      <c r="AC44">
        <f>IF(VLOOKUP(all_lmics181920[[Setting]:[Setting]],all_cause_mort[],17,FALSE)="",VLOOKUP(all_lmics181920[[who_choice_region]:[who_choice_region]],missing[],21,FALSE),VLOOKUP(all_lmics181920[[Setting]:[Setting]],all_cause_mort[],17,FALSE))*1.05</f>
        <v>1.3051511733110725E-2</v>
      </c>
      <c r="AD44">
        <f>IF(VLOOKUP(all_lmics181920[[Setting]:[Setting]],all_cause_mort[],18,FALSE)="",VLOOKUP(all_lmics181920[[who_choice_region]:[who_choice_region]],missing[],22,FALSE),VLOOKUP(all_lmics181920[[Setting]:[Setting]],all_cause_mort[],18,FALSE))*1.05</f>
        <v>2.2286484744731251E-2</v>
      </c>
      <c r="AE44">
        <f>IF(VLOOKUP(all_lmics181920[[Setting]:[Setting]],all_cause_mort[],19,FALSE)="",VLOOKUP(all_lmics181920[[who_choice_region]:[who_choice_region]],missing[],23,FALSE),VLOOKUP(all_lmics181920[[Setting]:[Setting]],all_cause_mort[],19,FALSE))*1.05</f>
        <v>3.8955943544534181E-2</v>
      </c>
      <c r="AF44">
        <f>IF(VLOOKUP(all_lmics181920[[Setting]:[Setting]],all_cause_mort[],20,FALSE)="",VLOOKUP(all_lmics181920[[who_choice_region]:[who_choice_region]],missing[],24,FALSE),VLOOKUP(all_lmics181920[[Setting]:[Setting]],all_cause_mort[],20,FALSE))*1.05</f>
        <v>6.4581156102482717E-2</v>
      </c>
      <c r="AG44">
        <f>IF(VLOOKUP(all_lmics181920[[Setting]:[Setting]],all_cause_mort[],21,FALSE)="",VLOOKUP(all_lmics181920[[who_choice_region]:[who_choice_region]],missing[],25,FALSE),VLOOKUP(all_lmics181920[[Setting]:[Setting]],all_cause_mort[],21,FALSE))*1.05</f>
        <v>9.9613858280717379E-2</v>
      </c>
      <c r="AH44">
        <f>IF(VLOOKUP(all_lmics181920[[Setting]:[Setting]],all_cause_mort[],22,FALSE)="",VLOOKUP(all_lmics181920[[who_choice_region]:[who_choice_region]],missing[],26,FALSE),VLOOKUP(all_lmics181920[[Setting]:[Setting]],all_cause_mort[],22,FALSE))*1.05</f>
        <v>0.15428315676659168</v>
      </c>
      <c r="AI44">
        <f>IF(VLOOKUP(all_lmics181920[[Setting]:[Setting]],all_cause_mort[],23,FALSE)="",VLOOKUP(all_lmics181920[[who_choice_region]:[who_choice_region]],missing[],27,FALSE),VLOOKUP(all_lmics181920[[Setting]:[Setting]],all_cause_mort[],23,FALSE))*1.05</f>
        <v>0.22106963264277682</v>
      </c>
      <c r="AJ44">
        <f>IF(VLOOKUP(all_lmics181920[[Setting]:[Setting]],all_cause_mort[],24,FALSE)="",VLOOKUP(all_lmics181920[[who_choice_region]:[who_choice_region]],missing[],28,FALSE),VLOOKUP(all_lmics181920[[Setting]:[Setting]],all_cause_mort[],24,FALSE))*1.05</f>
        <v>0.30198726062109904</v>
      </c>
      <c r="AK44">
        <f>IF(VLOOKUP(all_lmics181920[[Setting]:[Setting]],all_cause_mort[],25,FALSE)="",VLOOKUP(all_lmics181920[[who_choice_region]:[who_choice_region]],missing[],29,FALSE),VLOOKUP(all_lmics181920[[Setting]:[Setting]],all_cause_mort[],25,FALSE))*1.05</f>
        <v>0.38020281187174959</v>
      </c>
      <c r="AL44">
        <f>VLOOKUP(all_lmics181920[[worldbank_region]:[worldbank_region]],Table13[],2,FALSE)*1.05</f>
        <v>76.717604249999994</v>
      </c>
      <c r="AM44">
        <f>VLOOKUP(all_lmics181920[[worldbank_region]:[worldbank_region]],Table13[],3,FALSE)*1.05</f>
        <v>76.717604249999994</v>
      </c>
      <c r="AN44">
        <f>VLOOKUP(all_lmics181920[[worldbank_region]:[worldbank_region]],Table13[],4,FALSE)*1.05</f>
        <v>126.83290724999999</v>
      </c>
      <c r="AO44">
        <f>VLOOKUP(all_lmics181920[[worldbank_region]:[worldbank_region]],Table13[],5,FALSE)*1.05</f>
        <v>126.83290724999999</v>
      </c>
      <c r="AP44">
        <f>VLOOKUP(all_lmics181920[[worldbank_region]:[worldbank_region]],Table13[],6,FALSE)*1.05</f>
        <v>126.83290724999999</v>
      </c>
      <c r="AQ44">
        <f>VLOOKUP(all_lmics181920[[worldbank_region]:[worldbank_region]],Table14[],2,FALSE)*1.05</f>
        <v>1.4073045</v>
      </c>
      <c r="AR44">
        <f>VLOOKUP(all_lmics181920[[worldbank_region]:[worldbank_region]],Table14[],3,FALSE)*1.05</f>
        <v>2.0556795000000001</v>
      </c>
      <c r="AS44">
        <f>VLOOKUP(all_lmics181920[[worldbank_region]:[worldbank_region]],Table14[],4,FALSE)*1.05</f>
        <v>2.0709317999999999</v>
      </c>
      <c r="AT44">
        <f>VLOOKUP(all_lmics181920[[worldbank_region]:[worldbank_region]],Table14[],5,FALSE)*1.05</f>
        <v>2.7193068</v>
      </c>
      <c r="AU44">
        <f>VLOOKUP(all_lmics181920[[worldbank_region]:[worldbank_region]],Table14[],6,FALSE)*1.05</f>
        <v>3.3180714</v>
      </c>
      <c r="AV44">
        <f>MIN(IFERROR(VLOOKUP(all_lmics181920[[Setting]:[Setting]],nFacSBA[],4,FALSE),VLOOKUP(all_lmics181920[[who_choice_region]:[who_choice_region]],missing[],30,FALSE))*1.05, 0.9999)</f>
        <v>0.16784953724039575</v>
      </c>
      <c r="AW44">
        <f>VLOOKUP(all_lmics181920[[worldbank_region]:[worldbank_region]],hbe[],4)</f>
        <v>0.5</v>
      </c>
      <c r="AX44">
        <f>VLOOKUP(all_lmics181920[[worldbank_region]:[worldbank_region]],hbe[],7)</f>
        <v>1</v>
      </c>
      <c r="AY44">
        <f>VLOOKUP(all_lmics181920[[worldbank_region]:[worldbank_region]],hbe[],10)</f>
        <v>0.25</v>
      </c>
    </row>
    <row r="45" spans="1:51" x14ac:dyDescent="0.35">
      <c r="A45" s="12" t="s">
        <v>138</v>
      </c>
      <c r="B45" s="13" t="s">
        <v>14</v>
      </c>
      <c r="C45" s="14" t="s">
        <v>15</v>
      </c>
      <c r="D45">
        <f>VLOOKUP(all_lmics181920[[Setting]:[Setting]],populations[],9,FALSE)</f>
        <v>4420184</v>
      </c>
      <c r="E45">
        <f>VLOOKUP(all_lmics181920[[Setting]:[Setting]],birthrate[],3,FALSE)</f>
        <v>3.4154999999999998E-2</v>
      </c>
      <c r="F45">
        <f>all_lmics181920[[#This Row],[2017_population]]*all_lmics181920[[#This Row],[2016_birthrate]]</f>
        <v>150971.38451999999</v>
      </c>
      <c r="G45">
        <f>MIN(VLOOKUP(all_lmics181920[[Setting]:[Setting]],birthdose[],4,FALSE)*1.05,0.9999)</f>
        <v>0.60899999999999999</v>
      </c>
      <c r="H45">
        <f>MIN(VLOOKUP(all_lmics181920[[Setting]:[Setting]],fullvax[],4,FALSE)*1.05,0.9999)</f>
        <v>0.85050000000000014</v>
      </c>
      <c r="I45">
        <f>IFERROR(VLOOKUP(all_lmics181920[[Setting]:[Setting]],prev[],3,FALSE),VLOOKUP(all_lmics181920[[who_choice_region]:[who_choice_region]],missing[],2,FALSE))</f>
        <v>9.2999999999999999E-2</v>
      </c>
      <c r="J45">
        <f>IFERROR(VLOOKUP(all_lmics181920[[Setting]:[Setting]],prev[],4,FALSE),VLOOKUP(all_lmics181920[[who_choice_region]:[who_choice_region]],missing[],3,FALSE))</f>
        <v>8.6999999999999994E-2</v>
      </c>
      <c r="K45">
        <f>IFERROR(VLOOKUP(all_lmics181920[[Setting]:[Setting]],prev[],5,FALSE),VLOOKUP(all_lmics181920[[who_choice_region]:[who_choice_region]],missing[],4,FALSE))</f>
        <v>0.10199999999999999</v>
      </c>
      <c r="L45">
        <f>IFERROR(VLOOKUP(all_lmics181920[[Setting]:[Setting]],prev[],7,FALSE),VLOOKUP(all_lmics181920[[who_choice_region]:[who_choice_region]],missing[],5,FALSE))</f>
        <v>4.5918367346938745E-3</v>
      </c>
      <c r="M45">
        <f>IFERROR(VLOOKUP(all_lmics181920[[Setting]:[Setting]],prev[],6,FALSE),0)</f>
        <v>4420184</v>
      </c>
      <c r="N45">
        <f>MIN(IFERROR(VLOOKUP(all_lmics181920[[Setting]:[Setting]],SBA[],4,FALSE),VLOOKUP(all_lmics181920[[who_choice_region]:[who_choice_region]],missing[],6,FALSE))*1.05, 0.9999)</f>
        <v>0.72765000000000002</v>
      </c>
      <c r="O45">
        <f>MIN(IFERROR(VLOOKUP(all_lmics181920[[Setting]:[Setting]], facility[], 3,FALSE),VLOOKUP(all_lmics181920[[who_choice_region]:[who_choice_region]],missing[],7,FALSE))*1.05, 0.9999)</f>
        <v>0.72765000000000002</v>
      </c>
      <c r="P45">
        <f>IF(VLOOKUP(all_lmics181920[[Setting]:[Setting]],all_cause_mort[],4,FALSE)="",VLOOKUP(all_lmics181920[[who_choice_region]:[who_choice_region]],missing[],8,FALSE),VLOOKUP(all_lmics181920[[Setting]:[Setting]],all_cause_mort[],4,FALSE))*1.05</f>
        <v>5.8633858500000004E-2</v>
      </c>
      <c r="Q45">
        <f>IF(VLOOKUP(all_lmics181920[[Setting]:[Setting]],all_cause_mort[],5,FALSE)="",VLOOKUP(all_lmics181920[[who_choice_region]:[who_choice_region]],missing[],9,FALSE),VLOOKUP(all_lmics181920[[Setting]:[Setting]],all_cause_mort[],5,FALSE))*1.05</f>
        <v>7.1626417800000003E-3</v>
      </c>
      <c r="R45">
        <f>IF(VLOOKUP(all_lmics181920[[Setting]:[Setting]],all_cause_mort[],6,FALSE)="",VLOOKUP(all_lmics181920[[who_choice_region]:[who_choice_region]],missing[],10,FALSE),VLOOKUP(all_lmics181920[[Setting]:[Setting]],all_cause_mort[],6,FALSE))*1.05</f>
        <v>1.1426214449999999E-3</v>
      </c>
      <c r="S45">
        <f>IF(VLOOKUP(all_lmics181920[[Setting]:[Setting]],all_cause_mort[],7,FALSE)="",VLOOKUP(all_lmics181920[[who_choice_region]:[who_choice_region]],missing[],11,FALSE),VLOOKUP(all_lmics181920[[Setting]:[Setting]],all_cause_mort[],7,FALSE))*1.05</f>
        <v>9.0101575200000005E-4</v>
      </c>
      <c r="T45">
        <f>IF(VLOOKUP(all_lmics181920[[Setting]:[Setting]],all_cause_mort[],8,FALSE)="",VLOOKUP(all_lmics181920[[who_choice_region]:[who_choice_region]],missing[],12,FALSE),VLOOKUP(all_lmics181920[[Setting]:[Setting]],all_cause_mort[],8,FALSE))*1.05</f>
        <v>1.48569792E-3</v>
      </c>
      <c r="U45">
        <f>IF(VLOOKUP(all_lmics181920[[Setting]:[Setting]],all_cause_mort[],9,FALSE)="",VLOOKUP(all_lmics181920[[who_choice_region]:[who_choice_region]],missing[],13,FALSE),VLOOKUP(all_lmics181920[[Setting]:[Setting]],all_cause_mort[],9,FALSE))*1.05</f>
        <v>2.083078515E-3</v>
      </c>
      <c r="V45">
        <f>IF(VLOOKUP(all_lmics181920[[Setting]:[Setting]],all_cause_mort[],10,FALSE)="",VLOOKUP(all_lmics181920[[who_choice_region]:[who_choice_region]],missing[],14,FALSE),VLOOKUP(all_lmics181920[[Setting]:[Setting]],all_cause_mort[],10,FALSE))*1.05</f>
        <v>2.2614585000000002E-3</v>
      </c>
      <c r="W45">
        <f>IF(VLOOKUP(all_lmics181920[[Setting]:[Setting]],all_cause_mort[],11,FALSE)="",VLOOKUP(all_lmics181920[[who_choice_region]:[who_choice_region]],missing[],15,FALSE),VLOOKUP(all_lmics181920[[Setting]:[Setting]],all_cause_mort[],11,FALSE))*1.05</f>
        <v>2.5967182499999999E-3</v>
      </c>
      <c r="X45">
        <f>IF(VLOOKUP(all_lmics181920[[Setting]:[Setting]],all_cause_mort[],12,FALSE)="",VLOOKUP(all_lmics181920[[who_choice_region]:[who_choice_region]],missing[],16,FALSE),VLOOKUP(all_lmics181920[[Setting]:[Setting]],all_cause_mort[],12,FALSE))*1.05</f>
        <v>3.2692225650000004E-3</v>
      </c>
      <c r="Y45">
        <f>IF(VLOOKUP(all_lmics181920[[Setting]:[Setting]],all_cause_mort[],13,FALSE)="",VLOOKUP(all_lmics181920[[who_choice_region]:[who_choice_region]],missing[],17,FALSE),VLOOKUP(all_lmics181920[[Setting]:[Setting]],all_cause_mort[],13,FALSE))*1.05</f>
        <v>4.4214085649999998E-3</v>
      </c>
      <c r="Z45">
        <f>IF(VLOOKUP(all_lmics181920[[Setting]:[Setting]],all_cause_mort[],14,FALSE)="",VLOOKUP(all_lmics181920[[who_choice_region]:[who_choice_region]],missing[],18,FALSE),VLOOKUP(all_lmics181920[[Setting]:[Setting]],all_cause_mort[],14,FALSE))*1.05</f>
        <v>6.3969015600000003E-3</v>
      </c>
      <c r="AA45">
        <f>IF(VLOOKUP(all_lmics181920[[Setting]:[Setting]],all_cause_mort[],15,FALSE)="",VLOOKUP(all_lmics181920[[who_choice_region]:[who_choice_region]],missing[],19,FALSE),VLOOKUP(all_lmics181920[[Setting]:[Setting]],all_cause_mort[],15,FALSE))*1.05</f>
        <v>9.5308298400000012E-3</v>
      </c>
      <c r="AB45">
        <f>IF(VLOOKUP(all_lmics181920[[Setting]:[Setting]],all_cause_mort[],16,FALSE)="",VLOOKUP(all_lmics181920[[who_choice_region]:[who_choice_region]],missing[],20,FALSE),VLOOKUP(all_lmics181920[[Setting]:[Setting]],all_cause_mort[],16,FALSE))*1.05</f>
        <v>1.4428561350000001E-2</v>
      </c>
      <c r="AC45">
        <f>IF(VLOOKUP(all_lmics181920[[Setting]:[Setting]],all_cause_mort[],17,FALSE)="",VLOOKUP(all_lmics181920[[who_choice_region]:[who_choice_region]],missing[],21,FALSE),VLOOKUP(all_lmics181920[[Setting]:[Setting]],all_cause_mort[],17,FALSE))*1.05</f>
        <v>2.234191365E-2</v>
      </c>
      <c r="AD45">
        <f>IF(VLOOKUP(all_lmics181920[[Setting]:[Setting]],all_cause_mort[],18,FALSE)="",VLOOKUP(all_lmics181920[[who_choice_region]:[who_choice_region]],missing[],22,FALSE),VLOOKUP(all_lmics181920[[Setting]:[Setting]],all_cause_mort[],18,FALSE))*1.05</f>
        <v>3.5069045549999997E-2</v>
      </c>
      <c r="AE45">
        <f>IF(VLOOKUP(all_lmics181920[[Setting]:[Setting]],all_cause_mort[],19,FALSE)="",VLOOKUP(all_lmics181920[[who_choice_region]:[who_choice_region]],missing[],23,FALSE),VLOOKUP(all_lmics181920[[Setting]:[Setting]],all_cause_mort[],19,FALSE))*1.05</f>
        <v>5.6442853950000003E-2</v>
      </c>
      <c r="AF45">
        <f>IF(VLOOKUP(all_lmics181920[[Setting]:[Setting]],all_cause_mort[],20,FALSE)="",VLOOKUP(all_lmics181920[[who_choice_region]:[who_choice_region]],missing[],24,FALSE),VLOOKUP(all_lmics181920[[Setting]:[Setting]],all_cause_mort[],20,FALSE))*1.05</f>
        <v>9.130231635000001E-2</v>
      </c>
      <c r="AG45">
        <f>IF(VLOOKUP(all_lmics181920[[Setting]:[Setting]],all_cause_mort[],21,FALSE)="",VLOOKUP(all_lmics181920[[who_choice_region]:[who_choice_region]],missing[],25,FALSE),VLOOKUP(all_lmics181920[[Setting]:[Setting]],all_cause_mort[],21,FALSE))*1.05</f>
        <v>0.147632709</v>
      </c>
      <c r="AH45">
        <f>IF(VLOOKUP(all_lmics181920[[Setting]:[Setting]],all_cause_mort[],22,FALSE)="",VLOOKUP(all_lmics181920[[who_choice_region]:[who_choice_region]],missing[],26,FALSE),VLOOKUP(all_lmics181920[[Setting]:[Setting]],all_cause_mort[],22,FALSE))*1.05</f>
        <v>0.22976956800000001</v>
      </c>
      <c r="AI45">
        <f>IF(VLOOKUP(all_lmics181920[[Setting]:[Setting]],all_cause_mort[],23,FALSE)="",VLOOKUP(all_lmics181920[[who_choice_region]:[who_choice_region]],missing[],27,FALSE),VLOOKUP(all_lmics181920[[Setting]:[Setting]],all_cause_mort[],23,FALSE))*1.05</f>
        <v>0.33581658600000003</v>
      </c>
      <c r="AJ45">
        <f>IF(VLOOKUP(all_lmics181920[[Setting]:[Setting]],all_cause_mort[],24,FALSE)="",VLOOKUP(all_lmics181920[[who_choice_region]:[who_choice_region]],missing[],28,FALSE),VLOOKUP(all_lmics181920[[Setting]:[Setting]],all_cause_mort[],24,FALSE))*1.05</f>
        <v>0.45591694050000003</v>
      </c>
      <c r="AK45">
        <f>IF(VLOOKUP(all_lmics181920[[Setting]:[Setting]],all_cause_mort[],25,FALSE)="",VLOOKUP(all_lmics181920[[who_choice_region]:[who_choice_region]],missing[],29,FALSE),VLOOKUP(all_lmics181920[[Setting]:[Setting]],all_cause_mort[],25,FALSE))*1.05</f>
        <v>0.60447014306081237</v>
      </c>
      <c r="AL45">
        <f>VLOOKUP(all_lmics181920[[worldbank_region]:[worldbank_region]],Table13[],2,FALSE)*1.05</f>
        <v>31.40787825</v>
      </c>
      <c r="AM45">
        <f>VLOOKUP(all_lmics181920[[worldbank_region]:[worldbank_region]],Table13[],3,FALSE)*1.05</f>
        <v>31.40787825</v>
      </c>
      <c r="AN45">
        <f>VLOOKUP(all_lmics181920[[worldbank_region]:[worldbank_region]],Table13[],4,FALSE)*1.05</f>
        <v>81.523181249999993</v>
      </c>
      <c r="AO45">
        <f>VLOOKUP(all_lmics181920[[worldbank_region]:[worldbank_region]],Table13[],5,FALSE)*1.05</f>
        <v>81.523181249999993</v>
      </c>
      <c r="AP45">
        <f>VLOOKUP(all_lmics181920[[worldbank_region]:[worldbank_region]],Table13[],6,FALSE)*1.05</f>
        <v>81.523181249999993</v>
      </c>
      <c r="AQ45">
        <f>VLOOKUP(all_lmics181920[[worldbank_region]:[worldbank_region]],Table14[],2,FALSE)*1.05</f>
        <v>1.0182816000000001</v>
      </c>
      <c r="AR45">
        <f>VLOOKUP(all_lmics181920[[worldbank_region]:[worldbank_region]],Table14[],3,FALSE)*1.05</f>
        <v>1.6666566000000003</v>
      </c>
      <c r="AS45">
        <f>VLOOKUP(all_lmics181920[[worldbank_region]:[worldbank_region]],Table14[],4,FALSE)*1.05</f>
        <v>6.08702115</v>
      </c>
      <c r="AT45">
        <f>VLOOKUP(all_lmics181920[[worldbank_region]:[worldbank_region]],Table14[],5,FALSE)*1.05</f>
        <v>6.7353961499999997</v>
      </c>
      <c r="AU45">
        <f>VLOOKUP(all_lmics181920[[worldbank_region]:[worldbank_region]],Table14[],6,FALSE)*1.05</f>
        <v>7.3341607499999997</v>
      </c>
      <c r="AV45">
        <f>MIN(IFERROR(VLOOKUP(all_lmics181920[[Setting]:[Setting]],nFacSBA[],4,FALSE),VLOOKUP(all_lmics181920[[who_choice_region]:[who_choice_region]],missing[],30,FALSE))*1.05, 0.9999)</f>
        <v>7.2641181126647275E-2</v>
      </c>
      <c r="AW45">
        <f>VLOOKUP(all_lmics181920[[worldbank_region]:[worldbank_region]],hbe[],4)</f>
        <v>0.5</v>
      </c>
      <c r="AX45">
        <f>VLOOKUP(all_lmics181920[[worldbank_region]:[worldbank_region]],hbe[],7)</f>
        <v>1</v>
      </c>
      <c r="AY45">
        <f>VLOOKUP(all_lmics181920[[worldbank_region]:[worldbank_region]],hbe[],10)</f>
        <v>0.25</v>
      </c>
    </row>
    <row r="46" spans="1:51" x14ac:dyDescent="0.35">
      <c r="A46" s="12" t="s">
        <v>140</v>
      </c>
      <c r="B46" s="13" t="s">
        <v>22</v>
      </c>
      <c r="C46" s="14" t="s">
        <v>383</v>
      </c>
      <c r="D46">
        <f>VLOOKUP(all_lmics181920[[Setting]:[Setting]],populations[],9,FALSE)</f>
        <v>129163276</v>
      </c>
      <c r="E46">
        <f>VLOOKUP(all_lmics181920[[Setting]:[Setting]],birthrate[],3,FALSE)</f>
        <v>1.8172999999999998E-2</v>
      </c>
      <c r="F46">
        <f>all_lmics181920[[#This Row],[2017_population]]*all_lmics181920[[#This Row],[2016_birthrate]]</f>
        <v>2347284.2147479998</v>
      </c>
      <c r="G46">
        <f>MIN(VLOOKUP(all_lmics181920[[Setting]:[Setting]],birthdose[],4,FALSE)*1.05,0.9999)</f>
        <v>0.99990000000000001</v>
      </c>
      <c r="H46">
        <f>MIN(VLOOKUP(all_lmics181920[[Setting]:[Setting]],fullvax[],4,FALSE)*1.05,0.9999)</f>
        <v>0.97650000000000015</v>
      </c>
      <c r="I46">
        <f>IFERROR(VLOOKUP(all_lmics181920[[Setting]:[Setting]],prev[],3,FALSE),VLOOKUP(all_lmics181920[[who_choice_region]:[who_choice_region]],missing[],2,FALSE))</f>
        <v>1E-3</v>
      </c>
      <c r="J46">
        <f>IFERROR(VLOOKUP(all_lmics181920[[Setting]:[Setting]],prev[],4,FALSE),VLOOKUP(all_lmics181920[[who_choice_region]:[who_choice_region]],missing[],3,FALSE))</f>
        <v>1E-3</v>
      </c>
      <c r="K46">
        <f>IFERROR(VLOOKUP(all_lmics181920[[Setting]:[Setting]],prev[],5,FALSE),VLOOKUP(all_lmics181920[[who_choice_region]:[who_choice_region]],missing[],4,FALSE))</f>
        <v>2E-3</v>
      </c>
      <c r="L46">
        <f>IFERROR(VLOOKUP(all_lmics181920[[Setting]:[Setting]],prev[],7,FALSE),VLOOKUP(all_lmics181920[[who_choice_region]:[who_choice_region]],missing[],5,FALSE))</f>
        <v>5.1020408163265311E-4</v>
      </c>
      <c r="M46">
        <f>IFERROR(VLOOKUP(all_lmics181920[[Setting]:[Setting]],prev[],6,FALSE),0)</f>
        <v>129163276</v>
      </c>
      <c r="N46">
        <f>MIN(IFERROR(VLOOKUP(all_lmics181920[[Setting]:[Setting]],SBA[],4,FALSE),VLOOKUP(all_lmics181920[[who_choice_region]:[who_choice_region]],missing[],6,FALSE))*1.05, 0.9999)</f>
        <v>0.99990000000000001</v>
      </c>
      <c r="O46">
        <f>MIN(IFERROR(VLOOKUP(all_lmics181920[[Setting]:[Setting]], facility[], 3,FALSE),VLOOKUP(all_lmics181920[[who_choice_region]:[who_choice_region]],missing[],7,FALSE))*1.05, 0.9999)</f>
        <v>0.99990000000000001</v>
      </c>
      <c r="P46">
        <f>IF(VLOOKUP(all_lmics181920[[Setting]:[Setting]],all_cause_mort[],4,FALSE)="",VLOOKUP(all_lmics181920[[who_choice_region]:[who_choice_region]],missing[],8,FALSE),VLOOKUP(all_lmics181920[[Setting]:[Setting]],all_cause_mort[],4,FALSE))*1.05</f>
        <v>1.4359097550000002E-2</v>
      </c>
      <c r="Q46">
        <f>IF(VLOOKUP(all_lmics181920[[Setting]:[Setting]],all_cause_mort[],5,FALSE)="",VLOOKUP(all_lmics181920[[who_choice_region]:[who_choice_region]],missing[],9,FALSE),VLOOKUP(all_lmics181920[[Setting]:[Setting]],all_cause_mort[],5,FALSE))*1.05</f>
        <v>5.4722594850000004E-4</v>
      </c>
      <c r="R46">
        <f>IF(VLOOKUP(all_lmics181920[[Setting]:[Setting]],all_cause_mort[],6,FALSE)="",VLOOKUP(all_lmics181920[[who_choice_region]:[who_choice_region]],missing[],10,FALSE),VLOOKUP(all_lmics181920[[Setting]:[Setting]],all_cause_mort[],6,FALSE))*1.05</f>
        <v>2.6805102450000001E-4</v>
      </c>
      <c r="S46">
        <f>IF(VLOOKUP(all_lmics181920[[Setting]:[Setting]],all_cause_mort[],7,FALSE)="",VLOOKUP(all_lmics181920[[who_choice_region]:[who_choice_region]],missing[],11,FALSE),VLOOKUP(all_lmics181920[[Setting]:[Setting]],all_cause_mort[],7,FALSE))*1.05</f>
        <v>3.8081722350000001E-4</v>
      </c>
      <c r="T46">
        <f>IF(VLOOKUP(all_lmics181920[[Setting]:[Setting]],all_cause_mort[],8,FALSE)="",VLOOKUP(all_lmics181920[[who_choice_region]:[who_choice_region]],missing[],12,FALSE),VLOOKUP(all_lmics181920[[Setting]:[Setting]],all_cause_mort[],8,FALSE))*1.05</f>
        <v>8.0626518000000006E-4</v>
      </c>
      <c r="U46">
        <f>IF(VLOOKUP(all_lmics181920[[Setting]:[Setting]],all_cause_mort[],9,FALSE)="",VLOOKUP(all_lmics181920[[who_choice_region]:[who_choice_region]],missing[],13,FALSE),VLOOKUP(all_lmics181920[[Setting]:[Setting]],all_cause_mort[],9,FALSE))*1.05</f>
        <v>1.314519885E-3</v>
      </c>
      <c r="V46">
        <f>IF(VLOOKUP(all_lmics181920[[Setting]:[Setting]],all_cause_mort[],10,FALSE)="",VLOOKUP(all_lmics181920[[who_choice_region]:[who_choice_region]],missing[],14,FALSE),VLOOKUP(all_lmics181920[[Setting]:[Setting]],all_cause_mort[],10,FALSE))*1.05</f>
        <v>1.65216471E-3</v>
      </c>
      <c r="W46">
        <f>IF(VLOOKUP(all_lmics181920[[Setting]:[Setting]],all_cause_mort[],11,FALSE)="",VLOOKUP(all_lmics181920[[who_choice_region]:[who_choice_region]],missing[],15,FALSE),VLOOKUP(all_lmics181920[[Setting]:[Setting]],all_cause_mort[],11,FALSE))*1.05</f>
        <v>1.90455153E-3</v>
      </c>
      <c r="X46">
        <f>IF(VLOOKUP(all_lmics181920[[Setting]:[Setting]],all_cause_mort[],12,FALSE)="",VLOOKUP(all_lmics181920[[who_choice_region]:[who_choice_region]],missing[],16,FALSE),VLOOKUP(all_lmics181920[[Setting]:[Setting]],all_cause_mort[],12,FALSE))*1.05</f>
        <v>2.3082730650000002E-3</v>
      </c>
      <c r="Y46">
        <f>IF(VLOOKUP(all_lmics181920[[Setting]:[Setting]],all_cause_mort[],13,FALSE)="",VLOOKUP(all_lmics181920[[who_choice_region]:[who_choice_region]],missing[],17,FALSE),VLOOKUP(all_lmics181920[[Setting]:[Setting]],all_cause_mort[],13,FALSE))*1.05</f>
        <v>3.0670716300000003E-3</v>
      </c>
      <c r="Z46">
        <f>IF(VLOOKUP(all_lmics181920[[Setting]:[Setting]],all_cause_mort[],14,FALSE)="",VLOOKUP(all_lmics181920[[who_choice_region]:[who_choice_region]],missing[],18,FALSE),VLOOKUP(all_lmics181920[[Setting]:[Setting]],all_cause_mort[],14,FALSE))*1.05</f>
        <v>4.371125115E-3</v>
      </c>
      <c r="AA46">
        <f>IF(VLOOKUP(all_lmics181920[[Setting]:[Setting]],all_cause_mort[],15,FALSE)="",VLOOKUP(all_lmics181920[[who_choice_region]:[who_choice_region]],missing[],19,FALSE),VLOOKUP(all_lmics181920[[Setting]:[Setting]],all_cause_mort[],15,FALSE))*1.05</f>
        <v>6.4747286100000001E-3</v>
      </c>
      <c r="AB46">
        <f>IF(VLOOKUP(all_lmics181920[[Setting]:[Setting]],all_cause_mort[],16,FALSE)="",VLOOKUP(all_lmics181920[[who_choice_region]:[who_choice_region]],missing[],20,FALSE),VLOOKUP(all_lmics181920[[Setting]:[Setting]],all_cause_mort[],16,FALSE))*1.05</f>
        <v>9.7512882599999993E-3</v>
      </c>
      <c r="AC46">
        <f>IF(VLOOKUP(all_lmics181920[[Setting]:[Setting]],all_cause_mort[],17,FALSE)="",VLOOKUP(all_lmics181920[[who_choice_region]:[who_choice_region]],missing[],21,FALSE),VLOOKUP(all_lmics181920[[Setting]:[Setting]],all_cause_mort[],17,FALSE))*1.05</f>
        <v>1.4755574400000001E-2</v>
      </c>
      <c r="AD46">
        <f>IF(VLOOKUP(all_lmics181920[[Setting]:[Setting]],all_cause_mort[],18,FALSE)="",VLOOKUP(all_lmics181920[[who_choice_region]:[who_choice_region]],missing[],22,FALSE),VLOOKUP(all_lmics181920[[Setting]:[Setting]],all_cause_mort[],18,FALSE))*1.05</f>
        <v>2.2380911699999999E-2</v>
      </c>
      <c r="AE46">
        <f>IF(VLOOKUP(all_lmics181920[[Setting]:[Setting]],all_cause_mort[],19,FALSE)="",VLOOKUP(all_lmics181920[[who_choice_region]:[who_choice_region]],missing[],23,FALSE),VLOOKUP(all_lmics181920[[Setting]:[Setting]],all_cause_mort[],19,FALSE))*1.05</f>
        <v>3.3926777850000006E-2</v>
      </c>
      <c r="AF46">
        <f>IF(VLOOKUP(all_lmics181920[[Setting]:[Setting]],all_cause_mort[],20,FALSE)="",VLOOKUP(all_lmics181920[[who_choice_region]:[who_choice_region]],missing[],24,FALSE),VLOOKUP(all_lmics181920[[Setting]:[Setting]],all_cause_mort[],20,FALSE))*1.05</f>
        <v>5.1249370199999998E-2</v>
      </c>
      <c r="AG46">
        <f>IF(VLOOKUP(all_lmics181920[[Setting]:[Setting]],all_cause_mort[],21,FALSE)="",VLOOKUP(all_lmics181920[[who_choice_region]:[who_choice_region]],missing[],25,FALSE),VLOOKUP(all_lmics181920[[Setting]:[Setting]],all_cause_mort[],21,FALSE))*1.05</f>
        <v>7.706744955E-2</v>
      </c>
      <c r="AH46">
        <f>IF(VLOOKUP(all_lmics181920[[Setting]:[Setting]],all_cause_mort[],22,FALSE)="",VLOOKUP(all_lmics181920[[who_choice_region]:[who_choice_region]],missing[],26,FALSE),VLOOKUP(all_lmics181920[[Setting]:[Setting]],all_cause_mort[],22,FALSE))*1.05</f>
        <v>0.11625727050000001</v>
      </c>
      <c r="AI46">
        <f>IF(VLOOKUP(all_lmics181920[[Setting]:[Setting]],all_cause_mort[],23,FALSE)="",VLOOKUP(all_lmics181920[[who_choice_region]:[who_choice_region]],missing[],27,FALSE),VLOOKUP(all_lmics181920[[Setting]:[Setting]],all_cause_mort[],23,FALSE))*1.05</f>
        <v>0.17833985399999999</v>
      </c>
      <c r="AJ46">
        <f>IF(VLOOKUP(all_lmics181920[[Setting]:[Setting]],all_cause_mort[],24,FALSE)="",VLOOKUP(all_lmics181920[[who_choice_region]:[who_choice_region]],missing[],28,FALSE),VLOOKUP(all_lmics181920[[Setting]:[Setting]],all_cause_mort[],24,FALSE))*1.05</f>
        <v>0.27738841199999997</v>
      </c>
      <c r="AK46">
        <f>IF(VLOOKUP(all_lmics181920[[Setting]:[Setting]],all_cause_mort[],25,FALSE)="",VLOOKUP(all_lmics181920[[who_choice_region]:[who_choice_region]],missing[],29,FALSE),VLOOKUP(all_lmics181920[[Setting]:[Setting]],all_cause_mort[],25,FALSE))*1.05</f>
        <v>0.45332866937285132</v>
      </c>
      <c r="AL46">
        <f>VLOOKUP(all_lmics181920[[worldbank_region]:[worldbank_region]],Table13[],2,FALSE)*1.05</f>
        <v>91.202986349999989</v>
      </c>
      <c r="AM46">
        <f>VLOOKUP(all_lmics181920[[worldbank_region]:[worldbank_region]],Table13[],3,FALSE)*1.05</f>
        <v>91.202986349999989</v>
      </c>
      <c r="AN46">
        <f>VLOOKUP(all_lmics181920[[worldbank_region]:[worldbank_region]],Table13[],4,FALSE)*1.05</f>
        <v>141.31828934999999</v>
      </c>
      <c r="AO46">
        <f>VLOOKUP(all_lmics181920[[worldbank_region]:[worldbank_region]],Table13[],5,FALSE)*1.05</f>
        <v>141.31828934999999</v>
      </c>
      <c r="AP46">
        <f>VLOOKUP(all_lmics181920[[worldbank_region]:[worldbank_region]],Table13[],6,FALSE)*1.05</f>
        <v>141.31828934999999</v>
      </c>
      <c r="AQ46">
        <f>VLOOKUP(all_lmics181920[[worldbank_region]:[worldbank_region]],Table14[],2,FALSE)*1.05</f>
        <v>1.5903741</v>
      </c>
      <c r="AR46">
        <f>VLOOKUP(all_lmics181920[[worldbank_region]:[worldbank_region]],Table14[],3,FALSE)*1.05</f>
        <v>2.2387491000000002</v>
      </c>
      <c r="AS46">
        <f>VLOOKUP(all_lmics181920[[worldbank_region]:[worldbank_region]],Table14[],4,FALSE)*1.05</f>
        <v>1.6132578000000002</v>
      </c>
      <c r="AT46">
        <f>VLOOKUP(all_lmics181920[[worldbank_region]:[worldbank_region]],Table14[],5,FALSE)*1.05</f>
        <v>2.2616328000000001</v>
      </c>
      <c r="AU46">
        <f>VLOOKUP(all_lmics181920[[worldbank_region]:[worldbank_region]],Table14[],6,FALSE)*1.05</f>
        <v>2.8603974000000001</v>
      </c>
      <c r="AV46">
        <f>MIN(IFERROR(VLOOKUP(all_lmics181920[[Setting]:[Setting]],nFacSBA[],4,FALSE),VLOOKUP(all_lmics181920[[who_choice_region]:[who_choice_region]],missing[],30,FALSE))*1.05, 0.9999)</f>
        <v>0.21428754022970595</v>
      </c>
      <c r="AW46">
        <f>VLOOKUP(all_lmics181920[[worldbank_region]:[worldbank_region]],hbe[],4)</f>
        <v>0.5</v>
      </c>
      <c r="AX46">
        <f>VLOOKUP(all_lmics181920[[worldbank_region]:[worldbank_region]],hbe[],7)</f>
        <v>1</v>
      </c>
      <c r="AY46">
        <f>VLOOKUP(all_lmics181920[[worldbank_region]:[worldbank_region]],hbe[],10)</f>
        <v>0.25</v>
      </c>
    </row>
    <row r="47" spans="1:51" x14ac:dyDescent="0.35">
      <c r="A47" s="8" t="s">
        <v>141</v>
      </c>
      <c r="B47" s="10" t="s">
        <v>57</v>
      </c>
      <c r="C47" s="11" t="s">
        <v>58</v>
      </c>
      <c r="D47">
        <f>VLOOKUP(all_lmics181920[[Setting]:[Setting]],populations[],9,FALSE)</f>
        <v>105544</v>
      </c>
      <c r="E47">
        <f>VLOOKUP(all_lmics181920[[Setting]:[Setting]],birthrate[],3,FALSE)</f>
        <v>2.3708E-2</v>
      </c>
      <c r="F47">
        <f>all_lmics181920[[#This Row],[2017_population]]*all_lmics181920[[#This Row],[2016_birthrate]]</f>
        <v>2502.2371520000002</v>
      </c>
      <c r="G47">
        <f>MIN(VLOOKUP(all_lmics181920[[Setting]:[Setting]],birthdose[],4,FALSE)*1.05,0.9999)</f>
        <v>0.78750000000000009</v>
      </c>
      <c r="H47">
        <f>MIN(VLOOKUP(all_lmics181920[[Setting]:[Setting]],fullvax[],4,FALSE)*1.05,0.9999)</f>
        <v>0.84000000000000008</v>
      </c>
      <c r="I47">
        <f>IFERROR(VLOOKUP(all_lmics181920[[Setting]:[Setting]],prev[],3,FALSE),VLOOKUP(all_lmics181920[[who_choice_region]:[who_choice_region]],missing[],2,FALSE))</f>
        <v>3.5000000000000003E-2</v>
      </c>
      <c r="J47">
        <f>IFERROR(VLOOKUP(all_lmics181920[[Setting]:[Setting]],prev[],4,FALSE),VLOOKUP(all_lmics181920[[who_choice_region]:[who_choice_region]],missing[],3,FALSE))</f>
        <v>2.6599999999999999E-2</v>
      </c>
      <c r="K47">
        <f>IFERROR(VLOOKUP(all_lmics181920[[Setting]:[Setting]],prev[],5,FALSE),VLOOKUP(all_lmics181920[[who_choice_region]:[who_choice_region]],missing[],4,FALSE))</f>
        <v>4.5900000000000003E-2</v>
      </c>
      <c r="L47">
        <f>IFERROR(VLOOKUP(all_lmics181920[[Setting]:[Setting]],prev[],7,FALSE),VLOOKUP(all_lmics181920[[who_choice_region]:[who_choice_region]],missing[],5,FALSE))</f>
        <v>5.5612244897959183E-3</v>
      </c>
      <c r="M47">
        <f>IFERROR(VLOOKUP(all_lmics181920[[Setting]:[Setting]],prev[],6,FALSE),0)</f>
        <v>103616</v>
      </c>
      <c r="N47">
        <f>MIN(IFERROR(VLOOKUP(all_lmics181920[[Setting]:[Setting]],SBA[],4,FALSE),VLOOKUP(all_lmics181920[[who_choice_region]:[who_choice_region]],missing[],6,FALSE))*1.05, 0.9999)</f>
        <v>0.99990000000000001</v>
      </c>
      <c r="O47">
        <f>MIN(IFERROR(VLOOKUP(all_lmics181920[[Setting]:[Setting]], facility[], 3,FALSE),VLOOKUP(all_lmics181920[[who_choice_region]:[who_choice_region]],missing[],7,FALSE))*1.05, 0.9999)</f>
        <v>0.91349999999999998</v>
      </c>
      <c r="P47">
        <f>IF(VLOOKUP(all_lmics181920[[Setting]:[Setting]],all_cause_mort[],4,FALSE)="",VLOOKUP(all_lmics181920[[who_choice_region]:[who_choice_region]],missing[],8,FALSE),VLOOKUP(all_lmics181920[[Setting]:[Setting]],all_cause_mort[],4,FALSE))*1.05</f>
        <v>2.5134488400000002E-2</v>
      </c>
      <c r="Q47">
        <f>IF(VLOOKUP(all_lmics181920[[Setting]:[Setting]],all_cause_mort[],5,FALSE)="",VLOOKUP(all_lmics181920[[who_choice_region]:[who_choice_region]],missing[],9,FALSE),VLOOKUP(all_lmics181920[[Setting]:[Setting]],all_cause_mort[],5,FALSE))*1.05</f>
        <v>2.2853339249999998E-3</v>
      </c>
      <c r="R47">
        <f>IF(VLOOKUP(all_lmics181920[[Setting]:[Setting]],all_cause_mort[],6,FALSE)="",VLOOKUP(all_lmics181920[[who_choice_region]:[who_choice_region]],missing[],10,FALSE),VLOOKUP(all_lmics181920[[Setting]:[Setting]],all_cause_mort[],6,FALSE))*1.05</f>
        <v>6.7327168649999999E-4</v>
      </c>
      <c r="S47">
        <f>IF(VLOOKUP(all_lmics181920[[Setting]:[Setting]],all_cause_mort[],7,FALSE)="",VLOOKUP(all_lmics181920[[who_choice_region]:[who_choice_region]],missing[],11,FALSE),VLOOKUP(all_lmics181920[[Setting]:[Setting]],all_cause_mort[],7,FALSE))*1.05</f>
        <v>5.7556048200000005E-4</v>
      </c>
      <c r="T47">
        <f>IF(VLOOKUP(all_lmics181920[[Setting]:[Setting]],all_cause_mort[],8,FALSE)="",VLOOKUP(all_lmics181920[[who_choice_region]:[who_choice_region]],missing[],12,FALSE),VLOOKUP(all_lmics181920[[Setting]:[Setting]],all_cause_mort[],8,FALSE))*1.05</f>
        <v>1.131264015E-3</v>
      </c>
      <c r="U47">
        <f>IF(VLOOKUP(all_lmics181920[[Setting]:[Setting]],all_cause_mort[],9,FALSE)="",VLOOKUP(all_lmics181920[[who_choice_region]:[who_choice_region]],missing[],13,FALSE),VLOOKUP(all_lmics181920[[Setting]:[Setting]],all_cause_mort[],9,FALSE))*1.05</f>
        <v>1.46523132E-3</v>
      </c>
      <c r="V47">
        <f>IF(VLOOKUP(all_lmics181920[[Setting]:[Setting]],all_cause_mort[],10,FALSE)="",VLOOKUP(all_lmics181920[[who_choice_region]:[who_choice_region]],missing[],14,FALSE),VLOOKUP(all_lmics181920[[Setting]:[Setting]],all_cause_mort[],10,FALSE))*1.05</f>
        <v>1.5561654150000001E-3</v>
      </c>
      <c r="W47">
        <f>IF(VLOOKUP(all_lmics181920[[Setting]:[Setting]],all_cause_mort[],11,FALSE)="",VLOOKUP(all_lmics181920[[who_choice_region]:[who_choice_region]],missing[],15,FALSE),VLOOKUP(all_lmics181920[[Setting]:[Setting]],all_cause_mort[],11,FALSE))*1.05</f>
        <v>1.8329519250000002E-3</v>
      </c>
      <c r="X47">
        <f>IF(VLOOKUP(all_lmics181920[[Setting]:[Setting]],all_cause_mort[],12,FALSE)="",VLOOKUP(all_lmics181920[[who_choice_region]:[who_choice_region]],missing[],16,FALSE),VLOOKUP(all_lmics181920[[Setting]:[Setting]],all_cause_mort[],12,FALSE))*1.05</f>
        <v>2.4298163400000004E-3</v>
      </c>
      <c r="Y47">
        <f>IF(VLOOKUP(all_lmics181920[[Setting]:[Setting]],all_cause_mort[],13,FALSE)="",VLOOKUP(all_lmics181920[[who_choice_region]:[who_choice_region]],missing[],17,FALSE),VLOOKUP(all_lmics181920[[Setting]:[Setting]],all_cause_mort[],13,FALSE))*1.05</f>
        <v>3.4200646200000001E-3</v>
      </c>
      <c r="Z47">
        <f>IF(VLOOKUP(all_lmics181920[[Setting]:[Setting]],all_cause_mort[],14,FALSE)="",VLOOKUP(all_lmics181920[[who_choice_region]:[who_choice_region]],missing[],18,FALSE),VLOOKUP(all_lmics181920[[Setting]:[Setting]],all_cause_mort[],14,FALSE))*1.05</f>
        <v>5.1593281950000009E-3</v>
      </c>
      <c r="AA47">
        <f>IF(VLOOKUP(all_lmics181920[[Setting]:[Setting]],all_cause_mort[],15,FALSE)="",VLOOKUP(all_lmics181920[[who_choice_region]:[who_choice_region]],missing[],19,FALSE),VLOOKUP(all_lmics181920[[Setting]:[Setting]],all_cause_mort[],15,FALSE))*1.05</f>
        <v>7.9590351750000003E-3</v>
      </c>
      <c r="AB47">
        <f>IF(VLOOKUP(all_lmics181920[[Setting]:[Setting]],all_cause_mort[],16,FALSE)="",VLOOKUP(all_lmics181920[[who_choice_region]:[who_choice_region]],missing[],20,FALSE),VLOOKUP(all_lmics181920[[Setting]:[Setting]],all_cause_mort[],16,FALSE))*1.05</f>
        <v>1.2453945000000001E-2</v>
      </c>
      <c r="AC47">
        <f>IF(VLOOKUP(all_lmics181920[[Setting]:[Setting]],all_cause_mort[],17,FALSE)="",VLOOKUP(all_lmics181920[[who_choice_region]:[who_choice_region]],missing[],21,FALSE),VLOOKUP(all_lmics181920[[Setting]:[Setting]],all_cause_mort[],17,FALSE))*1.05</f>
        <v>2.4198540450000004E-2</v>
      </c>
      <c r="AD47">
        <f>IF(VLOOKUP(all_lmics181920[[Setting]:[Setting]],all_cause_mort[],18,FALSE)="",VLOOKUP(all_lmics181920[[who_choice_region]:[who_choice_region]],missing[],22,FALSE),VLOOKUP(all_lmics181920[[Setting]:[Setting]],all_cause_mort[],18,FALSE))*1.05</f>
        <v>4.6971087450000004E-2</v>
      </c>
      <c r="AE47">
        <f>IF(VLOOKUP(all_lmics181920[[Setting]:[Setting]],all_cause_mort[],19,FALSE)="",VLOOKUP(all_lmics181920[[who_choice_region]:[who_choice_region]],missing[],23,FALSE),VLOOKUP(all_lmics181920[[Setting]:[Setting]],all_cause_mort[],19,FALSE))*1.05</f>
        <v>7.9772773500000005E-2</v>
      </c>
      <c r="AF47">
        <f>IF(VLOOKUP(all_lmics181920[[Setting]:[Setting]],all_cause_mort[],20,FALSE)="",VLOOKUP(all_lmics181920[[who_choice_region]:[who_choice_region]],missing[],24,FALSE),VLOOKUP(all_lmics181920[[Setting]:[Setting]],all_cause_mort[],20,FALSE))*1.05</f>
        <v>0.1252344765</v>
      </c>
      <c r="AG47">
        <f>IF(VLOOKUP(all_lmics181920[[Setting]:[Setting]],all_cause_mort[],21,FALSE)="",VLOOKUP(all_lmics181920[[who_choice_region]:[who_choice_region]],missing[],25,FALSE),VLOOKUP(all_lmics181920[[Setting]:[Setting]],all_cause_mort[],21,FALSE))*1.05</f>
        <v>0.19702625250000003</v>
      </c>
      <c r="AH47">
        <f>IF(VLOOKUP(all_lmics181920[[Setting]:[Setting]],all_cause_mort[],22,FALSE)="",VLOOKUP(all_lmics181920[[who_choice_region]:[who_choice_region]],missing[],26,FALSE),VLOOKUP(all_lmics181920[[Setting]:[Setting]],all_cause_mort[],22,FALSE))*1.05</f>
        <v>0.30767145150000003</v>
      </c>
      <c r="AI47">
        <f>IF(VLOOKUP(all_lmics181920[[Setting]:[Setting]],all_cause_mort[],23,FALSE)="",VLOOKUP(all_lmics181920[[who_choice_region]:[who_choice_region]],missing[],27,FALSE),VLOOKUP(all_lmics181920[[Setting]:[Setting]],all_cause_mort[],23,FALSE))*1.05</f>
        <v>0.44838334800000001</v>
      </c>
      <c r="AJ47">
        <f>IF(VLOOKUP(all_lmics181920[[Setting]:[Setting]],all_cause_mort[],24,FALSE)="",VLOOKUP(all_lmics181920[[who_choice_region]:[who_choice_region]],missing[],28,FALSE),VLOOKUP(all_lmics181920[[Setting]:[Setting]],all_cause_mort[],24,FALSE))*1.05</f>
        <v>0.63031851750000001</v>
      </c>
      <c r="AK47">
        <f>IF(VLOOKUP(all_lmics181920[[Setting]:[Setting]],all_cause_mort[],25,FALSE)="",VLOOKUP(all_lmics181920[[who_choice_region]:[who_choice_region]],missing[],29,FALSE),VLOOKUP(all_lmics181920[[Setting]:[Setting]],all_cause_mort[],25,FALSE))*1.05</f>
        <v>0.83823996431173431</v>
      </c>
      <c r="AL47">
        <f>VLOOKUP(all_lmics181920[[worldbank_region]:[worldbank_region]],Table13[],2,FALSE)*1.05</f>
        <v>76.717604249999994</v>
      </c>
      <c r="AM47">
        <f>VLOOKUP(all_lmics181920[[worldbank_region]:[worldbank_region]],Table13[],3,FALSE)*1.05</f>
        <v>76.717604249999994</v>
      </c>
      <c r="AN47">
        <f>VLOOKUP(all_lmics181920[[worldbank_region]:[worldbank_region]],Table13[],4,FALSE)*1.05</f>
        <v>126.83290724999999</v>
      </c>
      <c r="AO47">
        <f>VLOOKUP(all_lmics181920[[worldbank_region]:[worldbank_region]],Table13[],5,FALSE)*1.05</f>
        <v>126.83290724999999</v>
      </c>
      <c r="AP47">
        <f>VLOOKUP(all_lmics181920[[worldbank_region]:[worldbank_region]],Table13[],6,FALSE)*1.05</f>
        <v>126.83290724999999</v>
      </c>
      <c r="AQ47">
        <f>VLOOKUP(all_lmics181920[[worldbank_region]:[worldbank_region]],Table14[],2,FALSE)*1.05</f>
        <v>1.4073045</v>
      </c>
      <c r="AR47">
        <f>VLOOKUP(all_lmics181920[[worldbank_region]:[worldbank_region]],Table14[],3,FALSE)*1.05</f>
        <v>2.0556795000000001</v>
      </c>
      <c r="AS47">
        <f>VLOOKUP(all_lmics181920[[worldbank_region]:[worldbank_region]],Table14[],4,FALSE)*1.05</f>
        <v>2.0709317999999999</v>
      </c>
      <c r="AT47">
        <f>VLOOKUP(all_lmics181920[[worldbank_region]:[worldbank_region]],Table14[],5,FALSE)*1.05</f>
        <v>2.7193068</v>
      </c>
      <c r="AU47">
        <f>VLOOKUP(all_lmics181920[[worldbank_region]:[worldbank_region]],Table14[],6,FALSE)*1.05</f>
        <v>3.3180714</v>
      </c>
      <c r="AV47">
        <f>MIN(IFERROR(VLOOKUP(all_lmics181920[[Setting]:[Setting]],nFacSBA[],4,FALSE),VLOOKUP(all_lmics181920[[who_choice_region]:[who_choice_region]],missing[],30,FALSE))*1.05, 0.9999)</f>
        <v>0.16784953724039575</v>
      </c>
      <c r="AW47">
        <f>VLOOKUP(all_lmics181920[[worldbank_region]:[worldbank_region]],hbe[],4)</f>
        <v>0.5</v>
      </c>
      <c r="AX47">
        <f>VLOOKUP(all_lmics181920[[worldbank_region]:[worldbank_region]],hbe[],7)</f>
        <v>1</v>
      </c>
      <c r="AY47">
        <f>VLOOKUP(all_lmics181920[[worldbank_region]:[worldbank_region]],hbe[],10)</f>
        <v>0.25</v>
      </c>
    </row>
    <row r="48" spans="1:51" x14ac:dyDescent="0.35">
      <c r="A48" s="8" t="s">
        <v>143</v>
      </c>
      <c r="B48" s="10" t="s">
        <v>57</v>
      </c>
      <c r="C48" s="11" t="s">
        <v>58</v>
      </c>
      <c r="D48">
        <f>VLOOKUP(all_lmics181920[[Setting]:[Setting]],populations[],9,FALSE)</f>
        <v>3075647</v>
      </c>
      <c r="E48">
        <f>VLOOKUP(all_lmics181920[[Setting]:[Setting]],birthrate[],3,FALSE)</f>
        <v>2.3958E-2</v>
      </c>
      <c r="F48">
        <f>all_lmics181920[[#This Row],[2017_population]]*all_lmics181920[[#This Row],[2016_birthrate]]</f>
        <v>73686.350825999994</v>
      </c>
      <c r="G48">
        <f>MIN(VLOOKUP(all_lmics181920[[Setting]:[Setting]],birthdose[],4,FALSE)*1.05,0.9999)</f>
        <v>0.99990000000000001</v>
      </c>
      <c r="H48">
        <f>MIN(VLOOKUP(all_lmics181920[[Setting]:[Setting]],fullvax[],4,FALSE)*1.05,0.9999)</f>
        <v>0.99990000000000001</v>
      </c>
      <c r="I48">
        <f>IFERROR(VLOOKUP(all_lmics181920[[Setting]:[Setting]],prev[],3,FALSE),VLOOKUP(all_lmics181920[[who_choice_region]:[who_choice_region]],missing[],2,FALSE))</f>
        <v>4.1000000000000002E-2</v>
      </c>
      <c r="J48">
        <f>IFERROR(VLOOKUP(all_lmics181920[[Setting]:[Setting]],prev[],4,FALSE),VLOOKUP(all_lmics181920[[who_choice_region]:[who_choice_region]],missing[],3,FALSE))</f>
        <v>3.1E-2</v>
      </c>
      <c r="K48">
        <f>IFERROR(VLOOKUP(all_lmics181920[[Setting]:[Setting]],prev[],5,FALSE),VLOOKUP(all_lmics181920[[who_choice_region]:[who_choice_region]],missing[],4,FALSE))</f>
        <v>4.8000000000000001E-2</v>
      </c>
      <c r="L48">
        <f>IFERROR(VLOOKUP(all_lmics181920[[Setting]:[Setting]],prev[],7,FALSE),VLOOKUP(all_lmics181920[[who_choice_region]:[who_choice_region]],missing[],5,FALSE))</f>
        <v>3.5714285714285713E-3</v>
      </c>
      <c r="M48">
        <f>IFERROR(VLOOKUP(all_lmics181920[[Setting]:[Setting]],prev[],6,FALSE),0)</f>
        <v>3075647</v>
      </c>
      <c r="N48">
        <f>MIN(IFERROR(VLOOKUP(all_lmics181920[[Setting]:[Setting]],SBA[],4,FALSE),VLOOKUP(all_lmics181920[[who_choice_region]:[who_choice_region]],missing[],6,FALSE))*1.05, 0.9999)</f>
        <v>0.99990000000000001</v>
      </c>
      <c r="O48">
        <f>MIN(IFERROR(VLOOKUP(all_lmics181920[[Setting]:[Setting]], facility[], 3,FALSE),VLOOKUP(all_lmics181920[[who_choice_region]:[who_choice_region]],missing[],7,FALSE))*1.05, 0.9999)</f>
        <v>0.99990000000000001</v>
      </c>
      <c r="P48">
        <f>IF(VLOOKUP(all_lmics181920[[Setting]:[Setting]],all_cause_mort[],4,FALSE)="",VLOOKUP(all_lmics181920[[who_choice_region]:[who_choice_region]],missing[],8,FALSE),VLOOKUP(all_lmics181920[[Setting]:[Setting]],all_cause_mort[],4,FALSE))*1.05</f>
        <v>1.9311024600000001E-2</v>
      </c>
      <c r="Q48">
        <f>IF(VLOOKUP(all_lmics181920[[Setting]:[Setting]],all_cause_mort[],5,FALSE)="",VLOOKUP(all_lmics181920[[who_choice_region]:[who_choice_region]],missing[],9,FALSE),VLOOKUP(all_lmics181920[[Setting]:[Setting]],all_cause_mort[],5,FALSE))*1.05</f>
        <v>1.146657855E-3</v>
      </c>
      <c r="R48">
        <f>IF(VLOOKUP(all_lmics181920[[Setting]:[Setting]],all_cause_mort[],6,FALSE)="",VLOOKUP(all_lmics181920[[who_choice_region]:[who_choice_region]],missing[],10,FALSE),VLOOKUP(all_lmics181920[[Setting]:[Setting]],all_cause_mort[],6,FALSE))*1.05</f>
        <v>3.7910707800000001E-4</v>
      </c>
      <c r="S48">
        <f>IF(VLOOKUP(all_lmics181920[[Setting]:[Setting]],all_cause_mort[],7,FALSE)="",VLOOKUP(all_lmics181920[[who_choice_region]:[who_choice_region]],missing[],11,FALSE),VLOOKUP(all_lmics181920[[Setting]:[Setting]],all_cause_mort[],7,FALSE))*1.05</f>
        <v>3.5298010650000003E-4</v>
      </c>
      <c r="T48">
        <f>IF(VLOOKUP(all_lmics181920[[Setting]:[Setting]],all_cause_mort[],8,FALSE)="",VLOOKUP(all_lmics181920[[who_choice_region]:[who_choice_region]],missing[],12,FALSE),VLOOKUP(all_lmics181920[[Setting]:[Setting]],all_cause_mort[],8,FALSE))*1.05</f>
        <v>5.4769392300000003E-4</v>
      </c>
      <c r="U48">
        <f>IF(VLOOKUP(all_lmics181920[[Setting]:[Setting]],all_cause_mort[],9,FALSE)="",VLOOKUP(all_lmics181920[[who_choice_region]:[who_choice_region]],missing[],13,FALSE),VLOOKUP(all_lmics181920[[Setting]:[Setting]],all_cause_mort[],9,FALSE))*1.05</f>
        <v>9.4829756699999997E-4</v>
      </c>
      <c r="V48">
        <f>IF(VLOOKUP(all_lmics181920[[Setting]:[Setting]],all_cause_mort[],10,FALSE)="",VLOOKUP(all_lmics181920[[who_choice_region]:[who_choice_region]],missing[],14,FALSE),VLOOKUP(all_lmics181920[[Setting]:[Setting]],all_cause_mort[],10,FALSE))*1.05</f>
        <v>1.3570466699999999E-3</v>
      </c>
      <c r="W48">
        <f>IF(VLOOKUP(all_lmics181920[[Setting]:[Setting]],all_cause_mort[],11,FALSE)="",VLOOKUP(all_lmics181920[[who_choice_region]:[who_choice_region]],missing[],15,FALSE),VLOOKUP(all_lmics181920[[Setting]:[Setting]],all_cause_mort[],11,FALSE))*1.05</f>
        <v>2.0538871500000002E-3</v>
      </c>
      <c r="X48">
        <f>IF(VLOOKUP(all_lmics181920[[Setting]:[Setting]],all_cause_mort[],12,FALSE)="",VLOOKUP(all_lmics181920[[who_choice_region]:[who_choice_region]],missing[],16,FALSE),VLOOKUP(all_lmics181920[[Setting]:[Setting]],all_cause_mort[],12,FALSE))*1.05</f>
        <v>2.9965628699999999E-3</v>
      </c>
      <c r="Y48">
        <f>IF(VLOOKUP(all_lmics181920[[Setting]:[Setting]],all_cause_mort[],13,FALSE)="",VLOOKUP(all_lmics181920[[who_choice_region]:[who_choice_region]],missing[],17,FALSE),VLOOKUP(all_lmics181920[[Setting]:[Setting]],all_cause_mort[],13,FALSE))*1.05</f>
        <v>4.6089526350000009E-3</v>
      </c>
      <c r="Z48">
        <f>IF(VLOOKUP(all_lmics181920[[Setting]:[Setting]],all_cause_mort[],14,FALSE)="",VLOOKUP(all_lmics181920[[who_choice_region]:[who_choice_region]],missing[],18,FALSE),VLOOKUP(all_lmics181920[[Setting]:[Setting]],all_cause_mort[],14,FALSE))*1.05</f>
        <v>7.9870533750000007E-3</v>
      </c>
      <c r="AA48">
        <f>IF(VLOOKUP(all_lmics181920[[Setting]:[Setting]],all_cause_mort[],15,FALSE)="",VLOOKUP(all_lmics181920[[who_choice_region]:[who_choice_region]],missing[],19,FALSE),VLOOKUP(all_lmics181920[[Setting]:[Setting]],all_cause_mort[],15,FALSE))*1.05</f>
        <v>1.20553902E-2</v>
      </c>
      <c r="AB48">
        <f>IF(VLOOKUP(all_lmics181920[[Setting]:[Setting]],all_cause_mort[],16,FALSE)="",VLOOKUP(all_lmics181920[[who_choice_region]:[who_choice_region]],missing[],20,FALSE),VLOOKUP(all_lmics181920[[Setting]:[Setting]],all_cause_mort[],16,FALSE))*1.05</f>
        <v>1.6511980800000003E-2</v>
      </c>
      <c r="AC48">
        <f>IF(VLOOKUP(all_lmics181920[[Setting]:[Setting]],all_cause_mort[],17,FALSE)="",VLOOKUP(all_lmics181920[[who_choice_region]:[who_choice_region]],missing[],21,FALSE),VLOOKUP(all_lmics181920[[Setting]:[Setting]],all_cause_mort[],17,FALSE))*1.05</f>
        <v>2.3549438850000003E-2</v>
      </c>
      <c r="AD48">
        <f>IF(VLOOKUP(all_lmics181920[[Setting]:[Setting]],all_cause_mort[],18,FALSE)="",VLOOKUP(all_lmics181920[[who_choice_region]:[who_choice_region]],missing[],22,FALSE),VLOOKUP(all_lmics181920[[Setting]:[Setting]],all_cause_mort[],18,FALSE))*1.05</f>
        <v>3.2736914700000001E-2</v>
      </c>
      <c r="AE48">
        <f>IF(VLOOKUP(all_lmics181920[[Setting]:[Setting]],all_cause_mort[],19,FALSE)="",VLOOKUP(all_lmics181920[[who_choice_region]:[who_choice_region]],missing[],23,FALSE),VLOOKUP(all_lmics181920[[Setting]:[Setting]],all_cause_mort[],19,FALSE))*1.05</f>
        <v>5.4539407650000003E-2</v>
      </c>
      <c r="AF48">
        <f>IF(VLOOKUP(all_lmics181920[[Setting]:[Setting]],all_cause_mort[],20,FALSE)="",VLOOKUP(all_lmics181920[[who_choice_region]:[who_choice_region]],missing[],24,FALSE),VLOOKUP(all_lmics181920[[Setting]:[Setting]],all_cause_mort[],20,FALSE))*1.05</f>
        <v>8.2782642600000012E-2</v>
      </c>
      <c r="AG48">
        <f>IF(VLOOKUP(all_lmics181920[[Setting]:[Setting]],all_cause_mort[],21,FALSE)="",VLOOKUP(all_lmics181920[[who_choice_region]:[who_choice_region]],missing[],25,FALSE),VLOOKUP(all_lmics181920[[Setting]:[Setting]],all_cause_mort[],21,FALSE))*1.05</f>
        <v>0.12314995350000001</v>
      </c>
      <c r="AH48">
        <f>IF(VLOOKUP(all_lmics181920[[Setting]:[Setting]],all_cause_mort[],22,FALSE)="",VLOOKUP(all_lmics181920[[who_choice_region]:[who_choice_region]],missing[],26,FALSE),VLOOKUP(all_lmics181920[[Setting]:[Setting]],all_cause_mort[],22,FALSE))*1.05</f>
        <v>0.18028735200000001</v>
      </c>
      <c r="AI48">
        <f>IF(VLOOKUP(all_lmics181920[[Setting]:[Setting]],all_cause_mort[],23,FALSE)="",VLOOKUP(all_lmics181920[[who_choice_region]:[who_choice_region]],missing[],27,FALSE),VLOOKUP(all_lmics181920[[Setting]:[Setting]],all_cause_mort[],23,FALSE))*1.05</f>
        <v>0.25619896050000002</v>
      </c>
      <c r="AJ48">
        <f>IF(VLOOKUP(all_lmics181920[[Setting]:[Setting]],all_cause_mort[],24,FALSE)="",VLOOKUP(all_lmics181920[[who_choice_region]:[who_choice_region]],missing[],28,FALSE),VLOOKUP(all_lmics181920[[Setting]:[Setting]],all_cause_mort[],24,FALSE))*1.05</f>
        <v>0.34914810000000002</v>
      </c>
      <c r="AK48">
        <f>IF(VLOOKUP(all_lmics181920[[Setting]:[Setting]],all_cause_mort[],25,FALSE)="",VLOOKUP(all_lmics181920[[who_choice_region]:[who_choice_region]],missing[],29,FALSE),VLOOKUP(all_lmics181920[[Setting]:[Setting]],all_cause_mort[],25,FALSE))*1.05</f>
        <v>0.47764761551714235</v>
      </c>
      <c r="AL48">
        <f>VLOOKUP(all_lmics181920[[worldbank_region]:[worldbank_region]],Table13[],2,FALSE)*1.05</f>
        <v>76.717604249999994</v>
      </c>
      <c r="AM48">
        <f>VLOOKUP(all_lmics181920[[worldbank_region]:[worldbank_region]],Table13[],3,FALSE)*1.05</f>
        <v>76.717604249999994</v>
      </c>
      <c r="AN48">
        <f>VLOOKUP(all_lmics181920[[worldbank_region]:[worldbank_region]],Table13[],4,FALSE)*1.05</f>
        <v>126.83290724999999</v>
      </c>
      <c r="AO48">
        <f>VLOOKUP(all_lmics181920[[worldbank_region]:[worldbank_region]],Table13[],5,FALSE)*1.05</f>
        <v>126.83290724999999</v>
      </c>
      <c r="AP48">
        <f>VLOOKUP(all_lmics181920[[worldbank_region]:[worldbank_region]],Table13[],6,FALSE)*1.05</f>
        <v>126.83290724999999</v>
      </c>
      <c r="AQ48">
        <f>VLOOKUP(all_lmics181920[[worldbank_region]:[worldbank_region]],Table14[],2,FALSE)*1.05</f>
        <v>1.4073045</v>
      </c>
      <c r="AR48">
        <f>VLOOKUP(all_lmics181920[[worldbank_region]:[worldbank_region]],Table14[],3,FALSE)*1.05</f>
        <v>2.0556795000000001</v>
      </c>
      <c r="AS48">
        <f>VLOOKUP(all_lmics181920[[worldbank_region]:[worldbank_region]],Table14[],4,FALSE)*1.05</f>
        <v>2.0709317999999999</v>
      </c>
      <c r="AT48">
        <f>VLOOKUP(all_lmics181920[[worldbank_region]:[worldbank_region]],Table14[],5,FALSE)*1.05</f>
        <v>2.7193068</v>
      </c>
      <c r="AU48">
        <f>VLOOKUP(all_lmics181920[[worldbank_region]:[worldbank_region]],Table14[],6,FALSE)*1.05</f>
        <v>3.3180714</v>
      </c>
      <c r="AV48">
        <f>MIN(IFERROR(VLOOKUP(all_lmics181920[[Setting]:[Setting]],nFacSBA[],4,FALSE),VLOOKUP(all_lmics181920[[who_choice_region]:[who_choice_region]],missing[],30,FALSE))*1.05, 0.9999)</f>
        <v>0.31438547860987692</v>
      </c>
      <c r="AW48">
        <f>VLOOKUP(all_lmics181920[[worldbank_region]:[worldbank_region]],hbe[],4)</f>
        <v>0.5</v>
      </c>
      <c r="AX48">
        <f>VLOOKUP(all_lmics181920[[worldbank_region]:[worldbank_region]],hbe[],7)</f>
        <v>1</v>
      </c>
      <c r="AY48">
        <f>VLOOKUP(all_lmics181920[[worldbank_region]:[worldbank_region]],hbe[],10)</f>
        <v>0.25</v>
      </c>
    </row>
    <row r="49" spans="1:51" x14ac:dyDescent="0.35">
      <c r="A49" s="8" t="s">
        <v>145</v>
      </c>
      <c r="B49" s="10" t="s">
        <v>6</v>
      </c>
      <c r="C49" s="11" t="s">
        <v>7</v>
      </c>
      <c r="D49">
        <f>VLOOKUP(all_lmics181920[[Setting]:[Setting]],populations[],9,FALSE)</f>
        <v>35739580</v>
      </c>
      <c r="E49">
        <f>VLOOKUP(all_lmics181920[[Setting]:[Setting]],birthrate[],3,FALSE)</f>
        <v>1.9965E-2</v>
      </c>
      <c r="F49">
        <f>all_lmics181920[[#This Row],[2017_population]]*all_lmics181920[[#This Row],[2016_birthrate]]</f>
        <v>713540.71470000001</v>
      </c>
      <c r="G49">
        <f>MIN(VLOOKUP(all_lmics181920[[Setting]:[Setting]],birthdose[],4,FALSE)*1.05,0.9999)</f>
        <v>0.34650000000000003</v>
      </c>
      <c r="H49">
        <f>MIN(VLOOKUP(all_lmics181920[[Setting]:[Setting]],fullvax[],4,FALSE)*1.05,0.9999)</f>
        <v>0.99990000000000001</v>
      </c>
      <c r="I49">
        <f>IFERROR(VLOOKUP(all_lmics181920[[Setting]:[Setting]],prev[],3,FALSE),VLOOKUP(all_lmics181920[[who_choice_region]:[who_choice_region]],missing[],2,FALSE))</f>
        <v>1.0999999999999999E-2</v>
      </c>
      <c r="J49">
        <f>IFERROR(VLOOKUP(all_lmics181920[[Setting]:[Setting]],prev[],4,FALSE),VLOOKUP(all_lmics181920[[who_choice_region]:[who_choice_region]],missing[],3,FALSE))</f>
        <v>8.0000000000000002E-3</v>
      </c>
      <c r="K49">
        <f>IFERROR(VLOOKUP(all_lmics181920[[Setting]:[Setting]],prev[],5,FALSE),VLOOKUP(all_lmics181920[[who_choice_region]:[who_choice_region]],missing[],4,FALSE))</f>
        <v>1.2E-2</v>
      </c>
      <c r="L49">
        <f>IFERROR(VLOOKUP(all_lmics181920[[Setting]:[Setting]],prev[],7,FALSE),VLOOKUP(all_lmics181920[[who_choice_region]:[who_choice_region]],missing[],5,FALSE))</f>
        <v>5.1020408163265354E-4</v>
      </c>
      <c r="M49">
        <f>IFERROR(VLOOKUP(all_lmics181920[[Setting]:[Setting]],prev[],6,FALSE),0)</f>
        <v>35739580</v>
      </c>
      <c r="N49">
        <f>MIN(IFERROR(VLOOKUP(all_lmics181920[[Setting]:[Setting]],SBA[],4,FALSE),VLOOKUP(all_lmics181920[[who_choice_region]:[who_choice_region]],missing[],6,FALSE))*1.05, 0.9999)</f>
        <v>0.77280000000000004</v>
      </c>
      <c r="O49">
        <f>MIN(IFERROR(VLOOKUP(all_lmics181920[[Setting]:[Setting]], facility[], 3,FALSE),VLOOKUP(all_lmics181920[[who_choice_region]:[who_choice_region]],missing[],7,FALSE))*1.05, 0.9999)</f>
        <v>0.76334999999999997</v>
      </c>
      <c r="P49">
        <f>IF(VLOOKUP(all_lmics181920[[Setting]:[Setting]],all_cause_mort[],4,FALSE)="",VLOOKUP(all_lmics181920[[who_choice_region]:[who_choice_region]],missing[],8,FALSE),VLOOKUP(all_lmics181920[[Setting]:[Setting]],all_cause_mort[],4,FALSE))*1.05</f>
        <v>2.1240145500000002E-2</v>
      </c>
      <c r="Q49">
        <f>IF(VLOOKUP(all_lmics181920[[Setting]:[Setting]],all_cause_mort[],5,FALSE)="",VLOOKUP(all_lmics181920[[who_choice_region]:[who_choice_region]],missing[],9,FALSE),VLOOKUP(all_lmics181920[[Setting]:[Setting]],all_cause_mort[],5,FALSE))*1.05</f>
        <v>9.4876610850000008E-4</v>
      </c>
      <c r="R49">
        <f>IF(VLOOKUP(all_lmics181920[[Setting]:[Setting]],all_cause_mort[],6,FALSE)="",VLOOKUP(all_lmics181920[[who_choice_region]:[who_choice_region]],missing[],10,FALSE),VLOOKUP(all_lmics181920[[Setting]:[Setting]],all_cause_mort[],6,FALSE))*1.05</f>
        <v>4.4240169750000001E-4</v>
      </c>
      <c r="S49">
        <f>IF(VLOOKUP(all_lmics181920[[Setting]:[Setting]],all_cause_mort[],7,FALSE)="",VLOOKUP(all_lmics181920[[who_choice_region]:[who_choice_region]],missing[],11,FALSE),VLOOKUP(all_lmics181920[[Setting]:[Setting]],all_cause_mort[],7,FALSE))*1.05</f>
        <v>2.6871007800000003E-4</v>
      </c>
      <c r="T49">
        <f>IF(VLOOKUP(all_lmics181920[[Setting]:[Setting]],all_cause_mort[],8,FALSE)="",VLOOKUP(all_lmics181920[[who_choice_region]:[who_choice_region]],missing[],12,FALSE),VLOOKUP(all_lmics181920[[Setting]:[Setting]],all_cause_mort[],8,FALSE))*1.05</f>
        <v>4.3612139550000003E-4</v>
      </c>
      <c r="U49">
        <f>IF(VLOOKUP(all_lmics181920[[Setting]:[Setting]],all_cause_mort[],9,FALSE)="",VLOOKUP(all_lmics181920[[who_choice_region]:[who_choice_region]],missing[],13,FALSE),VLOOKUP(all_lmics181920[[Setting]:[Setting]],all_cause_mort[],9,FALSE))*1.05</f>
        <v>6.3570735900000009E-4</v>
      </c>
      <c r="V49">
        <f>IF(VLOOKUP(all_lmics181920[[Setting]:[Setting]],all_cause_mort[],10,FALSE)="",VLOOKUP(all_lmics181920[[who_choice_region]:[who_choice_region]],missing[],14,FALSE),VLOOKUP(all_lmics181920[[Setting]:[Setting]],all_cause_mort[],10,FALSE))*1.05</f>
        <v>7.035777735000001E-4</v>
      </c>
      <c r="W49">
        <f>IF(VLOOKUP(all_lmics181920[[Setting]:[Setting]],all_cause_mort[],11,FALSE)="",VLOOKUP(all_lmics181920[[who_choice_region]:[who_choice_region]],missing[],15,FALSE),VLOOKUP(all_lmics181920[[Setting]:[Setting]],all_cause_mort[],11,FALSE))*1.05</f>
        <v>7.8143822400000005E-4</v>
      </c>
      <c r="X49">
        <f>IF(VLOOKUP(all_lmics181920[[Setting]:[Setting]],all_cause_mort[],12,FALSE)="",VLOOKUP(all_lmics181920[[who_choice_region]:[who_choice_region]],missing[],16,FALSE),VLOOKUP(all_lmics181920[[Setting]:[Setting]],all_cause_mort[],12,FALSE))*1.05</f>
        <v>1.0540296900000002E-3</v>
      </c>
      <c r="Y49">
        <f>IF(VLOOKUP(all_lmics181920[[Setting]:[Setting]],all_cause_mort[],13,FALSE)="",VLOOKUP(all_lmics181920[[who_choice_region]:[who_choice_region]],missing[],17,FALSE),VLOOKUP(all_lmics181920[[Setting]:[Setting]],all_cause_mort[],13,FALSE))*1.05</f>
        <v>1.4017568250000001E-3</v>
      </c>
      <c r="Z49">
        <f>IF(VLOOKUP(all_lmics181920[[Setting]:[Setting]],all_cause_mort[],14,FALSE)="",VLOOKUP(all_lmics181920[[who_choice_region]:[who_choice_region]],missing[],18,FALSE),VLOOKUP(all_lmics181920[[Setting]:[Setting]],all_cause_mort[],14,FALSE))*1.05</f>
        <v>2.0043670500000002E-3</v>
      </c>
      <c r="AA49">
        <f>IF(VLOOKUP(all_lmics181920[[Setting]:[Setting]],all_cause_mort[],15,FALSE)="",VLOOKUP(all_lmics181920[[who_choice_region]:[who_choice_region]],missing[],19,FALSE),VLOOKUP(all_lmics181920[[Setting]:[Setting]],all_cause_mort[],15,FALSE))*1.05</f>
        <v>3.0687927900000002E-3</v>
      </c>
      <c r="AB49">
        <f>IF(VLOOKUP(all_lmics181920[[Setting]:[Setting]],all_cause_mort[],16,FALSE)="",VLOOKUP(all_lmics181920[[who_choice_region]:[who_choice_region]],missing[],20,FALSE),VLOOKUP(all_lmics181920[[Setting]:[Setting]],all_cause_mort[],16,FALSE))*1.05</f>
        <v>4.7844231750000001E-3</v>
      </c>
      <c r="AC49">
        <f>IF(VLOOKUP(all_lmics181920[[Setting]:[Setting]],all_cause_mort[],17,FALSE)="",VLOOKUP(all_lmics181920[[who_choice_region]:[who_choice_region]],missing[],21,FALSE),VLOOKUP(all_lmics181920[[Setting]:[Setting]],all_cause_mort[],17,FALSE))*1.05</f>
        <v>8.3634086549999997E-3</v>
      </c>
      <c r="AD49">
        <f>IF(VLOOKUP(all_lmics181920[[Setting]:[Setting]],all_cause_mort[],18,FALSE)="",VLOOKUP(all_lmics181920[[who_choice_region]:[who_choice_region]],missing[],22,FALSE),VLOOKUP(all_lmics181920[[Setting]:[Setting]],all_cause_mort[],18,FALSE))*1.05</f>
        <v>1.5077464500000002E-2</v>
      </c>
      <c r="AE49">
        <f>IF(VLOOKUP(all_lmics181920[[Setting]:[Setting]],all_cause_mort[],19,FALSE)="",VLOOKUP(all_lmics181920[[who_choice_region]:[who_choice_region]],missing[],23,FALSE),VLOOKUP(all_lmics181920[[Setting]:[Setting]],all_cause_mort[],19,FALSE))*1.05</f>
        <v>3.1091340000000002E-2</v>
      </c>
      <c r="AF49">
        <f>IF(VLOOKUP(all_lmics181920[[Setting]:[Setting]],all_cause_mort[],20,FALSE)="",VLOOKUP(all_lmics181920[[who_choice_region]:[who_choice_region]],missing[],24,FALSE),VLOOKUP(all_lmics181920[[Setting]:[Setting]],all_cause_mort[],20,FALSE))*1.05</f>
        <v>5.542070625E-2</v>
      </c>
      <c r="AG49">
        <f>IF(VLOOKUP(all_lmics181920[[Setting]:[Setting]],all_cause_mort[],21,FALSE)="",VLOOKUP(all_lmics181920[[who_choice_region]:[who_choice_region]],missing[],25,FALSE),VLOOKUP(all_lmics181920[[Setting]:[Setting]],all_cause_mort[],21,FALSE))*1.05</f>
        <v>0.12464457600000001</v>
      </c>
      <c r="AH49">
        <f>IF(VLOOKUP(all_lmics181920[[Setting]:[Setting]],all_cause_mort[],22,FALSE)="",VLOOKUP(all_lmics181920[[who_choice_region]:[who_choice_region]],missing[],26,FALSE),VLOOKUP(all_lmics181920[[Setting]:[Setting]],all_cause_mort[],22,FALSE))*1.05</f>
        <v>0.2357061315</v>
      </c>
      <c r="AI49">
        <f>IF(VLOOKUP(all_lmics181920[[Setting]:[Setting]],all_cause_mort[],23,FALSE)="",VLOOKUP(all_lmics181920[[who_choice_region]:[who_choice_region]],missing[],27,FALSE),VLOOKUP(all_lmics181920[[Setting]:[Setting]],all_cause_mort[],23,FALSE))*1.05</f>
        <v>0.39665716649999999</v>
      </c>
      <c r="AJ49">
        <f>IF(VLOOKUP(all_lmics181920[[Setting]:[Setting]],all_cause_mort[],24,FALSE)="",VLOOKUP(all_lmics181920[[who_choice_region]:[who_choice_region]],missing[],28,FALSE),VLOOKUP(all_lmics181920[[Setting]:[Setting]],all_cause_mort[],24,FALSE))*1.05</f>
        <v>0.503202441</v>
      </c>
      <c r="AK49">
        <f>IF(VLOOKUP(all_lmics181920[[Setting]:[Setting]],all_cause_mort[],25,FALSE)="",VLOOKUP(all_lmics181920[[who_choice_region]:[who_choice_region]],missing[],29,FALSE),VLOOKUP(all_lmics181920[[Setting]:[Setting]],all_cause_mort[],25,FALSE))*1.05</f>
        <v>0.62994113830003762</v>
      </c>
      <c r="AL49">
        <f>VLOOKUP(all_lmics181920[[worldbank_region]:[worldbank_region]],Table13[],2,FALSE)*1.05</f>
        <v>60.801990899999993</v>
      </c>
      <c r="AM49">
        <f>VLOOKUP(all_lmics181920[[worldbank_region]:[worldbank_region]],Table13[],3,FALSE)*1.05</f>
        <v>60.801990899999993</v>
      </c>
      <c r="AN49">
        <f>VLOOKUP(all_lmics181920[[worldbank_region]:[worldbank_region]],Table13[],4,FALSE)*1.05</f>
        <v>110.91729389999999</v>
      </c>
      <c r="AO49">
        <f>VLOOKUP(all_lmics181920[[worldbank_region]:[worldbank_region]],Table13[],5,FALSE)*1.05</f>
        <v>110.91729389999999</v>
      </c>
      <c r="AP49">
        <f>VLOOKUP(all_lmics181920[[worldbank_region]:[worldbank_region]],Table13[],6,FALSE)*1.05</f>
        <v>110.91729389999999</v>
      </c>
      <c r="AQ49">
        <f>VLOOKUP(all_lmics181920[[worldbank_region]:[worldbank_region]],Table14[],2,FALSE)*1.05</f>
        <v>1.57893225</v>
      </c>
      <c r="AR49">
        <f>VLOOKUP(all_lmics181920[[worldbank_region]:[worldbank_region]],Table14[],3,FALSE)*1.05</f>
        <v>2.22730725</v>
      </c>
      <c r="AS49">
        <f>VLOOKUP(all_lmics181920[[worldbank_region]:[worldbank_region]],Table14[],4,FALSE)*1.05</f>
        <v>2.0823736500000001</v>
      </c>
      <c r="AT49">
        <f>VLOOKUP(all_lmics181920[[worldbank_region]:[worldbank_region]],Table14[],5,FALSE)*1.05</f>
        <v>2.7307486499999998</v>
      </c>
      <c r="AU49">
        <f>VLOOKUP(all_lmics181920[[worldbank_region]:[worldbank_region]],Table14[],6,FALSE)*1.05</f>
        <v>3.3295132499999998</v>
      </c>
      <c r="AV49">
        <f>MIN(IFERROR(VLOOKUP(all_lmics181920[[Setting]:[Setting]],nFacSBA[],4,FALSE),VLOOKUP(all_lmics181920[[who_choice_region]:[who_choice_region]],missing[],30,FALSE))*1.05, 0.9999)</f>
        <v>0.20839987733880669</v>
      </c>
      <c r="AW49">
        <f>VLOOKUP(all_lmics181920[[worldbank_region]:[worldbank_region]],hbe[],4)</f>
        <v>0.5</v>
      </c>
      <c r="AX49">
        <f>VLOOKUP(all_lmics181920[[worldbank_region]:[worldbank_region]],hbe[],7)</f>
        <v>1</v>
      </c>
      <c r="AY49">
        <f>VLOOKUP(all_lmics181920[[worldbank_region]:[worldbank_region]],hbe[],10)</f>
        <v>0.25</v>
      </c>
    </row>
    <row r="50" spans="1:51" x14ac:dyDescent="0.35">
      <c r="A50" s="8" t="s">
        <v>147</v>
      </c>
      <c r="B50" s="10" t="s">
        <v>36</v>
      </c>
      <c r="C50" s="11" t="s">
        <v>37</v>
      </c>
      <c r="D50">
        <f>VLOOKUP(all_lmics181920[[Setting]:[Setting]],populations[],9,FALSE)</f>
        <v>53370609</v>
      </c>
      <c r="E50">
        <f>VLOOKUP(all_lmics181920[[Setting]:[Setting]],birthrate[],3,FALSE)</f>
        <v>1.7794000000000001E-2</v>
      </c>
      <c r="F50">
        <f>all_lmics181920[[#This Row],[2017_population]]*all_lmics181920[[#This Row],[2016_birthrate]]</f>
        <v>949676.616546</v>
      </c>
      <c r="G50">
        <f>MIN(VLOOKUP(all_lmics181920[[Setting]:[Setting]],birthdose[],4,FALSE)*1.05,0.9999)</f>
        <v>1.0500000000000001E-2</v>
      </c>
      <c r="H50">
        <f>MIN(VLOOKUP(all_lmics181920[[Setting]:[Setting]],fullvax[],4,FALSE)*1.05,0.9999)</f>
        <v>0.93450000000000011</v>
      </c>
      <c r="I50">
        <f>IFERROR(VLOOKUP(all_lmics181920[[Setting]:[Setting]],prev[],3,FALSE),VLOOKUP(all_lmics181920[[who_choice_region]:[who_choice_region]],missing[],2,FALSE))</f>
        <v>8.3000000000000004E-2</v>
      </c>
      <c r="J50">
        <f>IFERROR(VLOOKUP(all_lmics181920[[Setting]:[Setting]],prev[],4,FALSE),VLOOKUP(all_lmics181920[[who_choice_region]:[who_choice_region]],missing[],3,FALSE))</f>
        <v>4.5999999999999999E-2</v>
      </c>
      <c r="K50">
        <f>IFERROR(VLOOKUP(all_lmics181920[[Setting]:[Setting]],prev[],5,FALSE),VLOOKUP(all_lmics181920[[who_choice_region]:[who_choice_region]],missing[],4,FALSE))</f>
        <v>9.4E-2</v>
      </c>
      <c r="L50">
        <f>IFERROR(VLOOKUP(all_lmics181920[[Setting]:[Setting]],prev[],7,FALSE),VLOOKUP(all_lmics181920[[who_choice_region]:[who_choice_region]],missing[],5,FALSE))</f>
        <v>5.6122448979591816E-3</v>
      </c>
      <c r="M50">
        <f>IFERROR(VLOOKUP(all_lmics181920[[Setting]:[Setting]],prev[],6,FALSE),0)</f>
        <v>53370609</v>
      </c>
      <c r="N50">
        <f>MIN(IFERROR(VLOOKUP(all_lmics181920[[Setting]:[Setting]],SBA[],4,FALSE),VLOOKUP(all_lmics181920[[who_choice_region]:[who_choice_region]],missing[],6,FALSE))*1.05, 0.9999)</f>
        <v>0.6321</v>
      </c>
      <c r="O50">
        <f>MIN(IFERROR(VLOOKUP(all_lmics181920[[Setting]:[Setting]], facility[], 3,FALSE),VLOOKUP(all_lmics181920[[who_choice_region]:[who_choice_region]],missing[],7,FALSE))*1.05, 0.9999)</f>
        <v>0.38955000000000001</v>
      </c>
      <c r="P50">
        <f>IF(VLOOKUP(all_lmics181920[[Setting]:[Setting]],all_cause_mort[],4,FALSE)="",VLOOKUP(all_lmics181920[[who_choice_region]:[who_choice_region]],missing[],8,FALSE),VLOOKUP(all_lmics181920[[Setting]:[Setting]],all_cause_mort[],4,FALSE))*1.05</f>
        <v>4.1689084500000001E-2</v>
      </c>
      <c r="Q50">
        <f>IF(VLOOKUP(all_lmics181920[[Setting]:[Setting]],all_cause_mort[],5,FALSE)="",VLOOKUP(all_lmics181920[[who_choice_region]:[who_choice_region]],missing[],9,FALSE),VLOOKUP(all_lmics181920[[Setting]:[Setting]],all_cause_mort[],5,FALSE))*1.05</f>
        <v>2.6544089250000002E-3</v>
      </c>
      <c r="R50">
        <f>IF(VLOOKUP(all_lmics181920[[Setting]:[Setting]],all_cause_mort[],6,FALSE)="",VLOOKUP(all_lmics181920[[who_choice_region]:[who_choice_region]],missing[],10,FALSE),VLOOKUP(all_lmics181920[[Setting]:[Setting]],all_cause_mort[],6,FALSE))*1.05</f>
        <v>1.1296200300000001E-3</v>
      </c>
      <c r="S50">
        <f>IF(VLOOKUP(all_lmics181920[[Setting]:[Setting]],all_cause_mort[],7,FALSE)="",VLOOKUP(all_lmics181920[[who_choice_region]:[who_choice_region]],missing[],11,FALSE),VLOOKUP(all_lmics181920[[Setting]:[Setting]],all_cause_mort[],7,FALSE))*1.05</f>
        <v>9.1663165649999998E-4</v>
      </c>
      <c r="T50">
        <f>IF(VLOOKUP(all_lmics181920[[Setting]:[Setting]],all_cause_mort[],8,FALSE)="",VLOOKUP(all_lmics181920[[who_choice_region]:[who_choice_region]],missing[],12,FALSE),VLOOKUP(all_lmics181920[[Setting]:[Setting]],all_cause_mort[],8,FALSE))*1.05</f>
        <v>1.487400285E-3</v>
      </c>
      <c r="U50">
        <f>IF(VLOOKUP(all_lmics181920[[Setting]:[Setting]],all_cause_mort[],9,FALSE)="",VLOOKUP(all_lmics181920[[who_choice_region]:[who_choice_region]],missing[],13,FALSE),VLOOKUP(all_lmics181920[[Setting]:[Setting]],all_cause_mort[],9,FALSE))*1.05</f>
        <v>2.1051522450000002E-3</v>
      </c>
      <c r="V50">
        <f>IF(VLOOKUP(all_lmics181920[[Setting]:[Setting]],all_cause_mort[],10,FALSE)="",VLOOKUP(all_lmics181920[[who_choice_region]:[who_choice_region]],missing[],14,FALSE),VLOOKUP(all_lmics181920[[Setting]:[Setting]],all_cause_mort[],10,FALSE))*1.05</f>
        <v>2.2819495650000005E-3</v>
      </c>
      <c r="W50">
        <f>IF(VLOOKUP(all_lmics181920[[Setting]:[Setting]],all_cause_mort[],11,FALSE)="",VLOOKUP(all_lmics181920[[who_choice_region]:[who_choice_region]],missing[],15,FALSE),VLOOKUP(all_lmics181920[[Setting]:[Setting]],all_cause_mort[],11,FALSE))*1.05</f>
        <v>2.6285675849999999E-3</v>
      </c>
      <c r="X50">
        <f>IF(VLOOKUP(all_lmics181920[[Setting]:[Setting]],all_cause_mort[],12,FALSE)="",VLOOKUP(all_lmics181920[[who_choice_region]:[who_choice_region]],missing[],16,FALSE),VLOOKUP(all_lmics181920[[Setting]:[Setting]],all_cause_mort[],12,FALSE))*1.05</f>
        <v>3.32788155E-3</v>
      </c>
      <c r="Y50">
        <f>IF(VLOOKUP(all_lmics181920[[Setting]:[Setting]],all_cause_mort[],13,FALSE)="",VLOOKUP(all_lmics181920[[who_choice_region]:[who_choice_region]],missing[],17,FALSE),VLOOKUP(all_lmics181920[[Setting]:[Setting]],all_cause_mort[],13,FALSE))*1.05</f>
        <v>4.5035764199999996E-3</v>
      </c>
      <c r="Z50">
        <f>IF(VLOOKUP(all_lmics181920[[Setting]:[Setting]],all_cause_mort[],14,FALSE)="",VLOOKUP(all_lmics181920[[who_choice_region]:[who_choice_region]],missing[],18,FALSE),VLOOKUP(all_lmics181920[[Setting]:[Setting]],all_cause_mort[],14,FALSE))*1.05</f>
        <v>6.4653204000000002E-3</v>
      </c>
      <c r="AA50">
        <f>IF(VLOOKUP(all_lmics181920[[Setting]:[Setting]],all_cause_mort[],15,FALSE)="",VLOOKUP(all_lmics181920[[who_choice_region]:[who_choice_region]],missing[],19,FALSE),VLOOKUP(all_lmics181920[[Setting]:[Setting]],all_cause_mort[],15,FALSE))*1.05</f>
        <v>9.5414426099999991E-3</v>
      </c>
      <c r="AB50">
        <f>IF(VLOOKUP(all_lmics181920[[Setting]:[Setting]],all_cause_mort[],16,FALSE)="",VLOOKUP(all_lmics181920[[who_choice_region]:[who_choice_region]],missing[],20,FALSE),VLOOKUP(all_lmics181920[[Setting]:[Setting]],all_cause_mort[],16,FALSE))*1.05</f>
        <v>1.428221025E-2</v>
      </c>
      <c r="AC50">
        <f>IF(VLOOKUP(all_lmics181920[[Setting]:[Setting]],all_cause_mort[],17,FALSE)="",VLOOKUP(all_lmics181920[[who_choice_region]:[who_choice_region]],missing[],21,FALSE),VLOOKUP(all_lmics181920[[Setting]:[Setting]],all_cause_mort[],17,FALSE))*1.05</f>
        <v>2.19363396E-2</v>
      </c>
      <c r="AD50">
        <f>IF(VLOOKUP(all_lmics181920[[Setting]:[Setting]],all_cause_mort[],18,FALSE)="",VLOOKUP(all_lmics181920[[who_choice_region]:[who_choice_region]],missing[],22,FALSE),VLOOKUP(all_lmics181920[[Setting]:[Setting]],all_cause_mort[],18,FALSE))*1.05</f>
        <v>3.4543685400000003E-2</v>
      </c>
      <c r="AE50">
        <f>IF(VLOOKUP(all_lmics181920[[Setting]:[Setting]],all_cause_mort[],19,FALSE)="",VLOOKUP(all_lmics181920[[who_choice_region]:[who_choice_region]],missing[],23,FALSE),VLOOKUP(all_lmics181920[[Setting]:[Setting]],all_cause_mort[],19,FALSE))*1.05</f>
        <v>5.5896500100000003E-2</v>
      </c>
      <c r="AF50">
        <f>IF(VLOOKUP(all_lmics181920[[Setting]:[Setting]],all_cause_mort[],20,FALSE)="",VLOOKUP(all_lmics181920[[who_choice_region]:[who_choice_region]],missing[],24,FALSE),VLOOKUP(all_lmics181920[[Setting]:[Setting]],all_cause_mort[],20,FALSE))*1.05</f>
        <v>9.036040649999999E-2</v>
      </c>
      <c r="AG50">
        <f>IF(VLOOKUP(all_lmics181920[[Setting]:[Setting]],all_cause_mort[],21,FALSE)="",VLOOKUP(all_lmics181920[[who_choice_region]:[who_choice_region]],missing[],25,FALSE),VLOOKUP(all_lmics181920[[Setting]:[Setting]],all_cause_mort[],21,FALSE))*1.05</f>
        <v>0.14598136350000002</v>
      </c>
      <c r="AH50">
        <f>IF(VLOOKUP(all_lmics181920[[Setting]:[Setting]],all_cause_mort[],22,FALSE)="",VLOOKUP(all_lmics181920[[who_choice_region]:[who_choice_region]],missing[],26,FALSE),VLOOKUP(all_lmics181920[[Setting]:[Setting]],all_cause_mort[],22,FALSE))*1.05</f>
        <v>0.2272936575</v>
      </c>
      <c r="AI50">
        <f>IF(VLOOKUP(all_lmics181920[[Setting]:[Setting]],all_cause_mort[],23,FALSE)="",VLOOKUP(all_lmics181920[[who_choice_region]:[who_choice_region]],missing[],27,FALSE),VLOOKUP(all_lmics181920[[Setting]:[Setting]],all_cause_mort[],23,FALSE))*1.05</f>
        <v>0.33279343649999998</v>
      </c>
      <c r="AJ50">
        <f>IF(VLOOKUP(all_lmics181920[[Setting]:[Setting]],all_cause_mort[],24,FALSE)="",VLOOKUP(all_lmics181920[[who_choice_region]:[who_choice_region]],missing[],28,FALSE),VLOOKUP(all_lmics181920[[Setting]:[Setting]],all_cause_mort[],24,FALSE))*1.05</f>
        <v>0.45276191100000002</v>
      </c>
      <c r="AK50">
        <f>IF(VLOOKUP(all_lmics181920[[Setting]:[Setting]],all_cause_mort[],25,FALSE)="",VLOOKUP(all_lmics181920[[who_choice_region]:[who_choice_region]],missing[],29,FALSE),VLOOKUP(all_lmics181920[[Setting]:[Setting]],all_cause_mort[],25,FALSE))*1.05</f>
        <v>0.61649714658699306</v>
      </c>
      <c r="AL50">
        <f>VLOOKUP(all_lmics181920[[worldbank_region]:[worldbank_region]],Table13[],2,FALSE)*1.05</f>
        <v>60.229898399999996</v>
      </c>
      <c r="AM50">
        <f>VLOOKUP(all_lmics181920[[worldbank_region]:[worldbank_region]],Table13[],3,FALSE)*1.05</f>
        <v>60.229898399999996</v>
      </c>
      <c r="AN50">
        <f>VLOOKUP(all_lmics181920[[worldbank_region]:[worldbank_region]],Table13[],4,FALSE)*1.05</f>
        <v>110.34520139999999</v>
      </c>
      <c r="AO50">
        <f>VLOOKUP(all_lmics181920[[worldbank_region]:[worldbank_region]],Table13[],5,FALSE)*1.05</f>
        <v>110.34520139999999</v>
      </c>
      <c r="AP50">
        <f>VLOOKUP(all_lmics181920[[worldbank_region]:[worldbank_region]],Table13[],6,FALSE)*1.05</f>
        <v>110.34520139999999</v>
      </c>
      <c r="AQ50">
        <f>VLOOKUP(all_lmics181920[[worldbank_region]:[worldbank_region]],Table14[],2,FALSE)*1.05</f>
        <v>1.0068397500000001</v>
      </c>
      <c r="AR50">
        <f>VLOOKUP(all_lmics181920[[worldbank_region]:[worldbank_region]],Table14[],3,FALSE)*1.05</f>
        <v>1.6552147500000003</v>
      </c>
      <c r="AS50">
        <f>VLOOKUP(all_lmics181920[[worldbank_region]:[worldbank_region]],Table14[],4,FALSE)*1.05</f>
        <v>34.6802043</v>
      </c>
      <c r="AT50">
        <f>VLOOKUP(all_lmics181920[[worldbank_region]:[worldbank_region]],Table14[],5,FALSE)*1.05</f>
        <v>35.328579300000001</v>
      </c>
      <c r="AU50">
        <f>VLOOKUP(all_lmics181920[[worldbank_region]:[worldbank_region]],Table14[],6,FALSE)*1.05</f>
        <v>35.927343900000004</v>
      </c>
      <c r="AV50">
        <f>MIN(IFERROR(VLOOKUP(all_lmics181920[[Setting]:[Setting]],nFacSBA[],4,FALSE),VLOOKUP(all_lmics181920[[who_choice_region]:[who_choice_region]],missing[],30,FALSE))*1.05, 0.9999)</f>
        <v>0.13510897497632865</v>
      </c>
      <c r="AW50">
        <f>VLOOKUP(all_lmics181920[[worldbank_region]:[worldbank_region]],hbe[],4)</f>
        <v>0.5</v>
      </c>
      <c r="AX50">
        <f>VLOOKUP(all_lmics181920[[worldbank_region]:[worldbank_region]],hbe[],7)</f>
        <v>1</v>
      </c>
      <c r="AY50">
        <f>VLOOKUP(all_lmics181920[[worldbank_region]:[worldbank_region]],hbe[],10)</f>
        <v>0.25</v>
      </c>
    </row>
    <row r="51" spans="1:51" x14ac:dyDescent="0.35">
      <c r="A51" s="12" t="s">
        <v>148</v>
      </c>
      <c r="B51" s="13" t="s">
        <v>49</v>
      </c>
      <c r="C51" s="14" t="s">
        <v>15</v>
      </c>
      <c r="D51">
        <f>VLOOKUP(all_lmics181920[[Setting]:[Setting]],populations[],9,FALSE)</f>
        <v>2533794</v>
      </c>
      <c r="E51">
        <f>VLOOKUP(all_lmics181920[[Setting]:[Setting]],birthrate[],3,FALSE)</f>
        <v>2.9181000000000002E-2</v>
      </c>
      <c r="F51">
        <f>all_lmics181920[[#This Row],[2017_population]]*all_lmics181920[[#This Row],[2016_birthrate]]</f>
        <v>73938.642714000001</v>
      </c>
      <c r="G51">
        <f>MIN(VLOOKUP(all_lmics181920[[Setting]:[Setting]],birthdose[],4,FALSE)*1.05,0.9999)</f>
        <v>0.89249999999999996</v>
      </c>
      <c r="H51">
        <f>MIN(VLOOKUP(all_lmics181920[[Setting]:[Setting]],fullvax[],4,FALSE)*1.05,0.9999)</f>
        <v>0.92400000000000004</v>
      </c>
      <c r="I51">
        <f>IFERROR(VLOOKUP(all_lmics181920[[Setting]:[Setting]],prev[],3,FALSE),VLOOKUP(all_lmics181920[[who_choice_region]:[who_choice_region]],missing[],2,FALSE))</f>
        <v>8.6099999999999996E-2</v>
      </c>
      <c r="J51">
        <f>IFERROR(VLOOKUP(all_lmics181920[[Setting]:[Setting]],prev[],4,FALSE),VLOOKUP(all_lmics181920[[who_choice_region]:[who_choice_region]],missing[],3,FALSE))</f>
        <v>8.1000000000000003E-2</v>
      </c>
      <c r="K51">
        <f>IFERROR(VLOOKUP(all_lmics181920[[Setting]:[Setting]],prev[],5,FALSE),VLOOKUP(all_lmics181920[[who_choice_region]:[who_choice_region]],missing[],4,FALSE))</f>
        <v>9.1600000000000001E-2</v>
      </c>
      <c r="L51">
        <f>IFERROR(VLOOKUP(all_lmics181920[[Setting]:[Setting]],prev[],7,FALSE),VLOOKUP(all_lmics181920[[who_choice_region]:[who_choice_region]],missing[],5,FALSE))</f>
        <v>2.8061224489795943E-3</v>
      </c>
      <c r="M51">
        <f>IFERROR(VLOOKUP(all_lmics181920[[Setting]:[Setting]],prev[],6,FALSE),0)</f>
        <v>2173170</v>
      </c>
      <c r="N51">
        <f>MIN(IFERROR(VLOOKUP(all_lmics181920[[Setting]:[Setting]],SBA[],4,FALSE),VLOOKUP(all_lmics181920[[who_choice_region]:[who_choice_region]],missing[],6,FALSE))*1.05, 0.9999)</f>
        <v>0.92610000000000003</v>
      </c>
      <c r="O51">
        <f>MIN(IFERROR(VLOOKUP(all_lmics181920[[Setting]:[Setting]], facility[], 3,FALSE),VLOOKUP(all_lmics181920[[who_choice_region]:[who_choice_region]],missing[],7,FALSE))*1.05, 0.9999)</f>
        <v>0.91770000000000018</v>
      </c>
      <c r="P51">
        <f>IF(VLOOKUP(all_lmics181920[[Setting]:[Setting]],all_cause_mort[],4,FALSE)="",VLOOKUP(all_lmics181920[[who_choice_region]:[who_choice_region]],missing[],8,FALSE),VLOOKUP(all_lmics181920[[Setting]:[Setting]],all_cause_mort[],4,FALSE))*1.05</f>
        <v>3.6096565050000001E-2</v>
      </c>
      <c r="Q51">
        <f>IF(VLOOKUP(all_lmics181920[[Setting]:[Setting]],all_cause_mort[],5,FALSE)="",VLOOKUP(all_lmics181920[[who_choice_region]:[who_choice_region]],missing[],9,FALSE),VLOOKUP(all_lmics181920[[Setting]:[Setting]],all_cause_mort[],5,FALSE))*1.05</f>
        <v>3.055396365E-3</v>
      </c>
      <c r="R51">
        <f>IF(VLOOKUP(all_lmics181920[[Setting]:[Setting]],all_cause_mort[],6,FALSE)="",VLOOKUP(all_lmics181920[[who_choice_region]:[who_choice_region]],missing[],10,FALSE),VLOOKUP(all_lmics181920[[Setting]:[Setting]],all_cause_mort[],6,FALSE))*1.05</f>
        <v>1.2899366550000002E-3</v>
      </c>
      <c r="S51">
        <f>IF(VLOOKUP(all_lmics181920[[Setting]:[Setting]],all_cause_mort[],7,FALSE)="",VLOOKUP(all_lmics181920[[who_choice_region]:[who_choice_region]],missing[],11,FALSE),VLOOKUP(all_lmics181920[[Setting]:[Setting]],all_cause_mort[],7,FALSE))*1.05</f>
        <v>1.0403799E-3</v>
      </c>
      <c r="T51">
        <f>IF(VLOOKUP(all_lmics181920[[Setting]:[Setting]],all_cause_mort[],8,FALSE)="",VLOOKUP(all_lmics181920[[who_choice_region]:[who_choice_region]],missing[],12,FALSE),VLOOKUP(all_lmics181920[[Setting]:[Setting]],all_cause_mort[],8,FALSE))*1.05</f>
        <v>1.75518462E-3</v>
      </c>
      <c r="U51">
        <f>IF(VLOOKUP(all_lmics181920[[Setting]:[Setting]],all_cause_mort[],9,FALSE)="",VLOOKUP(all_lmics181920[[who_choice_region]:[who_choice_region]],missing[],13,FALSE),VLOOKUP(all_lmics181920[[Setting]:[Setting]],all_cause_mort[],9,FALSE))*1.05</f>
        <v>2.8763327250000002E-3</v>
      </c>
      <c r="V51">
        <f>IF(VLOOKUP(all_lmics181920[[Setting]:[Setting]],all_cause_mort[],10,FALSE)="",VLOOKUP(all_lmics181920[[who_choice_region]:[who_choice_region]],missing[],14,FALSE),VLOOKUP(all_lmics181920[[Setting]:[Setting]],all_cause_mort[],10,FALSE))*1.05</f>
        <v>4.1568051E-3</v>
      </c>
      <c r="W51">
        <f>IF(VLOOKUP(all_lmics181920[[Setting]:[Setting]],all_cause_mort[],11,FALSE)="",VLOOKUP(all_lmics181920[[who_choice_region]:[who_choice_region]],missing[],15,FALSE),VLOOKUP(all_lmics181920[[Setting]:[Setting]],all_cause_mort[],11,FALSE))*1.05</f>
        <v>5.5510555800000003E-3</v>
      </c>
      <c r="X51">
        <f>IF(VLOOKUP(all_lmics181920[[Setting]:[Setting]],all_cause_mort[],12,FALSE)="",VLOOKUP(all_lmics181920[[who_choice_region]:[who_choice_region]],missing[],16,FALSE),VLOOKUP(all_lmics181920[[Setting]:[Setting]],all_cause_mort[],12,FALSE))*1.05</f>
        <v>7.5272813700000005E-3</v>
      </c>
      <c r="Y51">
        <f>IF(VLOOKUP(all_lmics181920[[Setting]:[Setting]],all_cause_mort[],13,FALSE)="",VLOOKUP(all_lmics181920[[who_choice_region]:[who_choice_region]],missing[],17,FALSE),VLOOKUP(all_lmics181920[[Setting]:[Setting]],all_cause_mort[],13,FALSE))*1.05</f>
        <v>9.2505757049999998E-3</v>
      </c>
      <c r="Z51">
        <f>IF(VLOOKUP(all_lmics181920[[Setting]:[Setting]],all_cause_mort[],14,FALSE)="",VLOOKUP(all_lmics181920[[who_choice_region]:[who_choice_region]],missing[],18,FALSE),VLOOKUP(all_lmics181920[[Setting]:[Setting]],all_cause_mort[],14,FALSE))*1.05</f>
        <v>1.13330028E-2</v>
      </c>
      <c r="AA51">
        <f>IF(VLOOKUP(all_lmics181920[[Setting]:[Setting]],all_cause_mort[],15,FALSE)="",VLOOKUP(all_lmics181920[[who_choice_region]:[who_choice_region]],missing[],19,FALSE),VLOOKUP(all_lmics181920[[Setting]:[Setting]],all_cause_mort[],15,FALSE))*1.05</f>
        <v>1.46094438E-2</v>
      </c>
      <c r="AB51">
        <f>IF(VLOOKUP(all_lmics181920[[Setting]:[Setting]],all_cause_mort[],16,FALSE)="",VLOOKUP(all_lmics181920[[who_choice_region]:[who_choice_region]],missing[],20,FALSE),VLOOKUP(all_lmics181920[[Setting]:[Setting]],all_cause_mort[],16,FALSE))*1.05</f>
        <v>1.8426231600000002E-2</v>
      </c>
      <c r="AC51">
        <f>IF(VLOOKUP(all_lmics181920[[Setting]:[Setting]],all_cause_mort[],17,FALSE)="",VLOOKUP(all_lmics181920[[who_choice_region]:[who_choice_region]],missing[],21,FALSE),VLOOKUP(all_lmics181920[[Setting]:[Setting]],all_cause_mort[],17,FALSE))*1.05</f>
        <v>2.564030175E-2</v>
      </c>
      <c r="AD51">
        <f>IF(VLOOKUP(all_lmics181920[[Setting]:[Setting]],all_cause_mort[],18,FALSE)="",VLOOKUP(all_lmics181920[[who_choice_region]:[who_choice_region]],missing[],22,FALSE),VLOOKUP(all_lmics181920[[Setting]:[Setting]],all_cause_mort[],18,FALSE))*1.05</f>
        <v>3.8185536900000004E-2</v>
      </c>
      <c r="AE51">
        <f>IF(VLOOKUP(all_lmics181920[[Setting]:[Setting]],all_cause_mort[],19,FALSE)="",VLOOKUP(all_lmics181920[[who_choice_region]:[who_choice_region]],missing[],23,FALSE),VLOOKUP(all_lmics181920[[Setting]:[Setting]],all_cause_mort[],19,FALSE))*1.05</f>
        <v>5.9414516700000003E-2</v>
      </c>
      <c r="AF51">
        <f>IF(VLOOKUP(all_lmics181920[[Setting]:[Setting]],all_cause_mort[],20,FALSE)="",VLOOKUP(all_lmics181920[[who_choice_region]:[who_choice_region]],missing[],24,FALSE),VLOOKUP(all_lmics181920[[Setting]:[Setting]],all_cause_mort[],20,FALSE))*1.05</f>
        <v>9.3969000300000008E-2</v>
      </c>
      <c r="AG51">
        <f>IF(VLOOKUP(all_lmics181920[[Setting]:[Setting]],all_cause_mort[],21,FALSE)="",VLOOKUP(all_lmics181920[[who_choice_region]:[who_choice_region]],missing[],25,FALSE),VLOOKUP(all_lmics181920[[Setting]:[Setting]],all_cause_mort[],21,FALSE))*1.05</f>
        <v>0.1562557185</v>
      </c>
      <c r="AH51">
        <f>IF(VLOOKUP(all_lmics181920[[Setting]:[Setting]],all_cause_mort[],22,FALSE)="",VLOOKUP(all_lmics181920[[who_choice_region]:[who_choice_region]],missing[],26,FALSE),VLOOKUP(all_lmics181920[[Setting]:[Setting]],all_cause_mort[],22,FALSE))*1.05</f>
        <v>0.26207829900000001</v>
      </c>
      <c r="AI51">
        <f>IF(VLOOKUP(all_lmics181920[[Setting]:[Setting]],all_cause_mort[],23,FALSE)="",VLOOKUP(all_lmics181920[[who_choice_region]:[who_choice_region]],missing[],27,FALSE),VLOOKUP(all_lmics181920[[Setting]:[Setting]],all_cause_mort[],23,FALSE))*1.05</f>
        <v>0.42964963649999999</v>
      </c>
      <c r="AJ51">
        <f>IF(VLOOKUP(all_lmics181920[[Setting]:[Setting]],all_cause_mort[],24,FALSE)="",VLOOKUP(all_lmics181920[[who_choice_region]:[who_choice_region]],missing[],28,FALSE),VLOOKUP(all_lmics181920[[Setting]:[Setting]],all_cause_mort[],24,FALSE))*1.05</f>
        <v>0.60763836000000004</v>
      </c>
      <c r="AK51">
        <f>IF(VLOOKUP(all_lmics181920[[Setting]:[Setting]],all_cause_mort[],25,FALSE)="",VLOOKUP(all_lmics181920[[who_choice_region]:[who_choice_region]],missing[],29,FALSE),VLOOKUP(all_lmics181920[[Setting]:[Setting]],all_cause_mort[],25,FALSE))*1.05</f>
        <v>0.79343375383559067</v>
      </c>
      <c r="AL51">
        <f>VLOOKUP(all_lmics181920[[worldbank_region]:[worldbank_region]],Table13[],2,FALSE)*1.05</f>
        <v>31.40787825</v>
      </c>
      <c r="AM51">
        <f>VLOOKUP(all_lmics181920[[worldbank_region]:[worldbank_region]],Table13[],3,FALSE)*1.05</f>
        <v>31.40787825</v>
      </c>
      <c r="AN51">
        <f>VLOOKUP(all_lmics181920[[worldbank_region]:[worldbank_region]],Table13[],4,FALSE)*1.05</f>
        <v>81.523181249999993</v>
      </c>
      <c r="AO51">
        <f>VLOOKUP(all_lmics181920[[worldbank_region]:[worldbank_region]],Table13[],5,FALSE)*1.05</f>
        <v>81.523181249999993</v>
      </c>
      <c r="AP51">
        <f>VLOOKUP(all_lmics181920[[worldbank_region]:[worldbank_region]],Table13[],6,FALSE)*1.05</f>
        <v>81.523181249999993</v>
      </c>
      <c r="AQ51">
        <f>VLOOKUP(all_lmics181920[[worldbank_region]:[worldbank_region]],Table14[],2,FALSE)*1.05</f>
        <v>1.0182816000000001</v>
      </c>
      <c r="AR51">
        <f>VLOOKUP(all_lmics181920[[worldbank_region]:[worldbank_region]],Table14[],3,FALSE)*1.05</f>
        <v>1.6666566000000003</v>
      </c>
      <c r="AS51">
        <f>VLOOKUP(all_lmics181920[[worldbank_region]:[worldbank_region]],Table14[],4,FALSE)*1.05</f>
        <v>6.08702115</v>
      </c>
      <c r="AT51">
        <f>VLOOKUP(all_lmics181920[[worldbank_region]:[worldbank_region]],Table14[],5,FALSE)*1.05</f>
        <v>6.7353961499999997</v>
      </c>
      <c r="AU51">
        <f>VLOOKUP(all_lmics181920[[worldbank_region]:[worldbank_region]],Table14[],6,FALSE)*1.05</f>
        <v>7.3341607499999997</v>
      </c>
      <c r="AV51">
        <f>MIN(IFERROR(VLOOKUP(all_lmics181920[[Setting]:[Setting]],nFacSBA[],4,FALSE),VLOOKUP(all_lmics181920[[who_choice_region]:[who_choice_region]],missing[],30,FALSE))*1.05, 0.9999)</f>
        <v>0.10552695412153403</v>
      </c>
      <c r="AW51">
        <f>VLOOKUP(all_lmics181920[[worldbank_region]:[worldbank_region]],hbe[],4)</f>
        <v>0.5</v>
      </c>
      <c r="AX51">
        <f>VLOOKUP(all_lmics181920[[worldbank_region]:[worldbank_region]],hbe[],7)</f>
        <v>1</v>
      </c>
      <c r="AY51">
        <f>VLOOKUP(all_lmics181920[[worldbank_region]:[worldbank_region]],hbe[],10)</f>
        <v>0.25</v>
      </c>
    </row>
    <row r="52" spans="1:51" x14ac:dyDescent="0.35">
      <c r="A52" s="8" t="s">
        <v>149</v>
      </c>
      <c r="B52" s="10" t="s">
        <v>57</v>
      </c>
      <c r="C52" s="11" t="s">
        <v>58</v>
      </c>
      <c r="D52">
        <f>VLOOKUP(all_lmics181920[[Setting]:[Setting]],populations[],9,FALSE)</f>
        <v>13649</v>
      </c>
      <c r="E52">
        <f>VLOOKUP(all_lmics181920[[Setting]:[Setting]],birthrate[],3,FALSE)</f>
        <v>2.4E-2</v>
      </c>
      <c r="F52">
        <f>all_lmics181920[[#This Row],[2017_population]]*all_lmics181920[[#This Row],[2016_birthrate]]</f>
        <v>327.57600000000002</v>
      </c>
      <c r="G52">
        <f>MIN(VLOOKUP(all_lmics181920[[Setting]:[Setting]],birthdose[],4,FALSE)*1.05,0.9999)</f>
        <v>0.99990000000000001</v>
      </c>
      <c r="H52">
        <f>MIN(VLOOKUP(all_lmics181920[[Setting]:[Setting]],fullvax[],4,FALSE)*1.05,0.9999)</f>
        <v>0.91349999999999998</v>
      </c>
      <c r="I52">
        <f>IFERROR(VLOOKUP(all_lmics181920[[Setting]:[Setting]],prev[],3,FALSE),VLOOKUP(all_lmics181920[[who_choice_region]:[who_choice_region]],missing[],2,FALSE))</f>
        <v>6.2014367393849211E-2</v>
      </c>
      <c r="J52">
        <f>IFERROR(VLOOKUP(all_lmics181920[[Setting]:[Setting]],prev[],4,FALSE),VLOOKUP(all_lmics181920[[who_choice_region]:[who_choice_region]],missing[],3,FALSE))</f>
        <v>5.5830551219148553E-2</v>
      </c>
      <c r="K52">
        <f>IFERROR(VLOOKUP(all_lmics181920[[Setting]:[Setting]],prev[],5,FALSE),VLOOKUP(all_lmics181920[[who_choice_region]:[who_choice_region]],missing[],4,FALSE))</f>
        <v>7.0881613218274672E-2</v>
      </c>
      <c r="L52">
        <f>IFERROR(VLOOKUP(all_lmics181920[[Setting]:[Setting]],prev[],7,FALSE),VLOOKUP(all_lmics181920[[who_choice_region]:[who_choice_region]],missing[],5,FALSE))</f>
        <v>4.5241050124619608E-3</v>
      </c>
      <c r="M52">
        <f>IFERROR(VLOOKUP(all_lmics181920[[Setting]:[Setting]],prev[],6,FALSE),0)</f>
        <v>0</v>
      </c>
      <c r="N52">
        <f>MIN(IFERROR(VLOOKUP(all_lmics181920[[Setting]:[Setting]],SBA[],4,FALSE),VLOOKUP(all_lmics181920[[who_choice_region]:[who_choice_region]],missing[],6,FALSE))*1.05, 0.9999)</f>
        <v>0.99990000000000001</v>
      </c>
      <c r="O52">
        <f>MIN(IFERROR(VLOOKUP(all_lmics181920[[Setting]:[Setting]], facility[], 3,FALSE),VLOOKUP(all_lmics181920[[who_choice_region]:[who_choice_region]],missing[],7,FALSE))*1.05, 0.9999)</f>
        <v>0.99990000000000001</v>
      </c>
      <c r="P52">
        <f>IF(VLOOKUP(all_lmics181920[[Setting]:[Setting]],all_cause_mort[],4,FALSE)="",VLOOKUP(all_lmics181920[[who_choice_region]:[who_choice_region]],missing[],8,FALSE),VLOOKUP(all_lmics181920[[Setting]:[Setting]],all_cause_mort[],4,FALSE))*1.05</f>
        <v>1.2780109291645556E-2</v>
      </c>
      <c r="Q52">
        <f>IF(VLOOKUP(all_lmics181920[[Setting]:[Setting]],all_cause_mort[],5,FALSE)="",VLOOKUP(all_lmics181920[[who_choice_region]:[who_choice_region]],missing[],9,FALSE),VLOOKUP(all_lmics181920[[Setting]:[Setting]],all_cause_mort[],5,FALSE))*1.05</f>
        <v>7.1786871319156546E-4</v>
      </c>
      <c r="R52">
        <f>IF(VLOOKUP(all_lmics181920[[Setting]:[Setting]],all_cause_mort[],6,FALSE)="",VLOOKUP(all_lmics181920[[who_choice_region]:[who_choice_region]],missing[],10,FALSE),VLOOKUP(all_lmics181920[[Setting]:[Setting]],all_cause_mort[],6,FALSE))*1.05</f>
        <v>4.0767642011616217E-4</v>
      </c>
      <c r="S52">
        <f>IF(VLOOKUP(all_lmics181920[[Setting]:[Setting]],all_cause_mort[],7,FALSE)="",VLOOKUP(all_lmics181920[[who_choice_region]:[who_choice_region]],missing[],11,FALSE),VLOOKUP(all_lmics181920[[Setting]:[Setting]],all_cause_mort[],7,FALSE))*1.05</f>
        <v>3.2205796455142674E-4</v>
      </c>
      <c r="T52">
        <f>IF(VLOOKUP(all_lmics181920[[Setting]:[Setting]],all_cause_mort[],8,FALSE)="",VLOOKUP(all_lmics181920[[who_choice_region]:[who_choice_region]],missing[],12,FALSE),VLOOKUP(all_lmics181920[[Setting]:[Setting]],all_cause_mort[],8,FALSE))*1.05</f>
        <v>5.1717609361841266E-4</v>
      </c>
      <c r="U52">
        <f>IF(VLOOKUP(all_lmics181920[[Setting]:[Setting]],all_cause_mort[],9,FALSE)="",VLOOKUP(all_lmics181920[[who_choice_region]:[who_choice_region]],missing[],13,FALSE),VLOOKUP(all_lmics181920[[Setting]:[Setting]],all_cause_mort[],9,FALSE))*1.05</f>
        <v>7.2047008642704062E-4</v>
      </c>
      <c r="V52">
        <f>IF(VLOOKUP(all_lmics181920[[Setting]:[Setting]],all_cause_mort[],10,FALSE)="",VLOOKUP(all_lmics181920[[who_choice_region]:[who_choice_region]],missing[],14,FALSE),VLOOKUP(all_lmics181920[[Setting]:[Setting]],all_cause_mort[],10,FALSE))*1.05</f>
        <v>8.9773041914274104E-4</v>
      </c>
      <c r="W52">
        <f>IF(VLOOKUP(all_lmics181920[[Setting]:[Setting]],all_cause_mort[],11,FALSE)="",VLOOKUP(all_lmics181920[[who_choice_region]:[who_choice_region]],missing[],15,FALSE),VLOOKUP(all_lmics181920[[Setting]:[Setting]],all_cause_mort[],11,FALSE))*1.05</f>
        <v>1.117932677212313E-3</v>
      </c>
      <c r="X52">
        <f>IF(VLOOKUP(all_lmics181920[[Setting]:[Setting]],all_cause_mort[],12,FALSE)="",VLOOKUP(all_lmics181920[[who_choice_region]:[who_choice_region]],missing[],16,FALSE),VLOOKUP(all_lmics181920[[Setting]:[Setting]],all_cause_mort[],12,FALSE))*1.05</f>
        <v>1.4391494293269772E-3</v>
      </c>
      <c r="Y52">
        <f>IF(VLOOKUP(all_lmics181920[[Setting]:[Setting]],all_cause_mort[],13,FALSE)="",VLOOKUP(all_lmics181920[[who_choice_region]:[who_choice_region]],missing[],17,FALSE),VLOOKUP(all_lmics181920[[Setting]:[Setting]],all_cause_mort[],13,FALSE))*1.05</f>
        <v>2.030563961456885E-3</v>
      </c>
      <c r="Z52">
        <f>IF(VLOOKUP(all_lmics181920[[Setting]:[Setting]],all_cause_mort[],14,FALSE)="",VLOOKUP(all_lmics181920[[who_choice_region]:[who_choice_region]],missing[],18,FALSE),VLOOKUP(all_lmics181920[[Setting]:[Setting]],all_cause_mort[],14,FALSE))*1.05</f>
        <v>2.98716710615395E-3</v>
      </c>
      <c r="AA52">
        <f>IF(VLOOKUP(all_lmics181920[[Setting]:[Setting]],all_cause_mort[],15,FALSE)="",VLOOKUP(all_lmics181920[[who_choice_region]:[who_choice_region]],missing[],19,FALSE),VLOOKUP(all_lmics181920[[Setting]:[Setting]],all_cause_mort[],15,FALSE))*1.05</f>
        <v>4.7667121398962051E-3</v>
      </c>
      <c r="AB52">
        <f>IF(VLOOKUP(all_lmics181920[[Setting]:[Setting]],all_cause_mort[],16,FALSE)="",VLOOKUP(all_lmics181920[[who_choice_region]:[who_choice_region]],missing[],20,FALSE),VLOOKUP(all_lmics181920[[Setting]:[Setting]],all_cause_mort[],16,FALSE))*1.05</f>
        <v>7.6571256051219394E-3</v>
      </c>
      <c r="AC52">
        <f>IF(VLOOKUP(all_lmics181920[[Setting]:[Setting]],all_cause_mort[],17,FALSE)="",VLOOKUP(all_lmics181920[[who_choice_region]:[who_choice_region]],missing[],21,FALSE),VLOOKUP(all_lmics181920[[Setting]:[Setting]],all_cause_mort[],17,FALSE))*1.05</f>
        <v>1.3051511733110725E-2</v>
      </c>
      <c r="AD52">
        <f>IF(VLOOKUP(all_lmics181920[[Setting]:[Setting]],all_cause_mort[],18,FALSE)="",VLOOKUP(all_lmics181920[[who_choice_region]:[who_choice_region]],missing[],22,FALSE),VLOOKUP(all_lmics181920[[Setting]:[Setting]],all_cause_mort[],18,FALSE))*1.05</f>
        <v>2.2286484744731251E-2</v>
      </c>
      <c r="AE52">
        <f>IF(VLOOKUP(all_lmics181920[[Setting]:[Setting]],all_cause_mort[],19,FALSE)="",VLOOKUP(all_lmics181920[[who_choice_region]:[who_choice_region]],missing[],23,FALSE),VLOOKUP(all_lmics181920[[Setting]:[Setting]],all_cause_mort[],19,FALSE))*1.05</f>
        <v>3.8955943544534181E-2</v>
      </c>
      <c r="AF52">
        <f>IF(VLOOKUP(all_lmics181920[[Setting]:[Setting]],all_cause_mort[],20,FALSE)="",VLOOKUP(all_lmics181920[[who_choice_region]:[who_choice_region]],missing[],24,FALSE),VLOOKUP(all_lmics181920[[Setting]:[Setting]],all_cause_mort[],20,FALSE))*1.05</f>
        <v>6.4581156102482717E-2</v>
      </c>
      <c r="AG52">
        <f>IF(VLOOKUP(all_lmics181920[[Setting]:[Setting]],all_cause_mort[],21,FALSE)="",VLOOKUP(all_lmics181920[[who_choice_region]:[who_choice_region]],missing[],25,FALSE),VLOOKUP(all_lmics181920[[Setting]:[Setting]],all_cause_mort[],21,FALSE))*1.05</f>
        <v>9.9613858280717379E-2</v>
      </c>
      <c r="AH52">
        <f>IF(VLOOKUP(all_lmics181920[[Setting]:[Setting]],all_cause_mort[],22,FALSE)="",VLOOKUP(all_lmics181920[[who_choice_region]:[who_choice_region]],missing[],26,FALSE),VLOOKUP(all_lmics181920[[Setting]:[Setting]],all_cause_mort[],22,FALSE))*1.05</f>
        <v>0.15428315676659168</v>
      </c>
      <c r="AI52">
        <f>IF(VLOOKUP(all_lmics181920[[Setting]:[Setting]],all_cause_mort[],23,FALSE)="",VLOOKUP(all_lmics181920[[who_choice_region]:[who_choice_region]],missing[],27,FALSE),VLOOKUP(all_lmics181920[[Setting]:[Setting]],all_cause_mort[],23,FALSE))*1.05</f>
        <v>0.22106963264277682</v>
      </c>
      <c r="AJ52">
        <f>IF(VLOOKUP(all_lmics181920[[Setting]:[Setting]],all_cause_mort[],24,FALSE)="",VLOOKUP(all_lmics181920[[who_choice_region]:[who_choice_region]],missing[],28,FALSE),VLOOKUP(all_lmics181920[[Setting]:[Setting]],all_cause_mort[],24,FALSE))*1.05</f>
        <v>0.30198726062109904</v>
      </c>
      <c r="AK52">
        <f>IF(VLOOKUP(all_lmics181920[[Setting]:[Setting]],all_cause_mort[],25,FALSE)="",VLOOKUP(all_lmics181920[[who_choice_region]:[who_choice_region]],missing[],29,FALSE),VLOOKUP(all_lmics181920[[Setting]:[Setting]],all_cause_mort[],25,FALSE))*1.05</f>
        <v>0.38020281187174959</v>
      </c>
      <c r="AL52">
        <f>VLOOKUP(all_lmics181920[[worldbank_region]:[worldbank_region]],Table13[],2,FALSE)*1.05</f>
        <v>76.717604249999994</v>
      </c>
      <c r="AM52">
        <f>VLOOKUP(all_lmics181920[[worldbank_region]:[worldbank_region]],Table13[],3,FALSE)*1.05</f>
        <v>76.717604249999994</v>
      </c>
      <c r="AN52">
        <f>VLOOKUP(all_lmics181920[[worldbank_region]:[worldbank_region]],Table13[],4,FALSE)*1.05</f>
        <v>126.83290724999999</v>
      </c>
      <c r="AO52">
        <f>VLOOKUP(all_lmics181920[[worldbank_region]:[worldbank_region]],Table13[],5,FALSE)*1.05</f>
        <v>126.83290724999999</v>
      </c>
      <c r="AP52">
        <f>VLOOKUP(all_lmics181920[[worldbank_region]:[worldbank_region]],Table13[],6,FALSE)*1.05</f>
        <v>126.83290724999999</v>
      </c>
      <c r="AQ52">
        <f>VLOOKUP(all_lmics181920[[worldbank_region]:[worldbank_region]],Table14[],2,FALSE)*1.05</f>
        <v>1.4073045</v>
      </c>
      <c r="AR52">
        <f>VLOOKUP(all_lmics181920[[worldbank_region]:[worldbank_region]],Table14[],3,FALSE)*1.05</f>
        <v>2.0556795000000001</v>
      </c>
      <c r="AS52">
        <f>VLOOKUP(all_lmics181920[[worldbank_region]:[worldbank_region]],Table14[],4,FALSE)*1.05</f>
        <v>2.0709317999999999</v>
      </c>
      <c r="AT52">
        <f>VLOOKUP(all_lmics181920[[worldbank_region]:[worldbank_region]],Table14[],5,FALSE)*1.05</f>
        <v>2.7193068</v>
      </c>
      <c r="AU52">
        <f>VLOOKUP(all_lmics181920[[worldbank_region]:[worldbank_region]],Table14[],6,FALSE)*1.05</f>
        <v>3.3180714</v>
      </c>
      <c r="AV52">
        <f>MIN(IFERROR(VLOOKUP(all_lmics181920[[Setting]:[Setting]],nFacSBA[],4,FALSE),VLOOKUP(all_lmics181920[[who_choice_region]:[who_choice_region]],missing[],30,FALSE))*1.05, 0.9999)</f>
        <v>0.16784953724039575</v>
      </c>
      <c r="AW52">
        <f>VLOOKUP(all_lmics181920[[worldbank_region]:[worldbank_region]],hbe[],4)</f>
        <v>0.5</v>
      </c>
      <c r="AX52">
        <f>VLOOKUP(all_lmics181920[[worldbank_region]:[worldbank_region]],hbe[],7)</f>
        <v>1</v>
      </c>
      <c r="AY52">
        <f>VLOOKUP(all_lmics181920[[worldbank_region]:[worldbank_region]],hbe[],10)</f>
        <v>0.25</v>
      </c>
    </row>
    <row r="53" spans="1:51" x14ac:dyDescent="0.35">
      <c r="A53" s="8" t="s">
        <v>155</v>
      </c>
      <c r="B53" s="10" t="s">
        <v>14</v>
      </c>
      <c r="C53" s="11" t="s">
        <v>15</v>
      </c>
      <c r="D53">
        <f>VLOOKUP(all_lmics181920[[Setting]:[Setting]],populations[],9,FALSE)</f>
        <v>190886311</v>
      </c>
      <c r="E53">
        <f>VLOOKUP(all_lmics181920[[Setting]:[Setting]],birthrate[],3,FALSE)</f>
        <v>3.8886999999999998E-2</v>
      </c>
      <c r="F53">
        <f>all_lmics181920[[#This Row],[2017_population]]*all_lmics181920[[#This Row],[2016_birthrate]]</f>
        <v>7422995.9758569999</v>
      </c>
      <c r="G53">
        <f>MIN(VLOOKUP(all_lmics181920[[Setting]:[Setting]],birthdose[],4,FALSE)*1.05,0.9999)</f>
        <v>0.315</v>
      </c>
      <c r="H53">
        <f>MIN(VLOOKUP(all_lmics181920[[Setting]:[Setting]],fullvax[],4,FALSE)*1.05,0.9999)</f>
        <v>0.441</v>
      </c>
      <c r="I53">
        <f>IFERROR(VLOOKUP(all_lmics181920[[Setting]:[Setting]],prev[],3,FALSE),VLOOKUP(all_lmics181920[[who_choice_region]:[who_choice_region]],missing[],2,FALSE))</f>
        <v>0.112</v>
      </c>
      <c r="J53">
        <f>IFERROR(VLOOKUP(all_lmics181920[[Setting]:[Setting]],prev[],4,FALSE),VLOOKUP(all_lmics181920[[who_choice_region]:[who_choice_region]],missing[],3,FALSE))</f>
        <v>0.10100000000000001</v>
      </c>
      <c r="K53">
        <f>IFERROR(VLOOKUP(all_lmics181920[[Setting]:[Setting]],prev[],5,FALSE),VLOOKUP(all_lmics181920[[who_choice_region]:[who_choice_region]],missing[],4,FALSE))</f>
        <v>0.128</v>
      </c>
      <c r="L53">
        <f>IFERROR(VLOOKUP(all_lmics181920[[Setting]:[Setting]],prev[],7,FALSE),VLOOKUP(all_lmics181920[[who_choice_region]:[who_choice_region]],missing[],5,FALSE))</f>
        <v>8.1632653061224497E-3</v>
      </c>
      <c r="M53">
        <f>IFERROR(VLOOKUP(all_lmics181920[[Setting]:[Setting]],prev[],6,FALSE),0)</f>
        <v>190886311</v>
      </c>
      <c r="N53">
        <f>MIN(IFERROR(VLOOKUP(all_lmics181920[[Setting]:[Setting]],SBA[],4,FALSE),VLOOKUP(all_lmics181920[[who_choice_region]:[who_choice_region]],missing[],6,FALSE))*1.05, 0.9999)</f>
        <v>0.45150000000000001</v>
      </c>
      <c r="O53">
        <f>MIN(IFERROR(VLOOKUP(all_lmics181920[[Setting]:[Setting]], facility[], 3,FALSE),VLOOKUP(all_lmics181920[[who_choice_region]:[who_choice_region]],missing[],7,FALSE))*1.05, 0.9999)</f>
        <v>0.39375000000000004</v>
      </c>
      <c r="P53">
        <f>IF(VLOOKUP(all_lmics181920[[Setting]:[Setting]],all_cause_mort[],4,FALSE)="",VLOOKUP(all_lmics181920[[who_choice_region]:[who_choice_region]],missing[],8,FALSE),VLOOKUP(all_lmics181920[[Setting]:[Setting]],all_cause_mort[],4,FALSE))*1.05</f>
        <v>6.8559559950000001E-2</v>
      </c>
      <c r="Q53">
        <f>IF(VLOOKUP(all_lmics181920[[Setting]:[Setting]],all_cause_mort[],5,FALSE)="",VLOOKUP(all_lmics181920[[who_choice_region]:[who_choice_region]],missing[],9,FALSE),VLOOKUP(all_lmics181920[[Setting]:[Setting]],all_cause_mort[],5,FALSE))*1.05</f>
        <v>1.13908116E-2</v>
      </c>
      <c r="R53">
        <f>IF(VLOOKUP(all_lmics181920[[Setting]:[Setting]],all_cause_mort[],6,FALSE)="",VLOOKUP(all_lmics181920[[who_choice_region]:[who_choice_region]],missing[],10,FALSE),VLOOKUP(all_lmics181920[[Setting]:[Setting]],all_cause_mort[],6,FALSE))*1.05</f>
        <v>6.2987295000000009E-3</v>
      </c>
      <c r="S53">
        <f>IF(VLOOKUP(all_lmics181920[[Setting]:[Setting]],all_cause_mort[],7,FALSE)="",VLOOKUP(all_lmics181920[[who_choice_region]:[who_choice_region]],missing[],11,FALSE),VLOOKUP(all_lmics181920[[Setting]:[Setting]],all_cause_mort[],7,FALSE))*1.05</f>
        <v>3.4044957450000001E-3</v>
      </c>
      <c r="T53">
        <f>IF(VLOOKUP(all_lmics181920[[Setting]:[Setting]],all_cause_mort[],8,FALSE)="",VLOOKUP(all_lmics181920[[who_choice_region]:[who_choice_region]],missing[],12,FALSE),VLOOKUP(all_lmics181920[[Setting]:[Setting]],all_cause_mort[],8,FALSE))*1.05</f>
        <v>5.380485495000001E-3</v>
      </c>
      <c r="U53">
        <f>IF(VLOOKUP(all_lmics181920[[Setting]:[Setting]],all_cause_mort[],9,FALSE)="",VLOOKUP(all_lmics181920[[who_choice_region]:[who_choice_region]],missing[],13,FALSE),VLOOKUP(all_lmics181920[[Setting]:[Setting]],all_cause_mort[],9,FALSE))*1.05</f>
        <v>6.5089246949999995E-3</v>
      </c>
      <c r="V53">
        <f>IF(VLOOKUP(all_lmics181920[[Setting]:[Setting]],all_cause_mort[],10,FALSE)="",VLOOKUP(all_lmics181920[[who_choice_region]:[who_choice_region]],missing[],14,FALSE),VLOOKUP(all_lmics181920[[Setting]:[Setting]],all_cause_mort[],10,FALSE))*1.05</f>
        <v>7.1699930400000002E-3</v>
      </c>
      <c r="W53">
        <f>IF(VLOOKUP(all_lmics181920[[Setting]:[Setting]],all_cause_mort[],11,FALSE)="",VLOOKUP(all_lmics181920[[who_choice_region]:[who_choice_region]],missing[],15,FALSE),VLOOKUP(all_lmics181920[[Setting]:[Setting]],all_cause_mort[],11,FALSE))*1.05</f>
        <v>7.5175338000000001E-3</v>
      </c>
      <c r="X53">
        <f>IF(VLOOKUP(all_lmics181920[[Setting]:[Setting]],all_cause_mort[],12,FALSE)="",VLOOKUP(all_lmics181920[[who_choice_region]:[who_choice_region]],missing[],16,FALSE),VLOOKUP(all_lmics181920[[Setting]:[Setting]],all_cause_mort[],12,FALSE))*1.05</f>
        <v>8.2438689900000018E-3</v>
      </c>
      <c r="Y53">
        <f>IF(VLOOKUP(all_lmics181920[[Setting]:[Setting]],all_cause_mort[],13,FALSE)="",VLOOKUP(all_lmics181920[[who_choice_region]:[who_choice_region]],missing[],17,FALSE),VLOOKUP(all_lmics181920[[Setting]:[Setting]],all_cause_mort[],13,FALSE))*1.05</f>
        <v>9.3899649899999993E-3</v>
      </c>
      <c r="Z53">
        <f>IF(VLOOKUP(all_lmics181920[[Setting]:[Setting]],all_cause_mort[],14,FALSE)="",VLOOKUP(all_lmics181920[[who_choice_region]:[who_choice_region]],missing[],18,FALSE),VLOOKUP(all_lmics181920[[Setting]:[Setting]],all_cause_mort[],14,FALSE))*1.05</f>
        <v>1.09075071E-2</v>
      </c>
      <c r="AA53">
        <f>IF(VLOOKUP(all_lmics181920[[Setting]:[Setting]],all_cause_mort[],15,FALSE)="",VLOOKUP(all_lmics181920[[who_choice_region]:[who_choice_region]],missing[],19,FALSE),VLOOKUP(all_lmics181920[[Setting]:[Setting]],all_cause_mort[],15,FALSE))*1.05</f>
        <v>1.4516194350000001E-2</v>
      </c>
      <c r="AB53">
        <f>IF(VLOOKUP(all_lmics181920[[Setting]:[Setting]],all_cause_mort[],16,FALSE)="",VLOOKUP(all_lmics181920[[who_choice_region]:[who_choice_region]],missing[],20,FALSE),VLOOKUP(all_lmics181920[[Setting]:[Setting]],all_cause_mort[],16,FALSE))*1.05</f>
        <v>2.01042198E-2</v>
      </c>
      <c r="AC53">
        <f>IF(VLOOKUP(all_lmics181920[[Setting]:[Setting]],all_cause_mort[],17,FALSE)="",VLOOKUP(all_lmics181920[[who_choice_region]:[who_choice_region]],missing[],21,FALSE),VLOOKUP(all_lmics181920[[Setting]:[Setting]],all_cause_mort[],17,FALSE))*1.05</f>
        <v>3.1715241599999999E-2</v>
      </c>
      <c r="AD53">
        <f>IF(VLOOKUP(all_lmics181920[[Setting]:[Setting]],all_cause_mort[],18,FALSE)="",VLOOKUP(all_lmics181920[[who_choice_region]:[who_choice_region]],missing[],22,FALSE),VLOOKUP(all_lmics181920[[Setting]:[Setting]],all_cause_mort[],18,FALSE))*1.05</f>
        <v>4.9577706149999998E-2</v>
      </c>
      <c r="AE53">
        <f>IF(VLOOKUP(all_lmics181920[[Setting]:[Setting]],all_cause_mort[],19,FALSE)="",VLOOKUP(all_lmics181920[[who_choice_region]:[who_choice_region]],missing[],23,FALSE),VLOOKUP(all_lmics181920[[Setting]:[Setting]],all_cause_mort[],19,FALSE))*1.05</f>
        <v>8.2257758100000009E-2</v>
      </c>
      <c r="AF53">
        <f>IF(VLOOKUP(all_lmics181920[[Setting]:[Setting]],all_cause_mort[],20,FALSE)="",VLOOKUP(all_lmics181920[[who_choice_region]:[who_choice_region]],missing[],24,FALSE),VLOOKUP(all_lmics181920[[Setting]:[Setting]],all_cause_mort[],20,FALSE))*1.05</f>
        <v>0.13539872850000001</v>
      </c>
      <c r="AG53">
        <f>IF(VLOOKUP(all_lmics181920[[Setting]:[Setting]],all_cause_mort[],21,FALSE)="",VLOOKUP(all_lmics181920[[who_choice_region]:[who_choice_region]],missing[],25,FALSE),VLOOKUP(all_lmics181920[[Setting]:[Setting]],all_cause_mort[],21,FALSE))*1.05</f>
        <v>0.21908154450000003</v>
      </c>
      <c r="AH53">
        <f>IF(VLOOKUP(all_lmics181920[[Setting]:[Setting]],all_cause_mort[],22,FALSE)="",VLOOKUP(all_lmics181920[[who_choice_region]:[who_choice_region]],missing[],26,FALSE),VLOOKUP(all_lmics181920[[Setting]:[Setting]],all_cause_mort[],22,FALSE))*1.05</f>
        <v>0.33283544700000006</v>
      </c>
      <c r="AI53">
        <f>IF(VLOOKUP(all_lmics181920[[Setting]:[Setting]],all_cause_mort[],23,FALSE)="",VLOOKUP(all_lmics181920[[who_choice_region]:[who_choice_region]],missing[],27,FALSE),VLOOKUP(all_lmics181920[[Setting]:[Setting]],all_cause_mort[],23,FALSE))*1.05</f>
        <v>0.47860351350000002</v>
      </c>
      <c r="AJ53">
        <f>IF(VLOOKUP(all_lmics181920[[Setting]:[Setting]],all_cause_mort[],24,FALSE)="",VLOOKUP(all_lmics181920[[who_choice_region]:[who_choice_region]],missing[],28,FALSE),VLOOKUP(all_lmics181920[[Setting]:[Setting]],all_cause_mort[],24,FALSE))*1.05</f>
        <v>0.57818359200000002</v>
      </c>
      <c r="AK53">
        <f>IF(VLOOKUP(all_lmics181920[[Setting]:[Setting]],all_cause_mort[],25,FALSE)="",VLOOKUP(all_lmics181920[[who_choice_region]:[who_choice_region]],missing[],29,FALSE),VLOOKUP(all_lmics181920[[Setting]:[Setting]],all_cause_mort[],25,FALSE))*1.05</f>
        <v>0.69766245867678778</v>
      </c>
      <c r="AL53">
        <f>VLOOKUP(all_lmics181920[[worldbank_region]:[worldbank_region]],Table13[],2,FALSE)*1.05</f>
        <v>31.40787825</v>
      </c>
      <c r="AM53">
        <f>VLOOKUP(all_lmics181920[[worldbank_region]:[worldbank_region]],Table13[],3,FALSE)*1.05</f>
        <v>31.40787825</v>
      </c>
      <c r="AN53">
        <f>VLOOKUP(all_lmics181920[[worldbank_region]:[worldbank_region]],Table13[],4,FALSE)*1.05</f>
        <v>81.523181249999993</v>
      </c>
      <c r="AO53">
        <f>VLOOKUP(all_lmics181920[[worldbank_region]:[worldbank_region]],Table13[],5,FALSE)*1.05</f>
        <v>81.523181249999993</v>
      </c>
      <c r="AP53">
        <f>VLOOKUP(all_lmics181920[[worldbank_region]:[worldbank_region]],Table13[],6,FALSE)*1.05</f>
        <v>81.523181249999993</v>
      </c>
      <c r="AQ53">
        <f>VLOOKUP(all_lmics181920[[worldbank_region]:[worldbank_region]],Table14[],2,FALSE)*1.05</f>
        <v>1.0182816000000001</v>
      </c>
      <c r="AR53">
        <f>VLOOKUP(all_lmics181920[[worldbank_region]:[worldbank_region]],Table14[],3,FALSE)*1.05</f>
        <v>1.6666566000000003</v>
      </c>
      <c r="AS53">
        <f>VLOOKUP(all_lmics181920[[worldbank_region]:[worldbank_region]],Table14[],4,FALSE)*1.05</f>
        <v>6.08702115</v>
      </c>
      <c r="AT53">
        <f>VLOOKUP(all_lmics181920[[worldbank_region]:[worldbank_region]],Table14[],5,FALSE)*1.05</f>
        <v>6.7353961499999997</v>
      </c>
      <c r="AU53">
        <f>VLOOKUP(all_lmics181920[[worldbank_region]:[worldbank_region]],Table14[],6,FALSE)*1.05</f>
        <v>7.3341607499999997</v>
      </c>
      <c r="AV53">
        <f>MIN(IFERROR(VLOOKUP(all_lmics181920[[Setting]:[Setting]],nFacSBA[],4,FALSE),VLOOKUP(all_lmics181920[[who_choice_region]:[who_choice_region]],missing[],30,FALSE))*1.05, 0.9999)</f>
        <v>6.7713873560848667E-2</v>
      </c>
      <c r="AW53">
        <f>VLOOKUP(all_lmics181920[[worldbank_region]:[worldbank_region]],hbe[],4)</f>
        <v>0.5</v>
      </c>
      <c r="AX53">
        <f>VLOOKUP(all_lmics181920[[worldbank_region]:[worldbank_region]],hbe[],7)</f>
        <v>1</v>
      </c>
      <c r="AY53">
        <f>VLOOKUP(all_lmics181920[[worldbank_region]:[worldbank_region]],hbe[],10)</f>
        <v>0.25</v>
      </c>
    </row>
    <row r="54" spans="1:51" x14ac:dyDescent="0.35">
      <c r="A54" s="12" t="s">
        <v>156</v>
      </c>
      <c r="B54" s="13" t="s">
        <v>57</v>
      </c>
      <c r="C54" s="14" t="s">
        <v>58</v>
      </c>
      <c r="D54">
        <f>VLOOKUP(all_lmics181920[[Setting]:[Setting]],populations[],9,FALSE)</f>
        <v>1627</v>
      </c>
      <c r="E54">
        <f>VLOOKUP(all_lmics181920[[Setting]:[Setting]],birthrate[],3,FALSE)</f>
        <v>1.584E-2</v>
      </c>
      <c r="F54">
        <f>all_lmics181920[[#This Row],[2017_population]]*all_lmics181920[[#This Row],[2016_birthrate]]</f>
        <v>25.77168</v>
      </c>
      <c r="G54">
        <f>MIN(VLOOKUP(all_lmics181920[[Setting]:[Setting]],birthdose[],4,FALSE)*1.05,0.9999)</f>
        <v>0.88200000000000001</v>
      </c>
      <c r="H54">
        <f>MIN(VLOOKUP(all_lmics181920[[Setting]:[Setting]],fullvax[],4,FALSE)*1.05,0.9999)</f>
        <v>0.99990000000000001</v>
      </c>
      <c r="I54">
        <f>IFERROR(VLOOKUP(all_lmics181920[[Setting]:[Setting]],prev[],3,FALSE),VLOOKUP(all_lmics181920[[who_choice_region]:[who_choice_region]],missing[],2,FALSE))</f>
        <v>0.1186</v>
      </c>
      <c r="J54">
        <f>IFERROR(VLOOKUP(all_lmics181920[[Setting]:[Setting]],prev[],4,FALSE),VLOOKUP(all_lmics181920[[who_choice_region]:[who_choice_region]],missing[],3,FALSE))</f>
        <v>0.1011</v>
      </c>
      <c r="K54">
        <f>IFERROR(VLOOKUP(all_lmics181920[[Setting]:[Setting]],prev[],5,FALSE),VLOOKUP(all_lmics181920[[who_choice_region]:[who_choice_region]],missing[],4,FALSE))</f>
        <v>0.1386</v>
      </c>
      <c r="L54">
        <f>IFERROR(VLOOKUP(all_lmics181920[[Setting]:[Setting]],prev[],7,FALSE),VLOOKUP(all_lmics181920[[who_choice_region]:[who_choice_region]],missing[],5,FALSE))</f>
        <v>1.0204081632653064E-2</v>
      </c>
      <c r="M54">
        <f>IFERROR(VLOOKUP(all_lmics181920[[Setting]:[Setting]],prev[],6,FALSE),0)</f>
        <v>1630</v>
      </c>
      <c r="N54">
        <f>MIN(IFERROR(VLOOKUP(all_lmics181920[[Setting]:[Setting]],SBA[],4,FALSE),VLOOKUP(all_lmics181920[[who_choice_region]:[who_choice_region]],missing[],6,FALSE))*1.05, 0.9999)</f>
        <v>0.99990000000000001</v>
      </c>
      <c r="O54">
        <f>MIN(IFERROR(VLOOKUP(all_lmics181920[[Setting]:[Setting]], facility[], 3,FALSE),VLOOKUP(all_lmics181920[[who_choice_region]:[who_choice_region]],missing[],7,FALSE))*1.05, 0.9999)</f>
        <v>0.98434229041997101</v>
      </c>
      <c r="P54">
        <f>IF(VLOOKUP(all_lmics181920[[Setting]:[Setting]],all_cause_mort[],4,FALSE)="",VLOOKUP(all_lmics181920[[who_choice_region]:[who_choice_region]],missing[],8,FALSE),VLOOKUP(all_lmics181920[[Setting]:[Setting]],all_cause_mort[],4,FALSE))*1.05</f>
        <v>1.2780109291645556E-2</v>
      </c>
      <c r="Q54">
        <f>IF(VLOOKUP(all_lmics181920[[Setting]:[Setting]],all_cause_mort[],5,FALSE)="",VLOOKUP(all_lmics181920[[who_choice_region]:[who_choice_region]],missing[],9,FALSE),VLOOKUP(all_lmics181920[[Setting]:[Setting]],all_cause_mort[],5,FALSE))*1.05</f>
        <v>7.1786871319156546E-4</v>
      </c>
      <c r="R54">
        <f>IF(VLOOKUP(all_lmics181920[[Setting]:[Setting]],all_cause_mort[],6,FALSE)="",VLOOKUP(all_lmics181920[[who_choice_region]:[who_choice_region]],missing[],10,FALSE),VLOOKUP(all_lmics181920[[Setting]:[Setting]],all_cause_mort[],6,FALSE))*1.05</f>
        <v>4.0767642011616217E-4</v>
      </c>
      <c r="S54">
        <f>IF(VLOOKUP(all_lmics181920[[Setting]:[Setting]],all_cause_mort[],7,FALSE)="",VLOOKUP(all_lmics181920[[who_choice_region]:[who_choice_region]],missing[],11,FALSE),VLOOKUP(all_lmics181920[[Setting]:[Setting]],all_cause_mort[],7,FALSE))*1.05</f>
        <v>3.2205796455142674E-4</v>
      </c>
      <c r="T54">
        <f>IF(VLOOKUP(all_lmics181920[[Setting]:[Setting]],all_cause_mort[],8,FALSE)="",VLOOKUP(all_lmics181920[[who_choice_region]:[who_choice_region]],missing[],12,FALSE),VLOOKUP(all_lmics181920[[Setting]:[Setting]],all_cause_mort[],8,FALSE))*1.05</f>
        <v>5.1717609361841266E-4</v>
      </c>
      <c r="U54">
        <f>IF(VLOOKUP(all_lmics181920[[Setting]:[Setting]],all_cause_mort[],9,FALSE)="",VLOOKUP(all_lmics181920[[who_choice_region]:[who_choice_region]],missing[],13,FALSE),VLOOKUP(all_lmics181920[[Setting]:[Setting]],all_cause_mort[],9,FALSE))*1.05</f>
        <v>7.2047008642704062E-4</v>
      </c>
      <c r="V54">
        <f>IF(VLOOKUP(all_lmics181920[[Setting]:[Setting]],all_cause_mort[],10,FALSE)="",VLOOKUP(all_lmics181920[[who_choice_region]:[who_choice_region]],missing[],14,FALSE),VLOOKUP(all_lmics181920[[Setting]:[Setting]],all_cause_mort[],10,FALSE))*1.05</f>
        <v>8.9773041914274104E-4</v>
      </c>
      <c r="W54">
        <f>IF(VLOOKUP(all_lmics181920[[Setting]:[Setting]],all_cause_mort[],11,FALSE)="",VLOOKUP(all_lmics181920[[who_choice_region]:[who_choice_region]],missing[],15,FALSE),VLOOKUP(all_lmics181920[[Setting]:[Setting]],all_cause_mort[],11,FALSE))*1.05</f>
        <v>1.117932677212313E-3</v>
      </c>
      <c r="X54">
        <f>IF(VLOOKUP(all_lmics181920[[Setting]:[Setting]],all_cause_mort[],12,FALSE)="",VLOOKUP(all_lmics181920[[who_choice_region]:[who_choice_region]],missing[],16,FALSE),VLOOKUP(all_lmics181920[[Setting]:[Setting]],all_cause_mort[],12,FALSE))*1.05</f>
        <v>1.4391494293269772E-3</v>
      </c>
      <c r="Y54">
        <f>IF(VLOOKUP(all_lmics181920[[Setting]:[Setting]],all_cause_mort[],13,FALSE)="",VLOOKUP(all_lmics181920[[who_choice_region]:[who_choice_region]],missing[],17,FALSE),VLOOKUP(all_lmics181920[[Setting]:[Setting]],all_cause_mort[],13,FALSE))*1.05</f>
        <v>2.030563961456885E-3</v>
      </c>
      <c r="Z54">
        <f>IF(VLOOKUP(all_lmics181920[[Setting]:[Setting]],all_cause_mort[],14,FALSE)="",VLOOKUP(all_lmics181920[[who_choice_region]:[who_choice_region]],missing[],18,FALSE),VLOOKUP(all_lmics181920[[Setting]:[Setting]],all_cause_mort[],14,FALSE))*1.05</f>
        <v>2.98716710615395E-3</v>
      </c>
      <c r="AA54">
        <f>IF(VLOOKUP(all_lmics181920[[Setting]:[Setting]],all_cause_mort[],15,FALSE)="",VLOOKUP(all_lmics181920[[who_choice_region]:[who_choice_region]],missing[],19,FALSE),VLOOKUP(all_lmics181920[[Setting]:[Setting]],all_cause_mort[],15,FALSE))*1.05</f>
        <v>4.7667121398962051E-3</v>
      </c>
      <c r="AB54">
        <f>IF(VLOOKUP(all_lmics181920[[Setting]:[Setting]],all_cause_mort[],16,FALSE)="",VLOOKUP(all_lmics181920[[who_choice_region]:[who_choice_region]],missing[],20,FALSE),VLOOKUP(all_lmics181920[[Setting]:[Setting]],all_cause_mort[],16,FALSE))*1.05</f>
        <v>7.6571256051219394E-3</v>
      </c>
      <c r="AC54">
        <f>IF(VLOOKUP(all_lmics181920[[Setting]:[Setting]],all_cause_mort[],17,FALSE)="",VLOOKUP(all_lmics181920[[who_choice_region]:[who_choice_region]],missing[],21,FALSE),VLOOKUP(all_lmics181920[[Setting]:[Setting]],all_cause_mort[],17,FALSE))*1.05</f>
        <v>1.3051511733110725E-2</v>
      </c>
      <c r="AD54">
        <f>IF(VLOOKUP(all_lmics181920[[Setting]:[Setting]],all_cause_mort[],18,FALSE)="",VLOOKUP(all_lmics181920[[who_choice_region]:[who_choice_region]],missing[],22,FALSE),VLOOKUP(all_lmics181920[[Setting]:[Setting]],all_cause_mort[],18,FALSE))*1.05</f>
        <v>2.2286484744731251E-2</v>
      </c>
      <c r="AE54">
        <f>IF(VLOOKUP(all_lmics181920[[Setting]:[Setting]],all_cause_mort[],19,FALSE)="",VLOOKUP(all_lmics181920[[who_choice_region]:[who_choice_region]],missing[],23,FALSE),VLOOKUP(all_lmics181920[[Setting]:[Setting]],all_cause_mort[],19,FALSE))*1.05</f>
        <v>3.8955943544534181E-2</v>
      </c>
      <c r="AF54">
        <f>IF(VLOOKUP(all_lmics181920[[Setting]:[Setting]],all_cause_mort[],20,FALSE)="",VLOOKUP(all_lmics181920[[who_choice_region]:[who_choice_region]],missing[],24,FALSE),VLOOKUP(all_lmics181920[[Setting]:[Setting]],all_cause_mort[],20,FALSE))*1.05</f>
        <v>6.4581156102482717E-2</v>
      </c>
      <c r="AG54">
        <f>IF(VLOOKUP(all_lmics181920[[Setting]:[Setting]],all_cause_mort[],21,FALSE)="",VLOOKUP(all_lmics181920[[who_choice_region]:[who_choice_region]],missing[],25,FALSE),VLOOKUP(all_lmics181920[[Setting]:[Setting]],all_cause_mort[],21,FALSE))*1.05</f>
        <v>9.9613858280717379E-2</v>
      </c>
      <c r="AH54">
        <f>IF(VLOOKUP(all_lmics181920[[Setting]:[Setting]],all_cause_mort[],22,FALSE)="",VLOOKUP(all_lmics181920[[who_choice_region]:[who_choice_region]],missing[],26,FALSE),VLOOKUP(all_lmics181920[[Setting]:[Setting]],all_cause_mort[],22,FALSE))*1.05</f>
        <v>0.15428315676659168</v>
      </c>
      <c r="AI54">
        <f>IF(VLOOKUP(all_lmics181920[[Setting]:[Setting]],all_cause_mort[],23,FALSE)="",VLOOKUP(all_lmics181920[[who_choice_region]:[who_choice_region]],missing[],27,FALSE),VLOOKUP(all_lmics181920[[Setting]:[Setting]],all_cause_mort[],23,FALSE))*1.05</f>
        <v>0.22106963264277682</v>
      </c>
      <c r="AJ54">
        <f>IF(VLOOKUP(all_lmics181920[[Setting]:[Setting]],all_cause_mort[],24,FALSE)="",VLOOKUP(all_lmics181920[[who_choice_region]:[who_choice_region]],missing[],28,FALSE),VLOOKUP(all_lmics181920[[Setting]:[Setting]],all_cause_mort[],24,FALSE))*1.05</f>
        <v>0.30198726062109904</v>
      </c>
      <c r="AK54">
        <f>IF(VLOOKUP(all_lmics181920[[Setting]:[Setting]],all_cause_mort[],25,FALSE)="",VLOOKUP(all_lmics181920[[who_choice_region]:[who_choice_region]],missing[],29,FALSE),VLOOKUP(all_lmics181920[[Setting]:[Setting]],all_cause_mort[],25,FALSE))*1.05</f>
        <v>0.38020281187174959</v>
      </c>
      <c r="AL54">
        <f>VLOOKUP(all_lmics181920[[worldbank_region]:[worldbank_region]],Table13[],2,FALSE)*1.05</f>
        <v>76.717604249999994</v>
      </c>
      <c r="AM54">
        <f>VLOOKUP(all_lmics181920[[worldbank_region]:[worldbank_region]],Table13[],3,FALSE)*1.05</f>
        <v>76.717604249999994</v>
      </c>
      <c r="AN54">
        <f>VLOOKUP(all_lmics181920[[worldbank_region]:[worldbank_region]],Table13[],4,FALSE)*1.05</f>
        <v>126.83290724999999</v>
      </c>
      <c r="AO54">
        <f>VLOOKUP(all_lmics181920[[worldbank_region]:[worldbank_region]],Table13[],5,FALSE)*1.05</f>
        <v>126.83290724999999</v>
      </c>
      <c r="AP54">
        <f>VLOOKUP(all_lmics181920[[worldbank_region]:[worldbank_region]],Table13[],6,FALSE)*1.05</f>
        <v>126.83290724999999</v>
      </c>
      <c r="AQ54">
        <f>VLOOKUP(all_lmics181920[[worldbank_region]:[worldbank_region]],Table14[],2,FALSE)*1.05</f>
        <v>1.4073045</v>
      </c>
      <c r="AR54">
        <f>VLOOKUP(all_lmics181920[[worldbank_region]:[worldbank_region]],Table14[],3,FALSE)*1.05</f>
        <v>2.0556795000000001</v>
      </c>
      <c r="AS54">
        <f>VLOOKUP(all_lmics181920[[worldbank_region]:[worldbank_region]],Table14[],4,FALSE)*1.05</f>
        <v>2.0709317999999999</v>
      </c>
      <c r="AT54">
        <f>VLOOKUP(all_lmics181920[[worldbank_region]:[worldbank_region]],Table14[],5,FALSE)*1.05</f>
        <v>2.7193068</v>
      </c>
      <c r="AU54">
        <f>VLOOKUP(all_lmics181920[[worldbank_region]:[worldbank_region]],Table14[],6,FALSE)*1.05</f>
        <v>3.3180714</v>
      </c>
      <c r="AV54">
        <f>MIN(IFERROR(VLOOKUP(all_lmics181920[[Setting]:[Setting]],nFacSBA[],4,FALSE),VLOOKUP(all_lmics181920[[who_choice_region]:[who_choice_region]],missing[],30,FALSE))*1.05, 0.9999)</f>
        <v>0.16784953724039575</v>
      </c>
      <c r="AW54">
        <f>VLOOKUP(all_lmics181920[[worldbank_region]:[worldbank_region]],hbe[],4)</f>
        <v>0.5</v>
      </c>
      <c r="AX54">
        <f>VLOOKUP(all_lmics181920[[worldbank_region]:[worldbank_region]],hbe[],7)</f>
        <v>1</v>
      </c>
      <c r="AY54">
        <f>VLOOKUP(all_lmics181920[[worldbank_region]:[worldbank_region]],hbe[],10)</f>
        <v>0.25</v>
      </c>
    </row>
    <row r="55" spans="1:51" x14ac:dyDescent="0.35">
      <c r="A55" s="12" t="s">
        <v>158</v>
      </c>
      <c r="B55" s="13" t="s">
        <v>33</v>
      </c>
      <c r="C55" s="14" t="s">
        <v>7</v>
      </c>
      <c r="D55">
        <f>VLOOKUP(all_lmics181920[[Setting]:[Setting]],populations[],9,FALSE)</f>
        <v>4636262</v>
      </c>
      <c r="E55">
        <f>VLOOKUP(all_lmics181920[[Setting]:[Setting]],birthrate[],3,FALSE)</f>
        <v>1.8731999999999999E-2</v>
      </c>
      <c r="F55">
        <f>all_lmics181920[[#This Row],[2017_population]]*all_lmics181920[[#This Row],[2016_birthrate]]</f>
        <v>86846.459783999991</v>
      </c>
      <c r="G55">
        <f>MIN(VLOOKUP(all_lmics181920[[Setting]:[Setting]],birthdose[],4,FALSE)*1.05,0.9999)</f>
        <v>0.99990000000000001</v>
      </c>
      <c r="H55">
        <f>MIN(VLOOKUP(all_lmics181920[[Setting]:[Setting]],fullvax[],4,FALSE)*1.05,0.9999)</f>
        <v>0.99990000000000001</v>
      </c>
      <c r="I55">
        <f>IFERROR(VLOOKUP(all_lmics181920[[Setting]:[Setting]],prev[],3,FALSE),VLOOKUP(all_lmics181920[[who_choice_region]:[who_choice_region]],missing[],2,FALSE))</f>
        <v>2.5000000000000001E-2</v>
      </c>
      <c r="J55">
        <f>IFERROR(VLOOKUP(all_lmics181920[[Setting]:[Setting]],prev[],4,FALSE),VLOOKUP(all_lmics181920[[who_choice_region]:[who_choice_region]],missing[],3,FALSE))</f>
        <v>2.1000000000000001E-2</v>
      </c>
      <c r="K55">
        <f>IFERROR(VLOOKUP(all_lmics181920[[Setting]:[Setting]],prev[],5,FALSE),VLOOKUP(all_lmics181920[[who_choice_region]:[who_choice_region]],missing[],4,FALSE))</f>
        <v>2.9000000000000001E-2</v>
      </c>
      <c r="L55">
        <f>IFERROR(VLOOKUP(all_lmics181920[[Setting]:[Setting]],prev[],7,FALSE),VLOOKUP(all_lmics181920[[who_choice_region]:[who_choice_region]],missing[],5,FALSE))</f>
        <v>2.0408163265306124E-3</v>
      </c>
      <c r="M55">
        <f>IFERROR(VLOOKUP(all_lmics181920[[Setting]:[Setting]],prev[],6,FALSE),0)</f>
        <v>4636262</v>
      </c>
      <c r="N55">
        <f>MIN(IFERROR(VLOOKUP(all_lmics181920[[Setting]:[Setting]],SBA[],4,FALSE),VLOOKUP(all_lmics181920[[who_choice_region]:[who_choice_region]],missing[],6,FALSE))*1.05, 0.9999)</f>
        <v>0.99990000000000001</v>
      </c>
      <c r="O55">
        <f>MIN(IFERROR(VLOOKUP(all_lmics181920[[Setting]:[Setting]], facility[], 3,FALSE),VLOOKUP(all_lmics181920[[who_choice_region]:[who_choice_region]],missing[],7,FALSE))*1.05, 0.9999)</f>
        <v>0.99990000000000001</v>
      </c>
      <c r="P55">
        <f>IF(VLOOKUP(all_lmics181920[[Setting]:[Setting]],all_cause_mort[],4,FALSE)="",VLOOKUP(all_lmics181920[[who_choice_region]:[who_choice_region]],missing[],8,FALSE),VLOOKUP(all_lmics181920[[Setting]:[Setting]],all_cause_mort[],4,FALSE))*1.05</f>
        <v>7.6933464300000002E-3</v>
      </c>
      <c r="Q55">
        <f>IF(VLOOKUP(all_lmics181920[[Setting]:[Setting]],all_cause_mort[],5,FALSE)="",VLOOKUP(all_lmics181920[[who_choice_region]:[who_choice_region]],missing[],9,FALSE),VLOOKUP(all_lmics181920[[Setting]:[Setting]],all_cause_mort[],5,FALSE))*1.05</f>
        <v>2.9749873649999997E-4</v>
      </c>
      <c r="R55">
        <f>IF(VLOOKUP(all_lmics181920[[Setting]:[Setting]],all_cause_mort[],6,FALSE)="",VLOOKUP(all_lmics181920[[who_choice_region]:[who_choice_region]],missing[],10,FALSE),VLOOKUP(all_lmics181920[[Setting]:[Setting]],all_cause_mort[],6,FALSE))*1.05</f>
        <v>2.2650801600000001E-4</v>
      </c>
      <c r="S55">
        <f>IF(VLOOKUP(all_lmics181920[[Setting]:[Setting]],all_cause_mort[],7,FALSE)="",VLOOKUP(all_lmics181920[[who_choice_region]:[who_choice_region]],missing[],11,FALSE),VLOOKUP(all_lmics181920[[Setting]:[Setting]],all_cause_mort[],7,FALSE))*1.05</f>
        <v>2.5168137749999997E-4</v>
      </c>
      <c r="T55">
        <f>IF(VLOOKUP(all_lmics181920[[Setting]:[Setting]],all_cause_mort[],8,FALSE)="",VLOOKUP(all_lmics181920[[who_choice_region]:[who_choice_region]],missing[],12,FALSE),VLOOKUP(all_lmics181920[[Setting]:[Setting]],all_cause_mort[],8,FALSE))*1.05</f>
        <v>5.0151545850000002E-4</v>
      </c>
      <c r="U55">
        <f>IF(VLOOKUP(all_lmics181920[[Setting]:[Setting]],all_cause_mort[],9,FALSE)="",VLOOKUP(all_lmics181920[[who_choice_region]:[who_choice_region]],missing[],13,FALSE),VLOOKUP(all_lmics181920[[Setting]:[Setting]],all_cause_mort[],9,FALSE))*1.05</f>
        <v>8.0132207400000007E-4</v>
      </c>
      <c r="V55">
        <f>IF(VLOOKUP(all_lmics181920[[Setting]:[Setting]],all_cause_mort[],10,FALSE)="",VLOOKUP(all_lmics181920[[who_choice_region]:[who_choice_region]],missing[],14,FALSE),VLOOKUP(all_lmics181920[[Setting]:[Setting]],all_cause_mort[],10,FALSE))*1.05</f>
        <v>8.5014140400000002E-4</v>
      </c>
      <c r="W55">
        <f>IF(VLOOKUP(all_lmics181920[[Setting]:[Setting]],all_cause_mort[],11,FALSE)="",VLOOKUP(all_lmics181920[[who_choice_region]:[who_choice_region]],missing[],15,FALSE),VLOOKUP(all_lmics181920[[Setting]:[Setting]],all_cause_mort[],11,FALSE))*1.05</f>
        <v>9.0265345800000013E-4</v>
      </c>
      <c r="X55">
        <f>IF(VLOOKUP(all_lmics181920[[Setting]:[Setting]],all_cause_mort[],12,FALSE)="",VLOOKUP(all_lmics181920[[who_choice_region]:[who_choice_region]],missing[],16,FALSE),VLOOKUP(all_lmics181920[[Setting]:[Setting]],all_cause_mort[],12,FALSE))*1.05</f>
        <v>1.0051963740000001E-3</v>
      </c>
      <c r="Y55">
        <f>IF(VLOOKUP(all_lmics181920[[Setting]:[Setting]],all_cause_mort[],13,FALSE)="",VLOOKUP(all_lmics181920[[who_choice_region]:[who_choice_region]],missing[],17,FALSE),VLOOKUP(all_lmics181920[[Setting]:[Setting]],all_cause_mort[],13,FALSE))*1.05</f>
        <v>1.50843441E-3</v>
      </c>
      <c r="Z55">
        <f>IF(VLOOKUP(all_lmics181920[[Setting]:[Setting]],all_cause_mort[],14,FALSE)="",VLOOKUP(all_lmics181920[[who_choice_region]:[who_choice_region]],missing[],18,FALSE),VLOOKUP(all_lmics181920[[Setting]:[Setting]],all_cause_mort[],14,FALSE))*1.05</f>
        <v>2.4790006499999999E-3</v>
      </c>
      <c r="AA55">
        <f>IF(VLOOKUP(all_lmics181920[[Setting]:[Setting]],all_cause_mort[],15,FALSE)="",VLOOKUP(all_lmics181920[[who_choice_region]:[who_choice_region]],missing[],19,FALSE),VLOOKUP(all_lmics181920[[Setting]:[Setting]],all_cause_mort[],15,FALSE))*1.05</f>
        <v>4.3100418900000005E-3</v>
      </c>
      <c r="AB55">
        <f>IF(VLOOKUP(all_lmics181920[[Setting]:[Setting]],all_cause_mort[],16,FALSE)="",VLOOKUP(all_lmics181920[[who_choice_region]:[who_choice_region]],missing[],20,FALSE),VLOOKUP(all_lmics181920[[Setting]:[Setting]],all_cause_mort[],16,FALSE))*1.05</f>
        <v>7.718406675E-3</v>
      </c>
      <c r="AC55">
        <f>IF(VLOOKUP(all_lmics181920[[Setting]:[Setting]],all_cause_mort[],17,FALSE)="",VLOOKUP(all_lmics181920[[who_choice_region]:[who_choice_region]],missing[],21,FALSE),VLOOKUP(all_lmics181920[[Setting]:[Setting]],all_cause_mort[],17,FALSE))*1.05</f>
        <v>1.2525313499999999E-2</v>
      </c>
      <c r="AD55">
        <f>IF(VLOOKUP(all_lmics181920[[Setting]:[Setting]],all_cause_mort[],18,FALSE)="",VLOOKUP(all_lmics181920[[who_choice_region]:[who_choice_region]],missing[],22,FALSE),VLOOKUP(all_lmics181920[[Setting]:[Setting]],all_cause_mort[],18,FALSE))*1.05</f>
        <v>2.5376737050000001E-2</v>
      </c>
      <c r="AE55">
        <f>IF(VLOOKUP(all_lmics181920[[Setting]:[Setting]],all_cause_mort[],19,FALSE)="",VLOOKUP(all_lmics181920[[who_choice_region]:[who_choice_region]],missing[],23,FALSE),VLOOKUP(all_lmics181920[[Setting]:[Setting]],all_cause_mort[],19,FALSE))*1.05</f>
        <v>3.1142846700000001E-2</v>
      </c>
      <c r="AF55">
        <f>IF(VLOOKUP(all_lmics181920[[Setting]:[Setting]],all_cause_mort[],20,FALSE)="",VLOOKUP(all_lmics181920[[who_choice_region]:[who_choice_region]],missing[],24,FALSE),VLOOKUP(all_lmics181920[[Setting]:[Setting]],all_cause_mort[],20,FALSE))*1.05</f>
        <v>5.5098933750000002E-2</v>
      </c>
      <c r="AG55">
        <f>IF(VLOOKUP(all_lmics181920[[Setting]:[Setting]],all_cause_mort[],21,FALSE)="",VLOOKUP(all_lmics181920[[who_choice_region]:[who_choice_region]],missing[],25,FALSE),VLOOKUP(all_lmics181920[[Setting]:[Setting]],all_cause_mort[],21,FALSE))*1.05</f>
        <v>8.3109870900000007E-2</v>
      </c>
      <c r="AH55">
        <f>IF(VLOOKUP(all_lmics181920[[Setting]:[Setting]],all_cause_mort[],22,FALSE)="",VLOOKUP(all_lmics181920[[who_choice_region]:[who_choice_region]],missing[],26,FALSE),VLOOKUP(all_lmics181920[[Setting]:[Setting]],all_cause_mort[],22,FALSE))*1.05</f>
        <v>0.116400984</v>
      </c>
      <c r="AI55">
        <f>IF(VLOOKUP(all_lmics181920[[Setting]:[Setting]],all_cause_mort[],23,FALSE)="",VLOOKUP(all_lmics181920[[who_choice_region]:[who_choice_region]],missing[],27,FALSE),VLOOKUP(all_lmics181920[[Setting]:[Setting]],all_cause_mort[],23,FALSE))*1.05</f>
        <v>0.15356172300000001</v>
      </c>
      <c r="AJ55">
        <f>IF(VLOOKUP(all_lmics181920[[Setting]:[Setting]],all_cause_mort[],24,FALSE)="",VLOOKUP(all_lmics181920[[who_choice_region]:[who_choice_region]],missing[],28,FALSE),VLOOKUP(all_lmics181920[[Setting]:[Setting]],all_cause_mort[],24,FALSE))*1.05</f>
        <v>0.20052585000000001</v>
      </c>
      <c r="AK55">
        <f>IF(VLOOKUP(all_lmics181920[[Setting]:[Setting]],all_cause_mort[],25,FALSE)="",VLOOKUP(all_lmics181920[[who_choice_region]:[who_choice_region]],missing[],29,FALSE),VLOOKUP(all_lmics181920[[Setting]:[Setting]],all_cause_mort[],25,FALSE))*1.05</f>
        <v>0.27168430139279837</v>
      </c>
      <c r="AL55">
        <f>VLOOKUP(all_lmics181920[[worldbank_region]:[worldbank_region]],Table13[],2,FALSE)*1.05</f>
        <v>60.801990899999993</v>
      </c>
      <c r="AM55">
        <f>VLOOKUP(all_lmics181920[[worldbank_region]:[worldbank_region]],Table13[],3,FALSE)*1.05</f>
        <v>60.801990899999993</v>
      </c>
      <c r="AN55">
        <f>VLOOKUP(all_lmics181920[[worldbank_region]:[worldbank_region]],Table13[],4,FALSE)*1.05</f>
        <v>110.91729389999999</v>
      </c>
      <c r="AO55">
        <f>VLOOKUP(all_lmics181920[[worldbank_region]:[worldbank_region]],Table13[],5,FALSE)*1.05</f>
        <v>110.91729389999999</v>
      </c>
      <c r="AP55">
        <f>VLOOKUP(all_lmics181920[[worldbank_region]:[worldbank_region]],Table13[],6,FALSE)*1.05</f>
        <v>110.91729389999999</v>
      </c>
      <c r="AQ55">
        <f>VLOOKUP(all_lmics181920[[worldbank_region]:[worldbank_region]],Table14[],2,FALSE)*1.05</f>
        <v>1.57893225</v>
      </c>
      <c r="AR55">
        <f>VLOOKUP(all_lmics181920[[worldbank_region]:[worldbank_region]],Table14[],3,FALSE)*1.05</f>
        <v>2.22730725</v>
      </c>
      <c r="AS55">
        <f>VLOOKUP(all_lmics181920[[worldbank_region]:[worldbank_region]],Table14[],4,FALSE)*1.05</f>
        <v>2.0823736500000001</v>
      </c>
      <c r="AT55">
        <f>VLOOKUP(all_lmics181920[[worldbank_region]:[worldbank_region]],Table14[],5,FALSE)*1.05</f>
        <v>2.7307486499999998</v>
      </c>
      <c r="AU55">
        <f>VLOOKUP(all_lmics181920[[worldbank_region]:[worldbank_region]],Table14[],6,FALSE)*1.05</f>
        <v>3.3295132499999998</v>
      </c>
      <c r="AV55">
        <f>MIN(IFERROR(VLOOKUP(all_lmics181920[[Setting]:[Setting]],nFacSBA[],4,FALSE),VLOOKUP(all_lmics181920[[who_choice_region]:[who_choice_region]],missing[],30,FALSE))*1.05, 0.9999)</f>
        <v>0.40722609472787386</v>
      </c>
      <c r="AW55">
        <f>VLOOKUP(all_lmics181920[[worldbank_region]:[worldbank_region]],hbe[],4)</f>
        <v>0.5</v>
      </c>
      <c r="AX55">
        <f>VLOOKUP(all_lmics181920[[worldbank_region]:[worldbank_region]],hbe[],7)</f>
        <v>1</v>
      </c>
      <c r="AY55">
        <f>VLOOKUP(all_lmics181920[[worldbank_region]:[worldbank_region]],hbe[],10)</f>
        <v>0.25</v>
      </c>
    </row>
    <row r="56" spans="1:51" x14ac:dyDescent="0.35">
      <c r="A56" s="12" t="s">
        <v>160</v>
      </c>
      <c r="B56" s="13" t="s">
        <v>57</v>
      </c>
      <c r="C56" s="14" t="s">
        <v>58</v>
      </c>
      <c r="D56">
        <f>VLOOKUP(all_lmics181920[[Setting]:[Setting]],populations[],9,FALSE)</f>
        <v>21729</v>
      </c>
      <c r="E56">
        <f>VLOOKUP(all_lmics181920[[Setting]:[Setting]],birthrate[],3,FALSE)</f>
        <v>1.2E-2</v>
      </c>
      <c r="F56">
        <f>all_lmics181920[[#This Row],[2017_population]]*all_lmics181920[[#This Row],[2016_birthrate]]</f>
        <v>260.74799999999999</v>
      </c>
      <c r="G56">
        <f>MIN(VLOOKUP(all_lmics181920[[Setting]:[Setting]],birthdose[],4,FALSE)*1.05,0.9999)</f>
        <v>0.99990000000000001</v>
      </c>
      <c r="H56">
        <f>MIN(VLOOKUP(all_lmics181920[[Setting]:[Setting]],fullvax[],4,FALSE)*1.05,0.9999)</f>
        <v>0.99990000000000001</v>
      </c>
      <c r="I56">
        <f>IFERROR(VLOOKUP(all_lmics181920[[Setting]:[Setting]],prev[],3,FALSE),VLOOKUP(all_lmics181920[[who_choice_region]:[who_choice_region]],missing[],2,FALSE))</f>
        <v>2.9399999999999999E-2</v>
      </c>
      <c r="J56">
        <f>IFERROR(VLOOKUP(all_lmics181920[[Setting]:[Setting]],prev[],4,FALSE),VLOOKUP(all_lmics181920[[who_choice_region]:[who_choice_region]],missing[],3,FALSE))</f>
        <v>4.1000000000000003E-3</v>
      </c>
      <c r="K56">
        <f>IFERROR(VLOOKUP(all_lmics181920[[Setting]:[Setting]],prev[],5,FALSE),VLOOKUP(all_lmics181920[[who_choice_region]:[who_choice_region]],missing[],4,FALSE))</f>
        <v>0.18140000000000001</v>
      </c>
      <c r="L56">
        <f>IFERROR(VLOOKUP(all_lmics181920[[Setting]:[Setting]],prev[],7,FALSE),VLOOKUP(all_lmics181920[[who_choice_region]:[who_choice_region]],missing[],5,FALSE))</f>
        <v>7.7551020408163265E-2</v>
      </c>
      <c r="M56">
        <f>IFERROR(VLOOKUP(all_lmics181920[[Setting]:[Setting]],prev[],6,FALSE),0)</f>
        <v>20470</v>
      </c>
      <c r="N56">
        <f>MIN(IFERROR(VLOOKUP(all_lmics181920[[Setting]:[Setting]],SBA[],4,FALSE),VLOOKUP(all_lmics181920[[who_choice_region]:[who_choice_region]],missing[],6,FALSE))*1.05, 0.9999)</f>
        <v>0.99990000000000001</v>
      </c>
      <c r="O56">
        <f>MIN(IFERROR(VLOOKUP(all_lmics181920[[Setting]:[Setting]], facility[], 3,FALSE),VLOOKUP(all_lmics181920[[who_choice_region]:[who_choice_region]],missing[],7,FALSE))*1.05, 0.9999)</f>
        <v>0.99990000000000001</v>
      </c>
      <c r="P56">
        <f>IF(VLOOKUP(all_lmics181920[[Setting]:[Setting]],all_cause_mort[],4,FALSE)="",VLOOKUP(all_lmics181920[[who_choice_region]:[who_choice_region]],missing[],8,FALSE),VLOOKUP(all_lmics181920[[Setting]:[Setting]],all_cause_mort[],4,FALSE))*1.05</f>
        <v>1.2780109291645556E-2</v>
      </c>
      <c r="Q56">
        <f>IF(VLOOKUP(all_lmics181920[[Setting]:[Setting]],all_cause_mort[],5,FALSE)="",VLOOKUP(all_lmics181920[[who_choice_region]:[who_choice_region]],missing[],9,FALSE),VLOOKUP(all_lmics181920[[Setting]:[Setting]],all_cause_mort[],5,FALSE))*1.05</f>
        <v>7.1786871319156546E-4</v>
      </c>
      <c r="R56">
        <f>IF(VLOOKUP(all_lmics181920[[Setting]:[Setting]],all_cause_mort[],6,FALSE)="",VLOOKUP(all_lmics181920[[who_choice_region]:[who_choice_region]],missing[],10,FALSE),VLOOKUP(all_lmics181920[[Setting]:[Setting]],all_cause_mort[],6,FALSE))*1.05</f>
        <v>4.0767642011616217E-4</v>
      </c>
      <c r="S56">
        <f>IF(VLOOKUP(all_lmics181920[[Setting]:[Setting]],all_cause_mort[],7,FALSE)="",VLOOKUP(all_lmics181920[[who_choice_region]:[who_choice_region]],missing[],11,FALSE),VLOOKUP(all_lmics181920[[Setting]:[Setting]],all_cause_mort[],7,FALSE))*1.05</f>
        <v>3.2205796455142674E-4</v>
      </c>
      <c r="T56">
        <f>IF(VLOOKUP(all_lmics181920[[Setting]:[Setting]],all_cause_mort[],8,FALSE)="",VLOOKUP(all_lmics181920[[who_choice_region]:[who_choice_region]],missing[],12,FALSE),VLOOKUP(all_lmics181920[[Setting]:[Setting]],all_cause_mort[],8,FALSE))*1.05</f>
        <v>5.1717609361841266E-4</v>
      </c>
      <c r="U56">
        <f>IF(VLOOKUP(all_lmics181920[[Setting]:[Setting]],all_cause_mort[],9,FALSE)="",VLOOKUP(all_lmics181920[[who_choice_region]:[who_choice_region]],missing[],13,FALSE),VLOOKUP(all_lmics181920[[Setting]:[Setting]],all_cause_mort[],9,FALSE))*1.05</f>
        <v>7.2047008642704062E-4</v>
      </c>
      <c r="V56">
        <f>IF(VLOOKUP(all_lmics181920[[Setting]:[Setting]],all_cause_mort[],10,FALSE)="",VLOOKUP(all_lmics181920[[who_choice_region]:[who_choice_region]],missing[],14,FALSE),VLOOKUP(all_lmics181920[[Setting]:[Setting]],all_cause_mort[],10,FALSE))*1.05</f>
        <v>8.9773041914274104E-4</v>
      </c>
      <c r="W56">
        <f>IF(VLOOKUP(all_lmics181920[[Setting]:[Setting]],all_cause_mort[],11,FALSE)="",VLOOKUP(all_lmics181920[[who_choice_region]:[who_choice_region]],missing[],15,FALSE),VLOOKUP(all_lmics181920[[Setting]:[Setting]],all_cause_mort[],11,FALSE))*1.05</f>
        <v>1.117932677212313E-3</v>
      </c>
      <c r="X56">
        <f>IF(VLOOKUP(all_lmics181920[[Setting]:[Setting]],all_cause_mort[],12,FALSE)="",VLOOKUP(all_lmics181920[[who_choice_region]:[who_choice_region]],missing[],16,FALSE),VLOOKUP(all_lmics181920[[Setting]:[Setting]],all_cause_mort[],12,FALSE))*1.05</f>
        <v>1.4391494293269772E-3</v>
      </c>
      <c r="Y56">
        <f>IF(VLOOKUP(all_lmics181920[[Setting]:[Setting]],all_cause_mort[],13,FALSE)="",VLOOKUP(all_lmics181920[[who_choice_region]:[who_choice_region]],missing[],17,FALSE),VLOOKUP(all_lmics181920[[Setting]:[Setting]],all_cause_mort[],13,FALSE))*1.05</f>
        <v>2.030563961456885E-3</v>
      </c>
      <c r="Z56">
        <f>IF(VLOOKUP(all_lmics181920[[Setting]:[Setting]],all_cause_mort[],14,FALSE)="",VLOOKUP(all_lmics181920[[who_choice_region]:[who_choice_region]],missing[],18,FALSE),VLOOKUP(all_lmics181920[[Setting]:[Setting]],all_cause_mort[],14,FALSE))*1.05</f>
        <v>2.98716710615395E-3</v>
      </c>
      <c r="AA56">
        <f>IF(VLOOKUP(all_lmics181920[[Setting]:[Setting]],all_cause_mort[],15,FALSE)="",VLOOKUP(all_lmics181920[[who_choice_region]:[who_choice_region]],missing[],19,FALSE),VLOOKUP(all_lmics181920[[Setting]:[Setting]],all_cause_mort[],15,FALSE))*1.05</f>
        <v>4.7667121398962051E-3</v>
      </c>
      <c r="AB56">
        <f>IF(VLOOKUP(all_lmics181920[[Setting]:[Setting]],all_cause_mort[],16,FALSE)="",VLOOKUP(all_lmics181920[[who_choice_region]:[who_choice_region]],missing[],20,FALSE),VLOOKUP(all_lmics181920[[Setting]:[Setting]],all_cause_mort[],16,FALSE))*1.05</f>
        <v>7.6571256051219394E-3</v>
      </c>
      <c r="AC56">
        <f>IF(VLOOKUP(all_lmics181920[[Setting]:[Setting]],all_cause_mort[],17,FALSE)="",VLOOKUP(all_lmics181920[[who_choice_region]:[who_choice_region]],missing[],21,FALSE),VLOOKUP(all_lmics181920[[Setting]:[Setting]],all_cause_mort[],17,FALSE))*1.05</f>
        <v>1.3051511733110725E-2</v>
      </c>
      <c r="AD56">
        <f>IF(VLOOKUP(all_lmics181920[[Setting]:[Setting]],all_cause_mort[],18,FALSE)="",VLOOKUP(all_lmics181920[[who_choice_region]:[who_choice_region]],missing[],22,FALSE),VLOOKUP(all_lmics181920[[Setting]:[Setting]],all_cause_mort[],18,FALSE))*1.05</f>
        <v>2.2286484744731251E-2</v>
      </c>
      <c r="AE56">
        <f>IF(VLOOKUP(all_lmics181920[[Setting]:[Setting]],all_cause_mort[],19,FALSE)="",VLOOKUP(all_lmics181920[[who_choice_region]:[who_choice_region]],missing[],23,FALSE),VLOOKUP(all_lmics181920[[Setting]:[Setting]],all_cause_mort[],19,FALSE))*1.05</f>
        <v>3.8955943544534181E-2</v>
      </c>
      <c r="AF56">
        <f>IF(VLOOKUP(all_lmics181920[[Setting]:[Setting]],all_cause_mort[],20,FALSE)="",VLOOKUP(all_lmics181920[[who_choice_region]:[who_choice_region]],missing[],24,FALSE),VLOOKUP(all_lmics181920[[Setting]:[Setting]],all_cause_mort[],20,FALSE))*1.05</f>
        <v>6.4581156102482717E-2</v>
      </c>
      <c r="AG56">
        <f>IF(VLOOKUP(all_lmics181920[[Setting]:[Setting]],all_cause_mort[],21,FALSE)="",VLOOKUP(all_lmics181920[[who_choice_region]:[who_choice_region]],missing[],25,FALSE),VLOOKUP(all_lmics181920[[Setting]:[Setting]],all_cause_mort[],21,FALSE))*1.05</f>
        <v>9.9613858280717379E-2</v>
      </c>
      <c r="AH56">
        <f>IF(VLOOKUP(all_lmics181920[[Setting]:[Setting]],all_cause_mort[],22,FALSE)="",VLOOKUP(all_lmics181920[[who_choice_region]:[who_choice_region]],missing[],26,FALSE),VLOOKUP(all_lmics181920[[Setting]:[Setting]],all_cause_mort[],22,FALSE))*1.05</f>
        <v>0.15428315676659168</v>
      </c>
      <c r="AI56">
        <f>IF(VLOOKUP(all_lmics181920[[Setting]:[Setting]],all_cause_mort[],23,FALSE)="",VLOOKUP(all_lmics181920[[who_choice_region]:[who_choice_region]],missing[],27,FALSE),VLOOKUP(all_lmics181920[[Setting]:[Setting]],all_cause_mort[],23,FALSE))*1.05</f>
        <v>0.22106963264277682</v>
      </c>
      <c r="AJ56">
        <f>IF(VLOOKUP(all_lmics181920[[Setting]:[Setting]],all_cause_mort[],24,FALSE)="",VLOOKUP(all_lmics181920[[who_choice_region]:[who_choice_region]],missing[],28,FALSE),VLOOKUP(all_lmics181920[[Setting]:[Setting]],all_cause_mort[],24,FALSE))*1.05</f>
        <v>0.30198726062109904</v>
      </c>
      <c r="AK56">
        <f>IF(VLOOKUP(all_lmics181920[[Setting]:[Setting]],all_cause_mort[],25,FALSE)="",VLOOKUP(all_lmics181920[[who_choice_region]:[who_choice_region]],missing[],29,FALSE),VLOOKUP(all_lmics181920[[Setting]:[Setting]],all_cause_mort[],25,FALSE))*1.05</f>
        <v>0.38020281187174959</v>
      </c>
      <c r="AL56">
        <f>VLOOKUP(all_lmics181920[[worldbank_region]:[worldbank_region]],Table13[],2,FALSE)*1.05</f>
        <v>76.717604249999994</v>
      </c>
      <c r="AM56">
        <f>VLOOKUP(all_lmics181920[[worldbank_region]:[worldbank_region]],Table13[],3,FALSE)*1.05</f>
        <v>76.717604249999994</v>
      </c>
      <c r="AN56">
        <f>VLOOKUP(all_lmics181920[[worldbank_region]:[worldbank_region]],Table13[],4,FALSE)*1.05</f>
        <v>126.83290724999999</v>
      </c>
      <c r="AO56">
        <f>VLOOKUP(all_lmics181920[[worldbank_region]:[worldbank_region]],Table13[],5,FALSE)*1.05</f>
        <v>126.83290724999999</v>
      </c>
      <c r="AP56">
        <f>VLOOKUP(all_lmics181920[[worldbank_region]:[worldbank_region]],Table13[],6,FALSE)*1.05</f>
        <v>126.83290724999999</v>
      </c>
      <c r="AQ56">
        <f>VLOOKUP(all_lmics181920[[worldbank_region]:[worldbank_region]],Table14[],2,FALSE)*1.05</f>
        <v>1.4073045</v>
      </c>
      <c r="AR56">
        <f>VLOOKUP(all_lmics181920[[worldbank_region]:[worldbank_region]],Table14[],3,FALSE)*1.05</f>
        <v>2.0556795000000001</v>
      </c>
      <c r="AS56">
        <f>VLOOKUP(all_lmics181920[[worldbank_region]:[worldbank_region]],Table14[],4,FALSE)*1.05</f>
        <v>2.0709317999999999</v>
      </c>
      <c r="AT56">
        <f>VLOOKUP(all_lmics181920[[worldbank_region]:[worldbank_region]],Table14[],5,FALSE)*1.05</f>
        <v>2.7193068</v>
      </c>
      <c r="AU56">
        <f>VLOOKUP(all_lmics181920[[worldbank_region]:[worldbank_region]],Table14[],6,FALSE)*1.05</f>
        <v>3.3180714</v>
      </c>
      <c r="AV56">
        <f>MIN(IFERROR(VLOOKUP(all_lmics181920[[Setting]:[Setting]],nFacSBA[],4,FALSE),VLOOKUP(all_lmics181920[[who_choice_region]:[who_choice_region]],missing[],30,FALSE))*1.05, 0.9999)</f>
        <v>0.16784953724039575</v>
      </c>
      <c r="AW56">
        <f>VLOOKUP(all_lmics181920[[worldbank_region]:[worldbank_region]],hbe[],4)</f>
        <v>0.5</v>
      </c>
      <c r="AX56">
        <f>VLOOKUP(all_lmics181920[[worldbank_region]:[worldbank_region]],hbe[],7)</f>
        <v>1</v>
      </c>
      <c r="AY56">
        <f>VLOOKUP(all_lmics181920[[worldbank_region]:[worldbank_region]],hbe[],10)</f>
        <v>0.25</v>
      </c>
    </row>
    <row r="57" spans="1:51" x14ac:dyDescent="0.35">
      <c r="A57" s="8" t="s">
        <v>161</v>
      </c>
      <c r="B57" s="10" t="s">
        <v>22</v>
      </c>
      <c r="C57" s="11" t="s">
        <v>383</v>
      </c>
      <c r="D57">
        <f>VLOOKUP(all_lmics181920[[Setting]:[Setting]],populations[],9,FALSE)</f>
        <v>4098587</v>
      </c>
      <c r="E57">
        <f>VLOOKUP(all_lmics181920[[Setting]:[Setting]],birthrate[],3,FALSE)</f>
        <v>1.9533000000000002E-2</v>
      </c>
      <c r="F57">
        <f>all_lmics181920[[#This Row],[2017_population]]*all_lmics181920[[#This Row],[2016_birthrate]]</f>
        <v>80057.699871000004</v>
      </c>
      <c r="G57">
        <f>MIN(VLOOKUP(all_lmics181920[[Setting]:[Setting]],birthdose[],4,FALSE)*1.05,0.9999)</f>
        <v>0.91349999999999998</v>
      </c>
      <c r="H57">
        <f>MIN(VLOOKUP(all_lmics181920[[Setting]:[Setting]],fullvax[],4,FALSE)*1.05,0.9999)</f>
        <v>0.85050000000000014</v>
      </c>
      <c r="I57">
        <f>IFERROR(VLOOKUP(all_lmics181920[[Setting]:[Setting]],prev[],3,FALSE),VLOOKUP(all_lmics181920[[who_choice_region]:[who_choice_region]],missing[],2,FALSE))</f>
        <v>2.1000000000000001E-2</v>
      </c>
      <c r="J57">
        <f>IFERROR(VLOOKUP(all_lmics181920[[Setting]:[Setting]],prev[],4,FALSE),VLOOKUP(all_lmics181920[[who_choice_region]:[who_choice_region]],missing[],3,FALSE))</f>
        <v>1.9E-2</v>
      </c>
      <c r="K57">
        <f>IFERROR(VLOOKUP(all_lmics181920[[Setting]:[Setting]],prev[],5,FALSE),VLOOKUP(all_lmics181920[[who_choice_region]:[who_choice_region]],missing[],4,FALSE))</f>
        <v>2.3199999999999998E-2</v>
      </c>
      <c r="L57">
        <f>IFERROR(VLOOKUP(all_lmics181920[[Setting]:[Setting]],prev[],7,FALSE),VLOOKUP(all_lmics181920[[who_choice_region]:[who_choice_region]],missing[],5,FALSE))</f>
        <v>1.1224489795918352E-3</v>
      </c>
      <c r="M57">
        <f>IFERROR(VLOOKUP(all_lmics181920[[Setting]:[Setting]],prev[],6,FALSE),0)</f>
        <v>3643222</v>
      </c>
      <c r="N57">
        <f>MIN(IFERROR(VLOOKUP(all_lmics181920[[Setting]:[Setting]],SBA[],4,FALSE),VLOOKUP(all_lmics181920[[who_choice_region]:[who_choice_region]],missing[],6,FALSE))*1.05, 0.9999)</f>
        <v>0.99329999999999996</v>
      </c>
      <c r="O57">
        <f>MIN(IFERROR(VLOOKUP(all_lmics181920[[Setting]:[Setting]], facility[], 3,FALSE),VLOOKUP(all_lmics181920[[who_choice_region]:[who_choice_region]],missing[],7,FALSE))*1.05, 0.9999)</f>
        <v>0.95760000000000012</v>
      </c>
      <c r="P57">
        <f>IF(VLOOKUP(all_lmics181920[[Setting]:[Setting]],all_cause_mort[],4,FALSE)="",VLOOKUP(all_lmics181920[[who_choice_region]:[who_choice_region]],missing[],8,FALSE),VLOOKUP(all_lmics181920[[Setting]:[Setting]],all_cause_mort[],4,FALSE))*1.05</f>
        <v>1.5032706150000002E-2</v>
      </c>
      <c r="Q57">
        <f>IF(VLOOKUP(all_lmics181920[[Setting]:[Setting]],all_cause_mort[],5,FALSE)="",VLOOKUP(all_lmics181920[[who_choice_region]:[who_choice_region]],missing[],9,FALSE),VLOOKUP(all_lmics181920[[Setting]:[Setting]],all_cause_mort[],5,FALSE))*1.05</f>
        <v>1.17273555E-3</v>
      </c>
      <c r="R57">
        <f>IF(VLOOKUP(all_lmics181920[[Setting]:[Setting]],all_cause_mort[],6,FALSE)="",VLOOKUP(all_lmics181920[[who_choice_region]:[who_choice_region]],missing[],10,FALSE),VLOOKUP(all_lmics181920[[Setting]:[Setting]],all_cause_mort[],6,FALSE))*1.05</f>
        <v>3.2196157350000004E-4</v>
      </c>
      <c r="S57">
        <f>IF(VLOOKUP(all_lmics181920[[Setting]:[Setting]],all_cause_mort[],7,FALSE)="",VLOOKUP(all_lmics181920[[who_choice_region]:[who_choice_region]],missing[],11,FALSE),VLOOKUP(all_lmics181920[[Setting]:[Setting]],all_cause_mort[],7,FALSE))*1.05</f>
        <v>4.0113785250000004E-4</v>
      </c>
      <c r="T57">
        <f>IF(VLOOKUP(all_lmics181920[[Setting]:[Setting]],all_cause_mort[],8,FALSE)="",VLOOKUP(all_lmics181920[[who_choice_region]:[who_choice_region]],missing[],12,FALSE),VLOOKUP(all_lmics181920[[Setting]:[Setting]],all_cause_mort[],8,FALSE))*1.05</f>
        <v>1.0220924385E-3</v>
      </c>
      <c r="U57">
        <f>IF(VLOOKUP(all_lmics181920[[Setting]:[Setting]],all_cause_mort[],9,FALSE)="",VLOOKUP(all_lmics181920[[who_choice_region]:[who_choice_region]],missing[],13,FALSE),VLOOKUP(all_lmics181920[[Setting]:[Setting]],all_cause_mort[],9,FALSE))*1.05</f>
        <v>1.7506646849999999E-3</v>
      </c>
      <c r="V57">
        <f>IF(VLOOKUP(all_lmics181920[[Setting]:[Setting]],all_cause_mort[],10,FALSE)="",VLOOKUP(all_lmics181920[[who_choice_region]:[who_choice_region]],missing[],14,FALSE),VLOOKUP(all_lmics181920[[Setting]:[Setting]],all_cause_mort[],10,FALSE))*1.05</f>
        <v>1.9938719849999999E-3</v>
      </c>
      <c r="W57">
        <f>IF(VLOOKUP(all_lmics181920[[Setting]:[Setting]],all_cause_mort[],11,FALSE)="",VLOOKUP(all_lmics181920[[who_choice_region]:[who_choice_region]],missing[],15,FALSE),VLOOKUP(all_lmics181920[[Setting]:[Setting]],all_cause_mort[],11,FALSE))*1.05</f>
        <v>1.9378754850000002E-3</v>
      </c>
      <c r="X57">
        <f>IF(VLOOKUP(all_lmics181920[[Setting]:[Setting]],all_cause_mort[],12,FALSE)="",VLOOKUP(all_lmics181920[[who_choice_region]:[who_choice_region]],missing[],16,FALSE),VLOOKUP(all_lmics181920[[Setting]:[Setting]],all_cause_mort[],12,FALSE))*1.05</f>
        <v>1.987681605E-3</v>
      </c>
      <c r="Y57">
        <f>IF(VLOOKUP(all_lmics181920[[Setting]:[Setting]],all_cause_mort[],13,FALSE)="",VLOOKUP(all_lmics181920[[who_choice_region]:[who_choice_region]],missing[],17,FALSE),VLOOKUP(all_lmics181920[[Setting]:[Setting]],all_cause_mort[],13,FALSE))*1.05</f>
        <v>2.3631699000000003E-3</v>
      </c>
      <c r="Z57">
        <f>IF(VLOOKUP(all_lmics181920[[Setting]:[Setting]],all_cause_mort[],14,FALSE)="",VLOOKUP(all_lmics181920[[who_choice_region]:[who_choice_region]],missing[],18,FALSE),VLOOKUP(all_lmics181920[[Setting]:[Setting]],all_cause_mort[],14,FALSE))*1.05</f>
        <v>3.163640235E-3</v>
      </c>
      <c r="AA57">
        <f>IF(VLOOKUP(all_lmics181920[[Setting]:[Setting]],all_cause_mort[],15,FALSE)="",VLOOKUP(all_lmics181920[[who_choice_region]:[who_choice_region]],missing[],19,FALSE),VLOOKUP(all_lmics181920[[Setting]:[Setting]],all_cause_mort[],15,FALSE))*1.05</f>
        <v>4.5422859299999998E-3</v>
      </c>
      <c r="AB57">
        <f>IF(VLOOKUP(all_lmics181920[[Setting]:[Setting]],all_cause_mort[],16,FALSE)="",VLOOKUP(all_lmics181920[[who_choice_region]:[who_choice_region]],missing[],20,FALSE),VLOOKUP(all_lmics181920[[Setting]:[Setting]],all_cause_mort[],16,FALSE))*1.05</f>
        <v>6.7324954200000007E-3</v>
      </c>
      <c r="AC57">
        <f>IF(VLOOKUP(all_lmics181920[[Setting]:[Setting]],all_cause_mort[],17,FALSE)="",VLOOKUP(all_lmics181920[[who_choice_region]:[who_choice_region]],missing[],21,FALSE),VLOOKUP(all_lmics181920[[Setting]:[Setting]],all_cause_mort[],17,FALSE))*1.05</f>
        <v>1.0128608385E-2</v>
      </c>
      <c r="AD57">
        <f>IF(VLOOKUP(all_lmics181920[[Setting]:[Setting]],all_cause_mort[],18,FALSE)="",VLOOKUP(all_lmics181920[[who_choice_region]:[who_choice_region]],missing[],22,FALSE),VLOOKUP(all_lmics181920[[Setting]:[Setting]],all_cause_mort[],18,FALSE))*1.05</f>
        <v>1.5372662550000001E-2</v>
      </c>
      <c r="AE57">
        <f>IF(VLOOKUP(all_lmics181920[[Setting]:[Setting]],all_cause_mort[],19,FALSE)="",VLOOKUP(all_lmics181920[[who_choice_region]:[who_choice_region]],missing[],23,FALSE),VLOOKUP(all_lmics181920[[Setting]:[Setting]],all_cause_mort[],19,FALSE))*1.05</f>
        <v>2.3458088850000003E-2</v>
      </c>
      <c r="AF57">
        <f>IF(VLOOKUP(all_lmics181920[[Setting]:[Setting]],all_cause_mort[],20,FALSE)="",VLOOKUP(all_lmics181920[[who_choice_region]:[who_choice_region]],missing[],24,FALSE),VLOOKUP(all_lmics181920[[Setting]:[Setting]],all_cause_mort[],20,FALSE))*1.05</f>
        <v>3.5854880250000006E-2</v>
      </c>
      <c r="AG57">
        <f>IF(VLOOKUP(all_lmics181920[[Setting]:[Setting]],all_cause_mort[],21,FALSE)="",VLOOKUP(all_lmics181920[[who_choice_region]:[who_choice_region]],missing[],25,FALSE),VLOOKUP(all_lmics181920[[Setting]:[Setting]],all_cause_mort[],21,FALSE))*1.05</f>
        <v>5.4797727600000005E-2</v>
      </c>
      <c r="AH57">
        <f>IF(VLOOKUP(all_lmics181920[[Setting]:[Setting]],all_cause_mort[],22,FALSE)="",VLOOKUP(all_lmics181920[[who_choice_region]:[who_choice_region]],missing[],26,FALSE),VLOOKUP(all_lmics181920[[Setting]:[Setting]],all_cause_mort[],22,FALSE))*1.05</f>
        <v>8.3691632850000003E-2</v>
      </c>
      <c r="AI57">
        <f>IF(VLOOKUP(all_lmics181920[[Setting]:[Setting]],all_cause_mort[],23,FALSE)="",VLOOKUP(all_lmics181920[[who_choice_region]:[who_choice_region]],missing[],27,FALSE),VLOOKUP(all_lmics181920[[Setting]:[Setting]],all_cause_mort[],23,FALSE))*1.05</f>
        <v>0.12725472900000001</v>
      </c>
      <c r="AJ57">
        <f>IF(VLOOKUP(all_lmics181920[[Setting]:[Setting]],all_cause_mort[],24,FALSE)="",VLOOKUP(all_lmics181920[[who_choice_region]:[who_choice_region]],missing[],28,FALSE),VLOOKUP(all_lmics181920[[Setting]:[Setting]],all_cause_mort[],24,FALSE))*1.05</f>
        <v>0.19597980150000002</v>
      </c>
      <c r="AK57">
        <f>IF(VLOOKUP(all_lmics181920[[Setting]:[Setting]],all_cause_mort[],25,FALSE)="",VLOOKUP(all_lmics181920[[who_choice_region]:[who_choice_region]],missing[],29,FALSE),VLOOKUP(all_lmics181920[[Setting]:[Setting]],all_cause_mort[],25,FALSE))*1.05</f>
        <v>0.30589588090803316</v>
      </c>
      <c r="AL57">
        <f>VLOOKUP(all_lmics181920[[worldbank_region]:[worldbank_region]],Table13[],2,FALSE)*1.05</f>
        <v>91.202986349999989</v>
      </c>
      <c r="AM57">
        <f>VLOOKUP(all_lmics181920[[worldbank_region]:[worldbank_region]],Table13[],3,FALSE)*1.05</f>
        <v>91.202986349999989</v>
      </c>
      <c r="AN57">
        <f>VLOOKUP(all_lmics181920[[worldbank_region]:[worldbank_region]],Table13[],4,FALSE)*1.05</f>
        <v>141.31828934999999</v>
      </c>
      <c r="AO57">
        <f>VLOOKUP(all_lmics181920[[worldbank_region]:[worldbank_region]],Table13[],5,FALSE)*1.05</f>
        <v>141.31828934999999</v>
      </c>
      <c r="AP57">
        <f>VLOOKUP(all_lmics181920[[worldbank_region]:[worldbank_region]],Table13[],6,FALSE)*1.05</f>
        <v>141.31828934999999</v>
      </c>
      <c r="AQ57">
        <f>VLOOKUP(all_lmics181920[[worldbank_region]:[worldbank_region]],Table14[],2,FALSE)*1.05</f>
        <v>1.5903741</v>
      </c>
      <c r="AR57">
        <f>VLOOKUP(all_lmics181920[[worldbank_region]:[worldbank_region]],Table14[],3,FALSE)*1.05</f>
        <v>2.2387491000000002</v>
      </c>
      <c r="AS57">
        <f>VLOOKUP(all_lmics181920[[worldbank_region]:[worldbank_region]],Table14[],4,FALSE)*1.05</f>
        <v>1.6132578000000002</v>
      </c>
      <c r="AT57">
        <f>VLOOKUP(all_lmics181920[[worldbank_region]:[worldbank_region]],Table14[],5,FALSE)*1.05</f>
        <v>2.2616328000000001</v>
      </c>
      <c r="AU57">
        <f>VLOOKUP(all_lmics181920[[worldbank_region]:[worldbank_region]],Table14[],6,FALSE)*1.05</f>
        <v>2.8603974000000001</v>
      </c>
      <c r="AV57">
        <f>MIN(IFERROR(VLOOKUP(all_lmics181920[[Setting]:[Setting]],nFacSBA[],4,FALSE),VLOOKUP(all_lmics181920[[who_choice_region]:[who_choice_region]],missing[],30,FALSE))*1.05, 0.9999)</f>
        <v>0.21428754022970595</v>
      </c>
      <c r="AW57">
        <f>VLOOKUP(all_lmics181920[[worldbank_region]:[worldbank_region]],hbe[],4)</f>
        <v>0.5</v>
      </c>
      <c r="AX57">
        <f>VLOOKUP(all_lmics181920[[worldbank_region]:[worldbank_region]],hbe[],7)</f>
        <v>1</v>
      </c>
      <c r="AY57">
        <f>VLOOKUP(all_lmics181920[[worldbank_region]:[worldbank_region]],hbe[],10)</f>
        <v>0.25</v>
      </c>
    </row>
    <row r="58" spans="1:51" x14ac:dyDescent="0.35">
      <c r="A58" s="12" t="s">
        <v>162</v>
      </c>
      <c r="B58" s="13" t="s">
        <v>57</v>
      </c>
      <c r="C58" s="14" t="s">
        <v>58</v>
      </c>
      <c r="D58">
        <f>VLOOKUP(all_lmics181920[[Setting]:[Setting]],populations[],9,FALSE)</f>
        <v>8251162</v>
      </c>
      <c r="E58">
        <f>VLOOKUP(all_lmics181920[[Setting]:[Setting]],birthrate[],3,FALSE)</f>
        <v>2.7606000000000002E-2</v>
      </c>
      <c r="F58">
        <f>all_lmics181920[[#This Row],[2017_population]]*all_lmics181920[[#This Row],[2016_birthrate]]</f>
        <v>227781.57817200001</v>
      </c>
      <c r="G58">
        <f>MIN(VLOOKUP(all_lmics181920[[Setting]:[Setting]],birthdose[],4,FALSE)*1.05,0.9999)</f>
        <v>0.34650000000000003</v>
      </c>
      <c r="H58">
        <f>MIN(VLOOKUP(all_lmics181920[[Setting]:[Setting]],fullvax[],4,FALSE)*1.05,0.9999)</f>
        <v>0.58800000000000008</v>
      </c>
      <c r="I58">
        <f>IFERROR(VLOOKUP(all_lmics181920[[Setting]:[Setting]],prev[],3,FALSE),VLOOKUP(all_lmics181920[[who_choice_region]:[who_choice_region]],missing[],2,FALSE))</f>
        <v>6.6000000000000003E-2</v>
      </c>
      <c r="J58">
        <f>IFERROR(VLOOKUP(all_lmics181920[[Setting]:[Setting]],prev[],4,FALSE),VLOOKUP(all_lmics181920[[who_choice_region]:[who_choice_region]],missing[],3,FALSE))</f>
        <v>0.06</v>
      </c>
      <c r="K58">
        <f>IFERROR(VLOOKUP(all_lmics181920[[Setting]:[Setting]],prev[],5,FALSE),VLOOKUP(all_lmics181920[[who_choice_region]:[who_choice_region]],missing[],4,FALSE))</f>
        <v>7.6999999999999999E-2</v>
      </c>
      <c r="L58">
        <f>IFERROR(VLOOKUP(all_lmics181920[[Setting]:[Setting]],prev[],7,FALSE),VLOOKUP(all_lmics181920[[who_choice_region]:[who_choice_region]],missing[],5,FALSE))</f>
        <v>5.6122448979591816E-3</v>
      </c>
      <c r="M58">
        <f>IFERROR(VLOOKUP(all_lmics181920[[Setting]:[Setting]],prev[],6,FALSE),0)</f>
        <v>8251162</v>
      </c>
      <c r="N58">
        <f>MIN(IFERROR(VLOOKUP(all_lmics181920[[Setting]:[Setting]],SBA[],4,FALSE),VLOOKUP(all_lmics181920[[who_choice_region]:[who_choice_region]],missing[],6,FALSE))*1.05, 0.9999)</f>
        <v>0.42000000000000004</v>
      </c>
      <c r="O58">
        <f>MIN(IFERROR(VLOOKUP(all_lmics181920[[Setting]:[Setting]], facility[], 3,FALSE),VLOOKUP(all_lmics181920[[who_choice_region]:[who_choice_region]],missing[],7,FALSE))*1.05, 0.9999)</f>
        <v>0.45150000000000001</v>
      </c>
      <c r="P58">
        <f>IF(VLOOKUP(all_lmics181920[[Setting]:[Setting]],all_cause_mort[],4,FALSE)="",VLOOKUP(all_lmics181920[[who_choice_region]:[who_choice_region]],missing[],8,FALSE),VLOOKUP(all_lmics181920[[Setting]:[Setting]],all_cause_mort[],4,FALSE))*1.05</f>
        <v>4.5650231550000003E-2</v>
      </c>
      <c r="Q58">
        <f>IF(VLOOKUP(all_lmics181920[[Setting]:[Setting]],all_cause_mort[],5,FALSE)="",VLOOKUP(all_lmics181920[[who_choice_region]:[who_choice_region]],missing[],9,FALSE),VLOOKUP(all_lmics181920[[Setting]:[Setting]],all_cause_mort[],5,FALSE))*1.05</f>
        <v>3.0533229300000004E-3</v>
      </c>
      <c r="R58">
        <f>IF(VLOOKUP(all_lmics181920[[Setting]:[Setting]],all_cause_mort[],6,FALSE)="",VLOOKUP(all_lmics181920[[who_choice_region]:[who_choice_region]],missing[],10,FALSE),VLOOKUP(all_lmics181920[[Setting]:[Setting]],all_cause_mort[],6,FALSE))*1.05</f>
        <v>1.2334036050000001E-3</v>
      </c>
      <c r="S58">
        <f>IF(VLOOKUP(all_lmics181920[[Setting]:[Setting]],all_cause_mort[],7,FALSE)="",VLOOKUP(all_lmics181920[[who_choice_region]:[who_choice_region]],missing[],11,FALSE),VLOOKUP(all_lmics181920[[Setting]:[Setting]],all_cause_mort[],7,FALSE))*1.05</f>
        <v>9.7322792699999999E-4</v>
      </c>
      <c r="T58">
        <f>IF(VLOOKUP(all_lmics181920[[Setting]:[Setting]],all_cause_mort[],8,FALSE)="",VLOOKUP(all_lmics181920[[who_choice_region]:[who_choice_region]],missing[],12,FALSE),VLOOKUP(all_lmics181920[[Setting]:[Setting]],all_cause_mort[],8,FALSE))*1.05</f>
        <v>1.7664045E-3</v>
      </c>
      <c r="U58">
        <f>IF(VLOOKUP(all_lmics181920[[Setting]:[Setting]],all_cause_mort[],9,FALSE)="",VLOOKUP(all_lmics181920[[who_choice_region]:[who_choice_region]],missing[],13,FALSE),VLOOKUP(all_lmics181920[[Setting]:[Setting]],all_cause_mort[],9,FALSE))*1.05</f>
        <v>2.3866686900000001E-3</v>
      </c>
      <c r="V58">
        <f>IF(VLOOKUP(all_lmics181920[[Setting]:[Setting]],all_cause_mort[],10,FALSE)="",VLOOKUP(all_lmics181920[[who_choice_region]:[who_choice_region]],missing[],14,FALSE),VLOOKUP(all_lmics181920[[Setting]:[Setting]],all_cause_mort[],10,FALSE))*1.05</f>
        <v>2.5951402050000002E-3</v>
      </c>
      <c r="W58">
        <f>IF(VLOOKUP(all_lmics181920[[Setting]:[Setting]],all_cause_mort[],11,FALSE)="",VLOOKUP(all_lmics181920[[who_choice_region]:[who_choice_region]],missing[],15,FALSE),VLOOKUP(all_lmics181920[[Setting]:[Setting]],all_cause_mort[],11,FALSE))*1.05</f>
        <v>3.0197660850000002E-3</v>
      </c>
      <c r="X58">
        <f>IF(VLOOKUP(all_lmics181920[[Setting]:[Setting]],all_cause_mort[],12,FALSE)="",VLOOKUP(all_lmics181920[[who_choice_region]:[who_choice_region]],missing[],16,FALSE),VLOOKUP(all_lmics181920[[Setting]:[Setting]],all_cause_mort[],12,FALSE))*1.05</f>
        <v>3.8583370350000002E-3</v>
      </c>
      <c r="Y58">
        <f>IF(VLOOKUP(all_lmics181920[[Setting]:[Setting]],all_cause_mort[],13,FALSE)="",VLOOKUP(all_lmics181920[[who_choice_region]:[who_choice_region]],missing[],17,FALSE),VLOOKUP(all_lmics181920[[Setting]:[Setting]],all_cause_mort[],13,FALSE))*1.05</f>
        <v>5.163049605E-3</v>
      </c>
      <c r="Z58">
        <f>IF(VLOOKUP(all_lmics181920[[Setting]:[Setting]],all_cause_mort[],14,FALSE)="",VLOOKUP(all_lmics181920[[who_choice_region]:[who_choice_region]],missing[],18,FALSE),VLOOKUP(all_lmics181920[[Setting]:[Setting]],all_cause_mort[],14,FALSE))*1.05</f>
        <v>7.3265506650000006E-3</v>
      </c>
      <c r="AA58">
        <f>IF(VLOOKUP(all_lmics181920[[Setting]:[Setting]],all_cause_mort[],15,FALSE)="",VLOOKUP(all_lmics181920[[who_choice_region]:[who_choice_region]],missing[],19,FALSE),VLOOKUP(all_lmics181920[[Setting]:[Setting]],all_cause_mort[],15,FALSE))*1.05</f>
        <v>1.0742964750000002E-2</v>
      </c>
      <c r="AB58">
        <f>IF(VLOOKUP(all_lmics181920[[Setting]:[Setting]],all_cause_mort[],16,FALSE)="",VLOOKUP(all_lmics181920[[who_choice_region]:[who_choice_region]],missing[],20,FALSE),VLOOKUP(all_lmics181920[[Setting]:[Setting]],all_cause_mort[],16,FALSE))*1.05</f>
        <v>1.5948159149999998E-2</v>
      </c>
      <c r="AC58">
        <f>IF(VLOOKUP(all_lmics181920[[Setting]:[Setting]],all_cause_mort[],17,FALSE)="",VLOOKUP(all_lmics181920[[who_choice_region]:[who_choice_region]],missing[],21,FALSE),VLOOKUP(all_lmics181920[[Setting]:[Setting]],all_cause_mort[],17,FALSE))*1.05</f>
        <v>2.7017896500000003E-2</v>
      </c>
      <c r="AD58">
        <f>IF(VLOOKUP(all_lmics181920[[Setting]:[Setting]],all_cause_mort[],18,FALSE)="",VLOOKUP(all_lmics181920[[who_choice_region]:[who_choice_region]],missing[],22,FALSE),VLOOKUP(all_lmics181920[[Setting]:[Setting]],all_cause_mort[],18,FALSE))*1.05</f>
        <v>4.6262503350000005E-2</v>
      </c>
      <c r="AE58">
        <f>IF(VLOOKUP(all_lmics181920[[Setting]:[Setting]],all_cause_mort[],19,FALSE)="",VLOOKUP(all_lmics181920[[who_choice_region]:[who_choice_region]],missing[],23,FALSE),VLOOKUP(all_lmics181920[[Setting]:[Setting]],all_cause_mort[],19,FALSE))*1.05</f>
        <v>7.6721383200000007E-2</v>
      </c>
      <c r="AF58">
        <f>IF(VLOOKUP(all_lmics181920[[Setting]:[Setting]],all_cause_mort[],20,FALSE)="",VLOOKUP(all_lmics181920[[who_choice_region]:[who_choice_region]],missing[],24,FALSE),VLOOKUP(all_lmics181920[[Setting]:[Setting]],all_cause_mort[],20,FALSE))*1.05</f>
        <v>0.12202388100000001</v>
      </c>
      <c r="AG58">
        <f>IF(VLOOKUP(all_lmics181920[[Setting]:[Setting]],all_cause_mort[],21,FALSE)="",VLOOKUP(all_lmics181920[[who_choice_region]:[who_choice_region]],missing[],25,FALSE),VLOOKUP(all_lmics181920[[Setting]:[Setting]],all_cause_mort[],21,FALSE))*1.05</f>
        <v>0.19035210600000002</v>
      </c>
      <c r="AH58">
        <f>IF(VLOOKUP(all_lmics181920[[Setting]:[Setting]],all_cause_mort[],22,FALSE)="",VLOOKUP(all_lmics181920[[who_choice_region]:[who_choice_region]],missing[],26,FALSE),VLOOKUP(all_lmics181920[[Setting]:[Setting]],all_cause_mort[],22,FALSE))*1.05</f>
        <v>0.29029795199999997</v>
      </c>
      <c r="AI58">
        <f>IF(VLOOKUP(all_lmics181920[[Setting]:[Setting]],all_cause_mort[],23,FALSE)="",VLOOKUP(all_lmics181920[[who_choice_region]:[who_choice_region]],missing[],27,FALSE),VLOOKUP(all_lmics181920[[Setting]:[Setting]],all_cause_mort[],23,FALSE))*1.05</f>
        <v>0.41378632050000003</v>
      </c>
      <c r="AJ58">
        <f>IF(VLOOKUP(all_lmics181920[[Setting]:[Setting]],all_cause_mort[],24,FALSE)="",VLOOKUP(all_lmics181920[[who_choice_region]:[who_choice_region]],missing[],28,FALSE),VLOOKUP(all_lmics181920[[Setting]:[Setting]],all_cause_mort[],24,FALSE))*1.05</f>
        <v>0.56028786450000001</v>
      </c>
      <c r="AK58">
        <f>IF(VLOOKUP(all_lmics181920[[Setting]:[Setting]],all_cause_mort[],25,FALSE)="",VLOOKUP(all_lmics181920[[who_choice_region]:[who_choice_region]],missing[],29,FALSE),VLOOKUP(all_lmics181920[[Setting]:[Setting]],all_cause_mort[],25,FALSE))*1.05</f>
        <v>0.72579449439945842</v>
      </c>
      <c r="AL58">
        <f>VLOOKUP(all_lmics181920[[worldbank_region]:[worldbank_region]],Table13[],2,FALSE)*1.05</f>
        <v>76.717604249999994</v>
      </c>
      <c r="AM58">
        <f>VLOOKUP(all_lmics181920[[worldbank_region]:[worldbank_region]],Table13[],3,FALSE)*1.05</f>
        <v>76.717604249999994</v>
      </c>
      <c r="AN58">
        <f>VLOOKUP(all_lmics181920[[worldbank_region]:[worldbank_region]],Table13[],4,FALSE)*1.05</f>
        <v>126.83290724999999</v>
      </c>
      <c r="AO58">
        <f>VLOOKUP(all_lmics181920[[worldbank_region]:[worldbank_region]],Table13[],5,FALSE)*1.05</f>
        <v>126.83290724999999</v>
      </c>
      <c r="AP58">
        <f>VLOOKUP(all_lmics181920[[worldbank_region]:[worldbank_region]],Table13[],6,FALSE)*1.05</f>
        <v>126.83290724999999</v>
      </c>
      <c r="AQ58">
        <f>VLOOKUP(all_lmics181920[[worldbank_region]:[worldbank_region]],Table14[],2,FALSE)*1.05</f>
        <v>1.4073045</v>
      </c>
      <c r="AR58">
        <f>VLOOKUP(all_lmics181920[[worldbank_region]:[worldbank_region]],Table14[],3,FALSE)*1.05</f>
        <v>2.0556795000000001</v>
      </c>
      <c r="AS58">
        <f>VLOOKUP(all_lmics181920[[worldbank_region]:[worldbank_region]],Table14[],4,FALSE)*1.05</f>
        <v>2.0709317999999999</v>
      </c>
      <c r="AT58">
        <f>VLOOKUP(all_lmics181920[[worldbank_region]:[worldbank_region]],Table14[],5,FALSE)*1.05</f>
        <v>2.7193068</v>
      </c>
      <c r="AU58">
        <f>VLOOKUP(all_lmics181920[[worldbank_region]:[worldbank_region]],Table14[],6,FALSE)*1.05</f>
        <v>3.3180714</v>
      </c>
      <c r="AV58">
        <f>MIN(IFERROR(VLOOKUP(all_lmics181920[[Setting]:[Setting]],nFacSBA[],4,FALSE),VLOOKUP(all_lmics181920[[who_choice_region]:[who_choice_region]],missing[],30,FALSE))*1.05, 0.9999)</f>
        <v>0.16784953724039575</v>
      </c>
      <c r="AW58">
        <f>VLOOKUP(all_lmics181920[[worldbank_region]:[worldbank_region]],hbe[],4)</f>
        <v>0.5</v>
      </c>
      <c r="AX58">
        <f>VLOOKUP(all_lmics181920[[worldbank_region]:[worldbank_region]],hbe[],7)</f>
        <v>1</v>
      </c>
      <c r="AY58">
        <f>VLOOKUP(all_lmics181920[[worldbank_region]:[worldbank_region]],hbe[],10)</f>
        <v>0.25</v>
      </c>
    </row>
    <row r="59" spans="1:51" x14ac:dyDescent="0.35">
      <c r="A59" s="8" t="s">
        <v>163</v>
      </c>
      <c r="B59" s="10" t="s">
        <v>22</v>
      </c>
      <c r="C59" s="11" t="s">
        <v>383</v>
      </c>
      <c r="D59">
        <f>VLOOKUP(all_lmics181920[[Setting]:[Setting]],populations[],9,FALSE)</f>
        <v>6811297</v>
      </c>
      <c r="E59">
        <f>VLOOKUP(all_lmics181920[[Setting]:[Setting]],birthrate[],3,FALSE)</f>
        <v>2.0947E-2</v>
      </c>
      <c r="F59">
        <f>all_lmics181920[[#This Row],[2017_population]]*all_lmics181920[[#This Row],[2016_birthrate]]</f>
        <v>142676.23825900001</v>
      </c>
      <c r="G59">
        <f>MIN(VLOOKUP(all_lmics181920[[Setting]:[Setting]],birthdose[],4,FALSE)*1.05,0.9999)</f>
        <v>0.54600000000000004</v>
      </c>
      <c r="H59">
        <f>MIN(VLOOKUP(all_lmics181920[[Setting]:[Setting]],fullvax[],4,FALSE)*1.05,0.9999)</f>
        <v>0.95550000000000013</v>
      </c>
      <c r="I59">
        <f>IFERROR(VLOOKUP(all_lmics181920[[Setting]:[Setting]],prev[],3,FALSE),VLOOKUP(all_lmics181920[[who_choice_region]:[who_choice_region]],missing[],2,FALSE))</f>
        <v>4.1444892127893984E-3</v>
      </c>
      <c r="J59">
        <f>IFERROR(VLOOKUP(all_lmics181920[[Setting]:[Setting]],prev[],4,FALSE),VLOOKUP(all_lmics181920[[who_choice_region]:[who_choice_region]],missing[],3,FALSE))</f>
        <v>2.6055266579680684E-3</v>
      </c>
      <c r="K59">
        <f>IFERROR(VLOOKUP(all_lmics181920[[Setting]:[Setting]],prev[],5,FALSE),VLOOKUP(all_lmics181920[[who_choice_region]:[who_choice_region]],missing[],4,FALSE))</f>
        <v>7.7002555713058798E-3</v>
      </c>
      <c r="L59">
        <f>IFERROR(VLOOKUP(all_lmics181920[[Setting]:[Setting]],prev[],7,FALSE),VLOOKUP(all_lmics181920[[who_choice_region]:[who_choice_region]],missing[],5,FALSE))</f>
        <v>1.8146552860433664E-3</v>
      </c>
      <c r="M59">
        <f>IFERROR(VLOOKUP(all_lmics181920[[Setting]:[Setting]],prev[],6,FALSE),0)</f>
        <v>0</v>
      </c>
      <c r="N59">
        <f>MIN(IFERROR(VLOOKUP(all_lmics181920[[Setting]:[Setting]],SBA[],4,FALSE),VLOOKUP(all_lmics181920[[who_choice_region]:[who_choice_region]],missing[],6,FALSE))*1.05, 0.9999)</f>
        <v>0.99990000000000001</v>
      </c>
      <c r="O59">
        <f>MIN(IFERROR(VLOOKUP(all_lmics181920[[Setting]:[Setting]], facility[], 3,FALSE),VLOOKUP(all_lmics181920[[who_choice_region]:[who_choice_region]],missing[],7,FALSE))*1.05, 0.9999)</f>
        <v>0.97860000000000014</v>
      </c>
      <c r="P59">
        <f>IF(VLOOKUP(all_lmics181920[[Setting]:[Setting]],all_cause_mort[],4,FALSE)="",VLOOKUP(all_lmics181920[[who_choice_region]:[who_choice_region]],missing[],8,FALSE),VLOOKUP(all_lmics181920[[Setting]:[Setting]],all_cause_mort[],4,FALSE))*1.05</f>
        <v>2.0323384199999999E-2</v>
      </c>
      <c r="Q59">
        <f>IF(VLOOKUP(all_lmics181920[[Setting]:[Setting]],all_cause_mort[],5,FALSE)="",VLOOKUP(all_lmics181920[[who_choice_region]:[who_choice_region]],missing[],9,FALSE),VLOOKUP(all_lmics181920[[Setting]:[Setting]],all_cause_mort[],5,FALSE))*1.05</f>
        <v>6.60258501E-4</v>
      </c>
      <c r="R59">
        <f>IF(VLOOKUP(all_lmics181920[[Setting]:[Setting]],all_cause_mort[],6,FALSE)="",VLOOKUP(all_lmics181920[[who_choice_region]:[who_choice_region]],missing[],10,FALSE),VLOOKUP(all_lmics181920[[Setting]:[Setting]],all_cause_mort[],6,FALSE))*1.05</f>
        <v>5.7996705900000001E-4</v>
      </c>
      <c r="S59">
        <f>IF(VLOOKUP(all_lmics181920[[Setting]:[Setting]],all_cause_mort[],7,FALSE)="",VLOOKUP(all_lmics181920[[who_choice_region]:[who_choice_region]],missing[],11,FALSE),VLOOKUP(all_lmics181920[[Setting]:[Setting]],all_cause_mort[],7,FALSE))*1.05</f>
        <v>4.7196228450000003E-4</v>
      </c>
      <c r="T59">
        <f>IF(VLOOKUP(all_lmics181920[[Setting]:[Setting]],all_cause_mort[],8,FALSE)="",VLOOKUP(all_lmics181920[[who_choice_region]:[who_choice_region]],missing[],12,FALSE),VLOOKUP(all_lmics181920[[Setting]:[Setting]],all_cause_mort[],8,FALSE))*1.05</f>
        <v>1.1070058650000001E-3</v>
      </c>
      <c r="U59">
        <f>IF(VLOOKUP(all_lmics181920[[Setting]:[Setting]],all_cause_mort[],9,FALSE)="",VLOOKUP(all_lmics181920[[who_choice_region]:[who_choice_region]],missing[],13,FALSE),VLOOKUP(all_lmics181920[[Setting]:[Setting]],all_cause_mort[],9,FALSE))*1.05</f>
        <v>1.6861986750000002E-3</v>
      </c>
      <c r="V59">
        <f>IF(VLOOKUP(all_lmics181920[[Setting]:[Setting]],all_cause_mort[],10,FALSE)="",VLOOKUP(all_lmics181920[[who_choice_region]:[who_choice_region]],missing[],14,FALSE),VLOOKUP(all_lmics181920[[Setting]:[Setting]],all_cause_mort[],10,FALSE))*1.05</f>
        <v>2.0567376899999997E-3</v>
      </c>
      <c r="W59">
        <f>IF(VLOOKUP(all_lmics181920[[Setting]:[Setting]],all_cause_mort[],11,FALSE)="",VLOOKUP(all_lmics181920[[who_choice_region]:[who_choice_region]],missing[],15,FALSE),VLOOKUP(all_lmics181920[[Setting]:[Setting]],all_cause_mort[],11,FALSE))*1.05</f>
        <v>2.0950820100000002E-3</v>
      </c>
      <c r="X59">
        <f>IF(VLOOKUP(all_lmics181920[[Setting]:[Setting]],all_cause_mort[],12,FALSE)="",VLOOKUP(all_lmics181920[[who_choice_region]:[who_choice_region]],missing[],16,FALSE),VLOOKUP(all_lmics181920[[Setting]:[Setting]],all_cause_mort[],12,FALSE))*1.05</f>
        <v>2.4828844950000001E-3</v>
      </c>
      <c r="Y59">
        <f>IF(VLOOKUP(all_lmics181920[[Setting]:[Setting]],all_cause_mort[],13,FALSE)="",VLOOKUP(all_lmics181920[[who_choice_region]:[who_choice_region]],missing[],17,FALSE),VLOOKUP(all_lmics181920[[Setting]:[Setting]],all_cause_mort[],13,FALSE))*1.05</f>
        <v>3.0428629350000001E-3</v>
      </c>
      <c r="Z59">
        <f>IF(VLOOKUP(all_lmics181920[[Setting]:[Setting]],all_cause_mort[],14,FALSE)="",VLOOKUP(all_lmics181920[[who_choice_region]:[who_choice_region]],missing[],18,FALSE),VLOOKUP(all_lmics181920[[Setting]:[Setting]],all_cause_mort[],14,FALSE))*1.05</f>
        <v>4.4558768100000003E-3</v>
      </c>
      <c r="AA59">
        <f>IF(VLOOKUP(all_lmics181920[[Setting]:[Setting]],all_cause_mort[],15,FALSE)="",VLOOKUP(all_lmics181920[[who_choice_region]:[who_choice_region]],missing[],19,FALSE),VLOOKUP(all_lmics181920[[Setting]:[Setting]],all_cause_mort[],15,FALSE))*1.05</f>
        <v>6.4979301450000006E-3</v>
      </c>
      <c r="AB59">
        <f>IF(VLOOKUP(all_lmics181920[[Setting]:[Setting]],all_cause_mort[],16,FALSE)="",VLOOKUP(all_lmics181920[[who_choice_region]:[who_choice_region]],missing[],20,FALSE),VLOOKUP(all_lmics181920[[Setting]:[Setting]],all_cause_mort[],16,FALSE))*1.05</f>
        <v>9.1445251799999999E-3</v>
      </c>
      <c r="AC59">
        <f>IF(VLOOKUP(all_lmics181920[[Setting]:[Setting]],all_cause_mort[],17,FALSE)="",VLOOKUP(all_lmics181920[[who_choice_region]:[who_choice_region]],missing[],21,FALSE),VLOOKUP(all_lmics181920[[Setting]:[Setting]],all_cause_mort[],17,FALSE))*1.05</f>
        <v>1.4325660300000001E-2</v>
      </c>
      <c r="AD59">
        <f>IF(VLOOKUP(all_lmics181920[[Setting]:[Setting]],all_cause_mort[],18,FALSE)="",VLOOKUP(all_lmics181920[[who_choice_region]:[who_choice_region]],missing[],22,FALSE),VLOOKUP(all_lmics181920[[Setting]:[Setting]],all_cause_mort[],18,FALSE))*1.05</f>
        <v>2.12038134E-2</v>
      </c>
      <c r="AE59">
        <f>IF(VLOOKUP(all_lmics181920[[Setting]:[Setting]],all_cause_mort[],19,FALSE)="",VLOOKUP(all_lmics181920[[who_choice_region]:[who_choice_region]],missing[],23,FALSE),VLOOKUP(all_lmics181920[[Setting]:[Setting]],all_cause_mort[],19,FALSE))*1.05</f>
        <v>3.1165918350000002E-2</v>
      </c>
      <c r="AF59">
        <f>IF(VLOOKUP(all_lmics181920[[Setting]:[Setting]],all_cause_mort[],20,FALSE)="",VLOOKUP(all_lmics181920[[who_choice_region]:[who_choice_region]],missing[],24,FALSE),VLOOKUP(all_lmics181920[[Setting]:[Setting]],all_cause_mort[],20,FALSE))*1.05</f>
        <v>4.5065816250000001E-2</v>
      </c>
      <c r="AG59">
        <f>IF(VLOOKUP(all_lmics181920[[Setting]:[Setting]],all_cause_mort[],21,FALSE)="",VLOOKUP(all_lmics181920[[who_choice_region]:[who_choice_region]],missing[],25,FALSE),VLOOKUP(all_lmics181920[[Setting]:[Setting]],all_cause_mort[],21,FALSE))*1.05</f>
        <v>8.8459969499999999E-2</v>
      </c>
      <c r="AH59">
        <f>IF(VLOOKUP(all_lmics181920[[Setting]:[Setting]],all_cause_mort[],22,FALSE)="",VLOOKUP(all_lmics181920[[who_choice_region]:[who_choice_region]],missing[],26,FALSE),VLOOKUP(all_lmics181920[[Setting]:[Setting]],all_cause_mort[],22,FALSE))*1.05</f>
        <v>0.14165340000000001</v>
      </c>
      <c r="AI59">
        <f>IF(VLOOKUP(all_lmics181920[[Setting]:[Setting]],all_cause_mort[],23,FALSE)="",VLOOKUP(all_lmics181920[[who_choice_region]:[who_choice_region]],missing[],27,FALSE),VLOOKUP(all_lmics181920[[Setting]:[Setting]],all_cause_mort[],23,FALSE))*1.05</f>
        <v>0.21064863750000001</v>
      </c>
      <c r="AJ59">
        <f>IF(VLOOKUP(all_lmics181920[[Setting]:[Setting]],all_cause_mort[],24,FALSE)="",VLOOKUP(all_lmics181920[[who_choice_region]:[who_choice_region]],missing[],28,FALSE),VLOOKUP(all_lmics181920[[Setting]:[Setting]],all_cause_mort[],24,FALSE))*1.05</f>
        <v>0.29112159300000001</v>
      </c>
      <c r="AK59">
        <f>IF(VLOOKUP(all_lmics181920[[Setting]:[Setting]],all_cause_mort[],25,FALSE)="",VLOOKUP(all_lmics181920[[who_choice_region]:[who_choice_region]],missing[],29,FALSE),VLOOKUP(all_lmics181920[[Setting]:[Setting]],all_cause_mort[],25,FALSE))*1.05</f>
        <v>0.40432244568717335</v>
      </c>
      <c r="AL59">
        <f>VLOOKUP(all_lmics181920[[worldbank_region]:[worldbank_region]],Table13[],2,FALSE)*1.05</f>
        <v>91.202986349999989</v>
      </c>
      <c r="AM59">
        <f>VLOOKUP(all_lmics181920[[worldbank_region]:[worldbank_region]],Table13[],3,FALSE)*1.05</f>
        <v>91.202986349999989</v>
      </c>
      <c r="AN59">
        <f>VLOOKUP(all_lmics181920[[worldbank_region]:[worldbank_region]],Table13[],4,FALSE)*1.05</f>
        <v>141.31828934999999</v>
      </c>
      <c r="AO59">
        <f>VLOOKUP(all_lmics181920[[worldbank_region]:[worldbank_region]],Table13[],5,FALSE)*1.05</f>
        <v>141.31828934999999</v>
      </c>
      <c r="AP59">
        <f>VLOOKUP(all_lmics181920[[worldbank_region]:[worldbank_region]],Table13[],6,FALSE)*1.05</f>
        <v>141.31828934999999</v>
      </c>
      <c r="AQ59">
        <f>VLOOKUP(all_lmics181920[[worldbank_region]:[worldbank_region]],Table14[],2,FALSE)*1.05</f>
        <v>1.5903741</v>
      </c>
      <c r="AR59">
        <f>VLOOKUP(all_lmics181920[[worldbank_region]:[worldbank_region]],Table14[],3,FALSE)*1.05</f>
        <v>2.2387491000000002</v>
      </c>
      <c r="AS59">
        <f>VLOOKUP(all_lmics181920[[worldbank_region]:[worldbank_region]],Table14[],4,FALSE)*1.05</f>
        <v>1.6132578000000002</v>
      </c>
      <c r="AT59">
        <f>VLOOKUP(all_lmics181920[[worldbank_region]:[worldbank_region]],Table14[],5,FALSE)*1.05</f>
        <v>2.2616328000000001</v>
      </c>
      <c r="AU59">
        <f>VLOOKUP(all_lmics181920[[worldbank_region]:[worldbank_region]],Table14[],6,FALSE)*1.05</f>
        <v>2.8603974000000001</v>
      </c>
      <c r="AV59">
        <f>MIN(IFERROR(VLOOKUP(all_lmics181920[[Setting]:[Setting]],nFacSBA[],4,FALSE),VLOOKUP(all_lmics181920[[who_choice_region]:[who_choice_region]],missing[],30,FALSE))*1.05, 0.9999)</f>
        <v>0.21428754022970595</v>
      </c>
      <c r="AW59">
        <f>VLOOKUP(all_lmics181920[[worldbank_region]:[worldbank_region]],hbe[],4)</f>
        <v>0.5</v>
      </c>
      <c r="AX59">
        <f>VLOOKUP(all_lmics181920[[worldbank_region]:[worldbank_region]],hbe[],7)</f>
        <v>1</v>
      </c>
      <c r="AY59">
        <f>VLOOKUP(all_lmics181920[[worldbank_region]:[worldbank_region]],hbe[],10)</f>
        <v>0.25</v>
      </c>
    </row>
    <row r="60" spans="1:51" x14ac:dyDescent="0.35">
      <c r="A60" s="12" t="s">
        <v>164</v>
      </c>
      <c r="B60" s="13" t="s">
        <v>46</v>
      </c>
      <c r="C60" s="14" t="s">
        <v>383</v>
      </c>
      <c r="D60">
        <f>VLOOKUP(all_lmics181920[[Setting]:[Setting]],populations[],9,FALSE)</f>
        <v>32165485</v>
      </c>
      <c r="E60">
        <f>VLOOKUP(all_lmics181920[[Setting]:[Setting]],birthrate[],3,FALSE)</f>
        <v>1.9281E-2</v>
      </c>
      <c r="F60">
        <f>all_lmics181920[[#This Row],[2017_population]]*all_lmics181920[[#This Row],[2016_birthrate]]</f>
        <v>620182.71628499997</v>
      </c>
      <c r="G60">
        <f>MIN(VLOOKUP(all_lmics181920[[Setting]:[Setting]],birthdose[],4,FALSE)*1.05,0.9999)</f>
        <v>0.78750000000000009</v>
      </c>
      <c r="H60">
        <f>MIN(VLOOKUP(all_lmics181920[[Setting]:[Setting]],fullvax[],4,FALSE)*1.05,0.9999)</f>
        <v>0.87149999999999994</v>
      </c>
      <c r="I60">
        <f>IFERROR(VLOOKUP(all_lmics181920[[Setting]:[Setting]],prev[],3,FALSE),VLOOKUP(all_lmics181920[[who_choice_region]:[who_choice_region]],missing[],2,FALSE))</f>
        <v>3.0000000000000001E-3</v>
      </c>
      <c r="J60">
        <f>IFERROR(VLOOKUP(all_lmics181920[[Setting]:[Setting]],prev[],4,FALSE),VLOOKUP(all_lmics181920[[who_choice_region]:[who_choice_region]],missing[],3,FALSE))</f>
        <v>3.0000000000000001E-3</v>
      </c>
      <c r="K60">
        <f>IFERROR(VLOOKUP(all_lmics181920[[Setting]:[Setting]],prev[],5,FALSE),VLOOKUP(all_lmics181920[[who_choice_region]:[who_choice_region]],missing[],4,FALSE))</f>
        <v>4.0000000000000001E-3</v>
      </c>
      <c r="L60">
        <f>IFERROR(VLOOKUP(all_lmics181920[[Setting]:[Setting]],prev[],7,FALSE),VLOOKUP(all_lmics181920[[who_choice_region]:[who_choice_region]],missing[],5,FALSE))</f>
        <v>5.1020408163265311E-4</v>
      </c>
      <c r="M60">
        <f>IFERROR(VLOOKUP(all_lmics181920[[Setting]:[Setting]],prev[],6,FALSE),0)</f>
        <v>32165485</v>
      </c>
      <c r="N60">
        <f>MIN(IFERROR(VLOOKUP(all_lmics181920[[Setting]:[Setting]],SBA[],4,FALSE),VLOOKUP(all_lmics181920[[who_choice_region]:[who_choice_region]],missing[],6,FALSE))*1.05, 0.9999)</f>
        <v>0.97020000000000006</v>
      </c>
      <c r="O60">
        <f>MIN(IFERROR(VLOOKUP(all_lmics181920[[Setting]:[Setting]], facility[], 3,FALSE),VLOOKUP(all_lmics181920[[who_choice_region]:[who_choice_region]],missing[],7,FALSE))*1.05, 0.9999)</f>
        <v>0.95550000000000013</v>
      </c>
      <c r="P60">
        <f>IF(VLOOKUP(all_lmics181920[[Setting]:[Setting]],all_cause_mort[],4,FALSE)="",VLOOKUP(all_lmics181920[[who_choice_region]:[who_choice_region]],missing[],8,FALSE),VLOOKUP(all_lmics181920[[Setting]:[Setting]],all_cause_mort[],4,FALSE))*1.05</f>
        <v>1.35859668E-2</v>
      </c>
      <c r="Q60">
        <f>IF(VLOOKUP(all_lmics181920[[Setting]:[Setting]],all_cause_mort[],5,FALSE)="",VLOOKUP(all_lmics181920[[who_choice_region]:[who_choice_region]],missing[],9,FALSE),VLOOKUP(all_lmics181920[[Setting]:[Setting]],all_cause_mort[],5,FALSE))*1.05</f>
        <v>9.2095176600000001E-4</v>
      </c>
      <c r="R60">
        <f>IF(VLOOKUP(all_lmics181920[[Setting]:[Setting]],all_cause_mort[],6,FALSE)="",VLOOKUP(all_lmics181920[[who_choice_region]:[who_choice_region]],missing[],10,FALSE),VLOOKUP(all_lmics181920[[Setting]:[Setting]],all_cause_mort[],6,FALSE))*1.05</f>
        <v>5.2034400600000003E-4</v>
      </c>
      <c r="S60">
        <f>IF(VLOOKUP(all_lmics181920[[Setting]:[Setting]],all_cause_mort[],7,FALSE)="",VLOOKUP(all_lmics181920[[who_choice_region]:[who_choice_region]],missing[],11,FALSE),VLOOKUP(all_lmics181920[[Setting]:[Setting]],all_cause_mort[],7,FALSE))*1.05</f>
        <v>3.5296926000000001E-4</v>
      </c>
      <c r="T60">
        <f>IF(VLOOKUP(all_lmics181920[[Setting]:[Setting]],all_cause_mort[],8,FALSE)="",VLOOKUP(all_lmics181920[[who_choice_region]:[who_choice_region]],missing[],12,FALSE),VLOOKUP(all_lmics181920[[Setting]:[Setting]],all_cause_mort[],8,FALSE))*1.05</f>
        <v>8.3571961200000001E-4</v>
      </c>
      <c r="U60">
        <f>IF(VLOOKUP(all_lmics181920[[Setting]:[Setting]],all_cause_mort[],9,FALSE)="",VLOOKUP(all_lmics181920[[who_choice_region]:[who_choice_region]],missing[],13,FALSE),VLOOKUP(all_lmics181920[[Setting]:[Setting]],all_cause_mort[],9,FALSE))*1.05</f>
        <v>1.242772125E-3</v>
      </c>
      <c r="V60">
        <f>IF(VLOOKUP(all_lmics181920[[Setting]:[Setting]],all_cause_mort[],10,FALSE)="",VLOOKUP(all_lmics181920[[who_choice_region]:[who_choice_region]],missing[],14,FALSE),VLOOKUP(all_lmics181920[[Setting]:[Setting]],all_cause_mort[],10,FALSE))*1.05</f>
        <v>1.61398377E-3</v>
      </c>
      <c r="W60">
        <f>IF(VLOOKUP(all_lmics181920[[Setting]:[Setting]],all_cause_mort[],11,FALSE)="",VLOOKUP(all_lmics181920[[who_choice_region]:[who_choice_region]],missing[],15,FALSE),VLOOKUP(all_lmics181920[[Setting]:[Setting]],all_cause_mort[],11,FALSE))*1.05</f>
        <v>1.7749161150000001E-3</v>
      </c>
      <c r="X60">
        <f>IF(VLOOKUP(all_lmics181920[[Setting]:[Setting]],all_cause_mort[],12,FALSE)="",VLOOKUP(all_lmics181920[[who_choice_region]:[who_choice_region]],missing[],16,FALSE),VLOOKUP(all_lmics181920[[Setting]:[Setting]],all_cause_mort[],12,FALSE))*1.05</f>
        <v>2.12407902E-3</v>
      </c>
      <c r="Y60">
        <f>IF(VLOOKUP(all_lmics181920[[Setting]:[Setting]],all_cause_mort[],13,FALSE)="",VLOOKUP(all_lmics181920[[who_choice_region]:[who_choice_region]],missing[],17,FALSE),VLOOKUP(all_lmics181920[[Setting]:[Setting]],all_cause_mort[],13,FALSE))*1.05</f>
        <v>2.7105551550000002E-3</v>
      </c>
      <c r="Z60">
        <f>IF(VLOOKUP(all_lmics181920[[Setting]:[Setting]],all_cause_mort[],14,FALSE)="",VLOOKUP(all_lmics181920[[who_choice_region]:[who_choice_region]],missing[],18,FALSE),VLOOKUP(all_lmics181920[[Setting]:[Setting]],all_cause_mort[],14,FALSE))*1.05</f>
        <v>3.623039385E-3</v>
      </c>
      <c r="AA60">
        <f>IF(VLOOKUP(all_lmics181920[[Setting]:[Setting]],all_cause_mort[],15,FALSE)="",VLOOKUP(all_lmics181920[[who_choice_region]:[who_choice_region]],missing[],19,FALSE),VLOOKUP(all_lmics181920[[Setting]:[Setting]],all_cause_mort[],15,FALSE))*1.05</f>
        <v>5.0544090450000004E-3</v>
      </c>
      <c r="AB60">
        <f>IF(VLOOKUP(all_lmics181920[[Setting]:[Setting]],all_cause_mort[],16,FALSE)="",VLOOKUP(all_lmics181920[[who_choice_region]:[who_choice_region]],missing[],20,FALSE),VLOOKUP(all_lmics181920[[Setting]:[Setting]],all_cause_mort[],16,FALSE))*1.05</f>
        <v>7.2478477050000002E-3</v>
      </c>
      <c r="AC60">
        <f>IF(VLOOKUP(all_lmics181920[[Setting]:[Setting]],all_cause_mort[],17,FALSE)="",VLOOKUP(all_lmics181920[[who_choice_region]:[who_choice_region]],missing[],21,FALSE),VLOOKUP(all_lmics181920[[Setting]:[Setting]],all_cause_mort[],17,FALSE))*1.05</f>
        <v>1.1019951600000001E-2</v>
      </c>
      <c r="AD60">
        <f>IF(VLOOKUP(all_lmics181920[[Setting]:[Setting]],all_cause_mort[],18,FALSE)="",VLOOKUP(all_lmics181920[[who_choice_region]:[who_choice_region]],missing[],22,FALSE),VLOOKUP(all_lmics181920[[Setting]:[Setting]],all_cause_mort[],18,FALSE))*1.05</f>
        <v>1.6630482750000002E-2</v>
      </c>
      <c r="AE60">
        <f>IF(VLOOKUP(all_lmics181920[[Setting]:[Setting]],all_cause_mort[],19,FALSE)="",VLOOKUP(all_lmics181920[[who_choice_region]:[who_choice_region]],missing[],23,FALSE),VLOOKUP(all_lmics181920[[Setting]:[Setting]],all_cause_mort[],19,FALSE))*1.05</f>
        <v>2.8797383999999999E-2</v>
      </c>
      <c r="AF60">
        <f>IF(VLOOKUP(all_lmics181920[[Setting]:[Setting]],all_cause_mort[],20,FALSE)="",VLOOKUP(all_lmics181920[[who_choice_region]:[who_choice_region]],missing[],24,FALSE),VLOOKUP(all_lmics181920[[Setting]:[Setting]],all_cause_mort[],20,FALSE))*1.05</f>
        <v>4.6274320050000005E-2</v>
      </c>
      <c r="AG60">
        <f>IF(VLOOKUP(all_lmics181920[[Setting]:[Setting]],all_cause_mort[],21,FALSE)="",VLOOKUP(all_lmics181920[[who_choice_region]:[who_choice_region]],missing[],25,FALSE),VLOOKUP(all_lmics181920[[Setting]:[Setting]],all_cause_mort[],21,FALSE))*1.05</f>
        <v>7.7537165999999991E-2</v>
      </c>
      <c r="AH60">
        <f>IF(VLOOKUP(all_lmics181920[[Setting]:[Setting]],all_cause_mort[],22,FALSE)="",VLOOKUP(all_lmics181920[[who_choice_region]:[who_choice_region]],missing[],26,FALSE),VLOOKUP(all_lmics181920[[Setting]:[Setting]],all_cause_mort[],22,FALSE))*1.05</f>
        <v>0.12836671050000001</v>
      </c>
      <c r="AI60">
        <f>IF(VLOOKUP(all_lmics181920[[Setting]:[Setting]],all_cause_mort[],23,FALSE)="",VLOOKUP(all_lmics181920[[who_choice_region]:[who_choice_region]],missing[],27,FALSE),VLOOKUP(all_lmics181920[[Setting]:[Setting]],all_cause_mort[],23,FALSE))*1.05</f>
        <v>0.19569177600000001</v>
      </c>
      <c r="AJ60">
        <f>IF(VLOOKUP(all_lmics181920[[Setting]:[Setting]],all_cause_mort[],24,FALSE)="",VLOOKUP(all_lmics181920[[who_choice_region]:[who_choice_region]],missing[],28,FALSE),VLOOKUP(all_lmics181920[[Setting]:[Setting]],all_cause_mort[],24,FALSE))*1.05</f>
        <v>0.27719085450000003</v>
      </c>
      <c r="AK60">
        <f>IF(VLOOKUP(all_lmics181920[[Setting]:[Setting]],all_cause_mort[],25,FALSE)="",VLOOKUP(all_lmics181920[[who_choice_region]:[who_choice_region]],missing[],29,FALSE),VLOOKUP(all_lmics181920[[Setting]:[Setting]],all_cause_mort[],25,FALSE))*1.05</f>
        <v>0.39697599565549491</v>
      </c>
      <c r="AL60">
        <f>VLOOKUP(all_lmics181920[[worldbank_region]:[worldbank_region]],Table13[],2,FALSE)*1.05</f>
        <v>91.202986349999989</v>
      </c>
      <c r="AM60">
        <f>VLOOKUP(all_lmics181920[[worldbank_region]:[worldbank_region]],Table13[],3,FALSE)*1.05</f>
        <v>91.202986349999989</v>
      </c>
      <c r="AN60">
        <f>VLOOKUP(all_lmics181920[[worldbank_region]:[worldbank_region]],Table13[],4,FALSE)*1.05</f>
        <v>141.31828934999999</v>
      </c>
      <c r="AO60">
        <f>VLOOKUP(all_lmics181920[[worldbank_region]:[worldbank_region]],Table13[],5,FALSE)*1.05</f>
        <v>141.31828934999999</v>
      </c>
      <c r="AP60">
        <f>VLOOKUP(all_lmics181920[[worldbank_region]:[worldbank_region]],Table13[],6,FALSE)*1.05</f>
        <v>141.31828934999999</v>
      </c>
      <c r="AQ60">
        <f>VLOOKUP(all_lmics181920[[worldbank_region]:[worldbank_region]],Table14[],2,FALSE)*1.05</f>
        <v>1.5903741</v>
      </c>
      <c r="AR60">
        <f>VLOOKUP(all_lmics181920[[worldbank_region]:[worldbank_region]],Table14[],3,FALSE)*1.05</f>
        <v>2.2387491000000002</v>
      </c>
      <c r="AS60">
        <f>VLOOKUP(all_lmics181920[[worldbank_region]:[worldbank_region]],Table14[],4,FALSE)*1.05</f>
        <v>1.6132578000000002</v>
      </c>
      <c r="AT60">
        <f>VLOOKUP(all_lmics181920[[worldbank_region]:[worldbank_region]],Table14[],5,FALSE)*1.05</f>
        <v>2.2616328000000001</v>
      </c>
      <c r="AU60">
        <f>VLOOKUP(all_lmics181920[[worldbank_region]:[worldbank_region]],Table14[],6,FALSE)*1.05</f>
        <v>2.8603974000000001</v>
      </c>
      <c r="AV60">
        <f>MIN(IFERROR(VLOOKUP(all_lmics181920[[Setting]:[Setting]],nFacSBA[],4,FALSE),VLOOKUP(all_lmics181920[[who_choice_region]:[who_choice_region]],missing[],30,FALSE))*1.05, 0.9999)</f>
        <v>0.19174456415799823</v>
      </c>
      <c r="AW60">
        <f>VLOOKUP(all_lmics181920[[worldbank_region]:[worldbank_region]],hbe[],4)</f>
        <v>0.5</v>
      </c>
      <c r="AX60">
        <f>VLOOKUP(all_lmics181920[[worldbank_region]:[worldbank_region]],hbe[],7)</f>
        <v>1</v>
      </c>
      <c r="AY60">
        <f>VLOOKUP(all_lmics181920[[worldbank_region]:[worldbank_region]],hbe[],10)</f>
        <v>0.25</v>
      </c>
    </row>
    <row r="61" spans="1:51" x14ac:dyDescent="0.35">
      <c r="A61" s="8" t="s">
        <v>165</v>
      </c>
      <c r="B61" s="10" t="s">
        <v>57</v>
      </c>
      <c r="C61" s="11" t="s">
        <v>58</v>
      </c>
      <c r="D61">
        <f>VLOOKUP(all_lmics181920[[Setting]:[Setting]],populations[],9,FALSE)</f>
        <v>104918090</v>
      </c>
      <c r="E61">
        <f>VLOOKUP(all_lmics181920[[Setting]:[Setting]],birthrate[],3,FALSE)</f>
        <v>2.3210000000000001E-2</v>
      </c>
      <c r="F61">
        <f>all_lmics181920[[#This Row],[2017_population]]*all_lmics181920[[#This Row],[2016_birthrate]]</f>
        <v>2435148.8689000001</v>
      </c>
      <c r="G61">
        <f>MIN(VLOOKUP(all_lmics181920[[Setting]:[Setting]],birthdose[],4,FALSE)*1.05,0.9999)</f>
        <v>0.70350000000000013</v>
      </c>
      <c r="H61">
        <f>MIN(VLOOKUP(all_lmics181920[[Setting]:[Setting]],fullvax[],4,FALSE)*1.05,0.9999)</f>
        <v>0.92400000000000004</v>
      </c>
      <c r="I61">
        <f>IFERROR(VLOOKUP(all_lmics181920[[Setting]:[Setting]],prev[],3,FALSE),VLOOKUP(all_lmics181920[[who_choice_region]:[who_choice_region]],missing[],2,FALSE))</f>
        <v>9.8000000000000004E-2</v>
      </c>
      <c r="J61">
        <f>IFERROR(VLOOKUP(all_lmics181920[[Setting]:[Setting]],prev[],4,FALSE),VLOOKUP(all_lmics181920[[who_choice_region]:[who_choice_region]],missing[],3,FALSE))</f>
        <v>8.7999999999999995E-2</v>
      </c>
      <c r="K61">
        <f>IFERROR(VLOOKUP(all_lmics181920[[Setting]:[Setting]],prev[],5,FALSE),VLOOKUP(all_lmics181920[[who_choice_region]:[who_choice_region]],missing[],4,FALSE))</f>
        <v>0.109</v>
      </c>
      <c r="L61">
        <f>IFERROR(VLOOKUP(all_lmics181920[[Setting]:[Setting]],prev[],7,FALSE),VLOOKUP(all_lmics181920[[who_choice_region]:[who_choice_region]],missing[],5,FALSE))</f>
        <v>5.6122448979591816E-3</v>
      </c>
      <c r="M61">
        <f>IFERROR(VLOOKUP(all_lmics181920[[Setting]:[Setting]],prev[],6,FALSE),0)</f>
        <v>104918090</v>
      </c>
      <c r="N61">
        <f>MIN(IFERROR(VLOOKUP(all_lmics181920[[Setting]:[Setting]],SBA[],4,FALSE),VLOOKUP(all_lmics181920[[who_choice_region]:[who_choice_region]],missing[],6,FALSE))*1.05, 0.9999)</f>
        <v>0.76439999999999997</v>
      </c>
      <c r="O61">
        <f>MIN(IFERROR(VLOOKUP(all_lmics181920[[Setting]:[Setting]], facility[], 3,FALSE),VLOOKUP(all_lmics181920[[who_choice_region]:[who_choice_region]],missing[],7,FALSE))*1.05, 0.9999)</f>
        <v>0.64155000000000006</v>
      </c>
      <c r="P61">
        <f>IF(VLOOKUP(all_lmics181920[[Setting]:[Setting]],all_cause_mort[],4,FALSE)="",VLOOKUP(all_lmics181920[[who_choice_region]:[who_choice_region]],missing[],8,FALSE),VLOOKUP(all_lmics181920[[Setting]:[Setting]],all_cause_mort[],4,FALSE))*1.05</f>
        <v>2.1008464050000002E-2</v>
      </c>
      <c r="Q61">
        <f>IF(VLOOKUP(all_lmics181920[[Setting]:[Setting]],all_cause_mort[],5,FALSE)="",VLOOKUP(all_lmics181920[[who_choice_region]:[who_choice_region]],missing[],9,FALSE),VLOOKUP(all_lmics181920[[Setting]:[Setting]],all_cause_mort[],5,FALSE))*1.05</f>
        <v>2.1573937350000002E-3</v>
      </c>
      <c r="R61">
        <f>IF(VLOOKUP(all_lmics181920[[Setting]:[Setting]],all_cause_mort[],6,FALSE)="",VLOOKUP(all_lmics181920[[who_choice_region]:[who_choice_region]],missing[],10,FALSE),VLOOKUP(all_lmics181920[[Setting]:[Setting]],all_cause_mort[],6,FALSE))*1.05</f>
        <v>6.4462438949999996E-4</v>
      </c>
      <c r="S61">
        <f>IF(VLOOKUP(all_lmics181920[[Setting]:[Setting]],all_cause_mort[],7,FALSE)="",VLOOKUP(all_lmics181920[[who_choice_region]:[who_choice_region]],missing[],11,FALSE),VLOOKUP(all_lmics181920[[Setting]:[Setting]],all_cause_mort[],7,FALSE))*1.05</f>
        <v>5.5937844899999996E-4</v>
      </c>
      <c r="T61">
        <f>IF(VLOOKUP(all_lmics181920[[Setting]:[Setting]],all_cause_mort[],8,FALSE)="",VLOOKUP(all_lmics181920[[who_choice_region]:[who_choice_region]],missing[],12,FALSE),VLOOKUP(all_lmics181920[[Setting]:[Setting]],all_cause_mort[],8,FALSE))*1.05</f>
        <v>1.198153215E-3</v>
      </c>
      <c r="U61">
        <f>IF(VLOOKUP(all_lmics181920[[Setting]:[Setting]],all_cause_mort[],9,FALSE)="",VLOOKUP(all_lmics181920[[who_choice_region]:[who_choice_region]],missing[],13,FALSE),VLOOKUP(all_lmics181920[[Setting]:[Setting]],all_cause_mort[],9,FALSE))*1.05</f>
        <v>1.6780669500000001E-3</v>
      </c>
      <c r="V61">
        <f>IF(VLOOKUP(all_lmics181920[[Setting]:[Setting]],all_cause_mort[],10,FALSE)="",VLOOKUP(all_lmics181920[[who_choice_region]:[who_choice_region]],missing[],14,FALSE),VLOOKUP(all_lmics181920[[Setting]:[Setting]],all_cause_mort[],10,FALSE))*1.05</f>
        <v>1.8346996500000002E-3</v>
      </c>
      <c r="W61">
        <f>IF(VLOOKUP(all_lmics181920[[Setting]:[Setting]],all_cause_mort[],11,FALSE)="",VLOOKUP(all_lmics181920[[who_choice_region]:[who_choice_region]],missing[],15,FALSE),VLOOKUP(all_lmics181920[[Setting]:[Setting]],all_cause_mort[],11,FALSE))*1.05</f>
        <v>2.1911018849999999E-3</v>
      </c>
      <c r="X61">
        <f>IF(VLOOKUP(all_lmics181920[[Setting]:[Setting]],all_cause_mort[],12,FALSE)="",VLOOKUP(all_lmics181920[[who_choice_region]:[who_choice_region]],missing[],16,FALSE),VLOOKUP(all_lmics181920[[Setting]:[Setting]],all_cause_mort[],12,FALSE))*1.05</f>
        <v>2.9125022850000001E-3</v>
      </c>
      <c r="Y61">
        <f>IF(VLOOKUP(all_lmics181920[[Setting]:[Setting]],all_cause_mort[],13,FALSE)="",VLOOKUP(all_lmics181920[[who_choice_region]:[who_choice_region]],missing[],17,FALSE),VLOOKUP(all_lmics181920[[Setting]:[Setting]],all_cause_mort[],13,FALSE))*1.05</f>
        <v>4.09932369E-3</v>
      </c>
      <c r="Z61">
        <f>IF(VLOOKUP(all_lmics181920[[Setting]:[Setting]],all_cause_mort[],14,FALSE)="",VLOOKUP(all_lmics181920[[who_choice_region]:[who_choice_region]],missing[],18,FALSE),VLOOKUP(all_lmics181920[[Setting]:[Setting]],all_cause_mort[],14,FALSE))*1.05</f>
        <v>6.1001999099999996E-3</v>
      </c>
      <c r="AA61">
        <f>IF(VLOOKUP(all_lmics181920[[Setting]:[Setting]],all_cause_mort[],15,FALSE)="",VLOOKUP(all_lmics181920[[who_choice_region]:[who_choice_region]],missing[],19,FALSE),VLOOKUP(all_lmics181920[[Setting]:[Setting]],all_cause_mort[],15,FALSE))*1.05</f>
        <v>9.1891525950000014E-3</v>
      </c>
      <c r="AB61">
        <f>IF(VLOOKUP(all_lmics181920[[Setting]:[Setting]],all_cause_mort[],16,FALSE)="",VLOOKUP(all_lmics181920[[who_choice_region]:[who_choice_region]],missing[],20,FALSE),VLOOKUP(all_lmics181920[[Setting]:[Setting]],all_cause_mort[],16,FALSE))*1.05</f>
        <v>1.3855460849999999E-2</v>
      </c>
      <c r="AC61">
        <f>IF(VLOOKUP(all_lmics181920[[Setting]:[Setting]],all_cause_mort[],17,FALSE)="",VLOOKUP(all_lmics181920[[who_choice_region]:[who_choice_region]],missing[],21,FALSE),VLOOKUP(all_lmics181920[[Setting]:[Setting]],all_cause_mort[],17,FALSE))*1.05</f>
        <v>1.9112228100000003E-2</v>
      </c>
      <c r="AD61">
        <f>IF(VLOOKUP(all_lmics181920[[Setting]:[Setting]],all_cause_mort[],18,FALSE)="",VLOOKUP(all_lmics181920[[who_choice_region]:[who_choice_region]],missing[],22,FALSE),VLOOKUP(all_lmics181920[[Setting]:[Setting]],all_cause_mort[],18,FALSE))*1.05</f>
        <v>2.6191725000000003E-2</v>
      </c>
      <c r="AE61">
        <f>IF(VLOOKUP(all_lmics181920[[Setting]:[Setting]],all_cause_mort[],19,FALSE)="",VLOOKUP(all_lmics181920[[who_choice_region]:[who_choice_region]],missing[],23,FALSE),VLOOKUP(all_lmics181920[[Setting]:[Setting]],all_cause_mort[],19,FALSE))*1.05</f>
        <v>3.8564639400000003E-2</v>
      </c>
      <c r="AF61">
        <f>IF(VLOOKUP(all_lmics181920[[Setting]:[Setting]],all_cause_mort[],20,FALSE)="",VLOOKUP(all_lmics181920[[who_choice_region]:[who_choice_region]],missing[],24,FALSE),VLOOKUP(all_lmics181920[[Setting]:[Setting]],all_cause_mort[],20,FALSE))*1.05</f>
        <v>6.2124307350000005E-2</v>
      </c>
      <c r="AG61">
        <f>IF(VLOOKUP(all_lmics181920[[Setting]:[Setting]],all_cause_mort[],21,FALSE)="",VLOOKUP(all_lmics181920[[who_choice_region]:[who_choice_region]],missing[],25,FALSE),VLOOKUP(all_lmics181920[[Setting]:[Setting]],all_cause_mort[],21,FALSE))*1.05</f>
        <v>9.8600610150000004E-2</v>
      </c>
      <c r="AH61">
        <f>IF(VLOOKUP(all_lmics181920[[Setting]:[Setting]],all_cause_mort[],22,FALSE)="",VLOOKUP(all_lmics181920[[who_choice_region]:[who_choice_region]],missing[],26,FALSE),VLOOKUP(all_lmics181920[[Setting]:[Setting]],all_cause_mort[],22,FALSE))*1.05</f>
        <v>0.1515839115</v>
      </c>
      <c r="AI61">
        <f>IF(VLOOKUP(all_lmics181920[[Setting]:[Setting]],all_cause_mort[],23,FALSE)="",VLOOKUP(all_lmics181920[[who_choice_region]:[who_choice_region]],missing[],27,FALSE),VLOOKUP(all_lmics181920[[Setting]:[Setting]],all_cause_mort[],23,FALSE))*1.05</f>
        <v>0.21935784150000001</v>
      </c>
      <c r="AJ61">
        <f>IF(VLOOKUP(all_lmics181920[[Setting]:[Setting]],all_cause_mort[],24,FALSE)="",VLOOKUP(all_lmics181920[[who_choice_region]:[who_choice_region]],missing[],28,FALSE),VLOOKUP(all_lmics181920[[Setting]:[Setting]],all_cause_mort[],24,FALSE))*1.05</f>
        <v>0.30805599300000003</v>
      </c>
      <c r="AK61">
        <f>IF(VLOOKUP(all_lmics181920[[Setting]:[Setting]],all_cause_mort[],25,FALSE)="",VLOOKUP(all_lmics181920[[who_choice_region]:[who_choice_region]],missing[],29,FALSE),VLOOKUP(all_lmics181920[[Setting]:[Setting]],all_cause_mort[],25,FALSE))*1.05</f>
        <v>0.41823884640644404</v>
      </c>
      <c r="AL61">
        <f>VLOOKUP(all_lmics181920[[worldbank_region]:[worldbank_region]],Table13[],2,FALSE)*1.05</f>
        <v>76.717604249999994</v>
      </c>
      <c r="AM61">
        <f>VLOOKUP(all_lmics181920[[worldbank_region]:[worldbank_region]],Table13[],3,FALSE)*1.05</f>
        <v>76.717604249999994</v>
      </c>
      <c r="AN61">
        <f>VLOOKUP(all_lmics181920[[worldbank_region]:[worldbank_region]],Table13[],4,FALSE)*1.05</f>
        <v>126.83290724999999</v>
      </c>
      <c r="AO61">
        <f>VLOOKUP(all_lmics181920[[worldbank_region]:[worldbank_region]],Table13[],5,FALSE)*1.05</f>
        <v>126.83290724999999</v>
      </c>
      <c r="AP61">
        <f>VLOOKUP(all_lmics181920[[worldbank_region]:[worldbank_region]],Table13[],6,FALSE)*1.05</f>
        <v>126.83290724999999</v>
      </c>
      <c r="AQ61">
        <f>VLOOKUP(all_lmics181920[[worldbank_region]:[worldbank_region]],Table14[],2,FALSE)*1.05</f>
        <v>1.4073045</v>
      </c>
      <c r="AR61">
        <f>VLOOKUP(all_lmics181920[[worldbank_region]:[worldbank_region]],Table14[],3,FALSE)*1.05</f>
        <v>2.0556795000000001</v>
      </c>
      <c r="AS61">
        <f>VLOOKUP(all_lmics181920[[worldbank_region]:[worldbank_region]],Table14[],4,FALSE)*1.05</f>
        <v>2.0709317999999999</v>
      </c>
      <c r="AT61">
        <f>VLOOKUP(all_lmics181920[[worldbank_region]:[worldbank_region]],Table14[],5,FALSE)*1.05</f>
        <v>2.7193068</v>
      </c>
      <c r="AU61">
        <f>VLOOKUP(all_lmics181920[[worldbank_region]:[worldbank_region]],Table14[],6,FALSE)*1.05</f>
        <v>3.3180714</v>
      </c>
      <c r="AV61">
        <f>MIN(IFERROR(VLOOKUP(all_lmics181920[[Setting]:[Setting]],nFacSBA[],4,FALSE),VLOOKUP(all_lmics181920[[who_choice_region]:[who_choice_region]],missing[],30,FALSE))*1.05, 0.9999)</f>
        <v>0.16784953724039575</v>
      </c>
      <c r="AW61">
        <f>VLOOKUP(all_lmics181920[[worldbank_region]:[worldbank_region]],hbe[],4)</f>
        <v>0.5</v>
      </c>
      <c r="AX61">
        <f>VLOOKUP(all_lmics181920[[worldbank_region]:[worldbank_region]],hbe[],7)</f>
        <v>1</v>
      </c>
      <c r="AY61">
        <f>VLOOKUP(all_lmics181920[[worldbank_region]:[worldbank_region]],hbe[],10)</f>
        <v>0.25</v>
      </c>
    </row>
    <row r="62" spans="1:51" x14ac:dyDescent="0.35">
      <c r="A62" s="12" t="s">
        <v>166</v>
      </c>
      <c r="B62" s="13" t="s">
        <v>10</v>
      </c>
      <c r="C62" s="14" t="s">
        <v>11</v>
      </c>
      <c r="D62">
        <f>VLOOKUP(all_lmics181920[[Setting]:[Setting]],populations[],9,FALSE)</f>
        <v>37975841</v>
      </c>
      <c r="E62">
        <f>VLOOKUP(all_lmics181920[[Setting]:[Setting]],birthrate[],3,FALSE)</f>
        <v>1.01E-2</v>
      </c>
      <c r="F62">
        <f>all_lmics181920[[#This Row],[2017_population]]*all_lmics181920[[#This Row],[2016_birthrate]]</f>
        <v>383555.99410000001</v>
      </c>
      <c r="G62">
        <f>MIN(VLOOKUP(all_lmics181920[[Setting]:[Setting]],birthdose[],4,FALSE)*1.05,0.9999)</f>
        <v>0.97650000000000015</v>
      </c>
      <c r="H62">
        <f>MIN(VLOOKUP(all_lmics181920[[Setting]:[Setting]],fullvax[],4,FALSE)*1.05,0.9999)</f>
        <v>0.99749999999999994</v>
      </c>
      <c r="I62">
        <f>IFERROR(VLOOKUP(all_lmics181920[[Setting]:[Setting]],prev[],3,FALSE),VLOOKUP(all_lmics181920[[who_choice_region]:[who_choice_region]],missing[],2,FALSE))</f>
        <v>8.9999999999999993E-3</v>
      </c>
      <c r="J62">
        <f>IFERROR(VLOOKUP(all_lmics181920[[Setting]:[Setting]],prev[],4,FALSE),VLOOKUP(all_lmics181920[[who_choice_region]:[who_choice_region]],missing[],3,FALSE))</f>
        <v>7.0000000000000001E-3</v>
      </c>
      <c r="K62">
        <f>IFERROR(VLOOKUP(all_lmics181920[[Setting]:[Setting]],prev[],5,FALSE),VLOOKUP(all_lmics181920[[who_choice_region]:[who_choice_region]],missing[],4,FALSE))</f>
        <v>1.0999999999999999E-2</v>
      </c>
      <c r="L62">
        <f>IFERROR(VLOOKUP(all_lmics181920[[Setting]:[Setting]],prev[],7,FALSE),VLOOKUP(all_lmics181920[[who_choice_region]:[who_choice_region]],missing[],5,FALSE))</f>
        <v>1.0204081632653062E-3</v>
      </c>
      <c r="M62">
        <f>IFERROR(VLOOKUP(all_lmics181920[[Setting]:[Setting]],prev[],6,FALSE),0)</f>
        <v>37975841</v>
      </c>
      <c r="N62">
        <f>MIN(IFERROR(VLOOKUP(all_lmics181920[[Setting]:[Setting]],SBA[],4,FALSE),VLOOKUP(all_lmics181920[[who_choice_region]:[who_choice_region]],missing[],6,FALSE))*1.05, 0.9999)</f>
        <v>0.99990000000000001</v>
      </c>
      <c r="O62">
        <f>MIN(IFERROR(VLOOKUP(all_lmics181920[[Setting]:[Setting]], facility[], 3,FALSE),VLOOKUP(all_lmics181920[[who_choice_region]:[who_choice_region]],missing[],7,FALSE))*1.05, 0.9999)</f>
        <v>0.99990000000000001</v>
      </c>
      <c r="P62">
        <f>IF(VLOOKUP(all_lmics181920[[Setting]:[Setting]],all_cause_mort[],4,FALSE)="",VLOOKUP(all_lmics181920[[who_choice_region]:[who_choice_region]],missing[],8,FALSE),VLOOKUP(all_lmics181920[[Setting]:[Setting]],all_cause_mort[],4,FALSE))*1.05</f>
        <v>3.4511923950000002E-3</v>
      </c>
      <c r="Q62">
        <f>IF(VLOOKUP(all_lmics181920[[Setting]:[Setting]],all_cause_mort[],5,FALSE)="",VLOOKUP(all_lmics181920[[who_choice_region]:[who_choice_region]],missing[],9,FALSE),VLOOKUP(all_lmics181920[[Setting]:[Setting]],all_cause_mort[],5,FALSE))*1.05</f>
        <v>1.5164030700000003E-4</v>
      </c>
      <c r="R62">
        <f>IF(VLOOKUP(all_lmics181920[[Setting]:[Setting]],all_cause_mort[],6,FALSE)="",VLOOKUP(all_lmics181920[[who_choice_region]:[who_choice_region]],missing[],10,FALSE),VLOOKUP(all_lmics181920[[Setting]:[Setting]],all_cause_mort[],6,FALSE))*1.05</f>
        <v>8.478064455E-5</v>
      </c>
      <c r="S62">
        <f>IF(VLOOKUP(all_lmics181920[[Setting]:[Setting]],all_cause_mort[],7,FALSE)="",VLOOKUP(all_lmics181920[[who_choice_region]:[who_choice_region]],missing[],11,FALSE),VLOOKUP(all_lmics181920[[Setting]:[Setting]],all_cause_mort[],7,FALSE))*1.05</f>
        <v>1.2122678400000001E-4</v>
      </c>
      <c r="T62">
        <f>IF(VLOOKUP(all_lmics181920[[Setting]:[Setting]],all_cause_mort[],8,FALSE)="",VLOOKUP(all_lmics181920[[who_choice_region]:[who_choice_region]],missing[],12,FALSE),VLOOKUP(all_lmics181920[[Setting]:[Setting]],all_cause_mort[],8,FALSE))*1.05</f>
        <v>3.5952084E-4</v>
      </c>
      <c r="U62">
        <f>IF(VLOOKUP(all_lmics181920[[Setting]:[Setting]],all_cause_mort[],9,FALSE)="",VLOOKUP(all_lmics181920[[who_choice_region]:[who_choice_region]],missing[],13,FALSE),VLOOKUP(all_lmics181920[[Setting]:[Setting]],all_cause_mort[],9,FALSE))*1.05</f>
        <v>5.7108414299999999E-4</v>
      </c>
      <c r="V62">
        <f>IF(VLOOKUP(all_lmics181920[[Setting]:[Setting]],all_cause_mort[],10,FALSE)="",VLOOKUP(all_lmics181920[[who_choice_region]:[who_choice_region]],missing[],14,FALSE),VLOOKUP(all_lmics181920[[Setting]:[Setting]],all_cause_mort[],10,FALSE))*1.05</f>
        <v>6.3673836450000004E-4</v>
      </c>
      <c r="W62">
        <f>IF(VLOOKUP(all_lmics181920[[Setting]:[Setting]],all_cause_mort[],11,FALSE)="",VLOOKUP(all_lmics181920[[who_choice_region]:[who_choice_region]],missing[],15,FALSE),VLOOKUP(all_lmics181920[[Setting]:[Setting]],all_cause_mort[],11,FALSE))*1.05</f>
        <v>8.3675558399999995E-4</v>
      </c>
      <c r="X62">
        <f>IF(VLOOKUP(all_lmics181920[[Setting]:[Setting]],all_cause_mort[],12,FALSE)="",VLOOKUP(all_lmics181920[[who_choice_region]:[who_choice_region]],missing[],16,FALSE),VLOOKUP(all_lmics181920[[Setting]:[Setting]],all_cause_mort[],12,FALSE))*1.05</f>
        <v>1.2528223050000001E-3</v>
      </c>
      <c r="Y62">
        <f>IF(VLOOKUP(all_lmics181920[[Setting]:[Setting]],all_cause_mort[],13,FALSE)="",VLOOKUP(all_lmics181920[[who_choice_region]:[who_choice_region]],missing[],17,FALSE),VLOOKUP(all_lmics181920[[Setting]:[Setting]],all_cause_mort[],13,FALSE))*1.05</f>
        <v>2.0480219550000002E-3</v>
      </c>
      <c r="Z62">
        <f>IF(VLOOKUP(all_lmics181920[[Setting]:[Setting]],all_cause_mort[],14,FALSE)="",VLOOKUP(all_lmics181920[[who_choice_region]:[who_choice_region]],missing[],18,FALSE),VLOOKUP(all_lmics181920[[Setting]:[Setting]],all_cause_mort[],14,FALSE))*1.05</f>
        <v>3.4824977250000003E-3</v>
      </c>
      <c r="AA62">
        <f>IF(VLOOKUP(all_lmics181920[[Setting]:[Setting]],all_cause_mort[],15,FALSE)="",VLOOKUP(all_lmics181920[[who_choice_region]:[who_choice_region]],missing[],19,FALSE),VLOOKUP(all_lmics181920[[Setting]:[Setting]],all_cause_mort[],15,FALSE))*1.05</f>
        <v>5.8118370450000005E-3</v>
      </c>
      <c r="AB62">
        <f>IF(VLOOKUP(all_lmics181920[[Setting]:[Setting]],all_cause_mort[],16,FALSE)="",VLOOKUP(all_lmics181920[[who_choice_region]:[who_choice_region]],missing[],20,FALSE),VLOOKUP(all_lmics181920[[Setting]:[Setting]],all_cause_mort[],16,FALSE))*1.05</f>
        <v>9.153942E-3</v>
      </c>
      <c r="AC62">
        <f>IF(VLOOKUP(all_lmics181920[[Setting]:[Setting]],all_cause_mort[],17,FALSE)="",VLOOKUP(all_lmics181920[[who_choice_region]:[who_choice_region]],missing[],21,FALSE),VLOOKUP(all_lmics181920[[Setting]:[Setting]],all_cause_mort[],17,FALSE))*1.05</f>
        <v>1.3584251100000002E-2</v>
      </c>
      <c r="AD62">
        <f>IF(VLOOKUP(all_lmics181920[[Setting]:[Setting]],all_cause_mort[],18,FALSE)="",VLOOKUP(all_lmics181920[[who_choice_region]:[who_choice_region]],missing[],22,FALSE),VLOOKUP(all_lmics181920[[Setting]:[Setting]],all_cause_mort[],18,FALSE))*1.05</f>
        <v>1.9059306000000002E-2</v>
      </c>
      <c r="AE62">
        <f>IF(VLOOKUP(all_lmics181920[[Setting]:[Setting]],all_cause_mort[],19,FALSE)="",VLOOKUP(all_lmics181920[[who_choice_region]:[who_choice_region]],missing[],23,FALSE),VLOOKUP(all_lmics181920[[Setting]:[Setting]],all_cause_mort[],19,FALSE))*1.05</f>
        <v>2.6750438400000003E-2</v>
      </c>
      <c r="AF62">
        <f>IF(VLOOKUP(all_lmics181920[[Setting]:[Setting]],all_cause_mort[],20,FALSE)="",VLOOKUP(all_lmics181920[[who_choice_region]:[who_choice_region]],missing[],24,FALSE),VLOOKUP(all_lmics181920[[Setting]:[Setting]],all_cause_mort[],20,FALSE))*1.05</f>
        <v>4.117393665E-2</v>
      </c>
      <c r="AG62">
        <f>IF(VLOOKUP(all_lmics181920[[Setting]:[Setting]],all_cause_mort[],21,FALSE)="",VLOOKUP(all_lmics181920[[who_choice_region]:[who_choice_region]],missing[],25,FALSE),VLOOKUP(all_lmics181920[[Setting]:[Setting]],all_cause_mort[],21,FALSE))*1.05</f>
        <v>6.9055256549999999E-2</v>
      </c>
      <c r="AH62">
        <f>IF(VLOOKUP(all_lmics181920[[Setting]:[Setting]],all_cause_mort[],22,FALSE)="",VLOOKUP(all_lmics181920[[who_choice_region]:[who_choice_region]],missing[],26,FALSE),VLOOKUP(all_lmics181920[[Setting]:[Setting]],all_cause_mort[],22,FALSE))*1.05</f>
        <v>0.11484770850000001</v>
      </c>
      <c r="AI62">
        <f>IF(VLOOKUP(all_lmics181920[[Setting]:[Setting]],all_cause_mort[],23,FALSE)="",VLOOKUP(all_lmics181920[[who_choice_region]:[who_choice_region]],missing[],27,FALSE),VLOOKUP(all_lmics181920[[Setting]:[Setting]],all_cause_mort[],23,FALSE))*1.05</f>
        <v>0.18554331599999999</v>
      </c>
      <c r="AJ62">
        <f>IF(VLOOKUP(all_lmics181920[[Setting]:[Setting]],all_cause_mort[],24,FALSE)="",VLOOKUP(all_lmics181920[[who_choice_region]:[who_choice_region]],missing[],28,FALSE),VLOOKUP(all_lmics181920[[Setting]:[Setting]],all_cause_mort[],24,FALSE))*1.05</f>
        <v>0.28340961599999998</v>
      </c>
      <c r="AK62">
        <f>IF(VLOOKUP(all_lmics181920[[Setting]:[Setting]],all_cause_mort[],25,FALSE)="",VLOOKUP(all_lmics181920[[who_choice_region]:[who_choice_region]],missing[],29,FALSE),VLOOKUP(all_lmics181920[[Setting]:[Setting]],all_cause_mort[],25,FALSE))*1.05</f>
        <v>0.42419128134208034</v>
      </c>
      <c r="AL62">
        <f>VLOOKUP(all_lmics181920[[worldbank_region]:[worldbank_region]],Table13[],2,FALSE)*1.05</f>
        <v>46.7513991</v>
      </c>
      <c r="AM62">
        <f>VLOOKUP(all_lmics181920[[worldbank_region]:[worldbank_region]],Table13[],3,FALSE)*1.05</f>
        <v>46.7513991</v>
      </c>
      <c r="AN62">
        <f>VLOOKUP(all_lmics181920[[worldbank_region]:[worldbank_region]],Table13[],4,FALSE)*1.05</f>
        <v>96.866702099999983</v>
      </c>
      <c r="AO62">
        <f>VLOOKUP(all_lmics181920[[worldbank_region]:[worldbank_region]],Table13[],5,FALSE)*1.05</f>
        <v>96.866702099999983</v>
      </c>
      <c r="AP62">
        <f>VLOOKUP(all_lmics181920[[worldbank_region]:[worldbank_region]],Table13[],6,FALSE)*1.05</f>
        <v>96.866702099999983</v>
      </c>
      <c r="AQ62">
        <f>VLOOKUP(all_lmics181920[[worldbank_region]:[worldbank_region]],Table14[],2,FALSE)*1.05</f>
        <v>6.7392065999999993</v>
      </c>
      <c r="AR62">
        <f>VLOOKUP(all_lmics181920[[worldbank_region]:[worldbank_region]],Table14[],3,FALSE)*1.05</f>
        <v>7.3875815999999999</v>
      </c>
      <c r="AS62">
        <f>VLOOKUP(all_lmics181920[[worldbank_region]:[worldbank_region]],Table14[],4,FALSE)*1.05</f>
        <v>11.007016649999999</v>
      </c>
      <c r="AT62">
        <f>VLOOKUP(all_lmics181920[[worldbank_region]:[worldbank_region]],Table14[],5,FALSE)*1.05</f>
        <v>11.65539165</v>
      </c>
      <c r="AU62">
        <f>VLOOKUP(all_lmics181920[[worldbank_region]:[worldbank_region]],Table14[],6,FALSE)*1.05</f>
        <v>12.254156249999999</v>
      </c>
      <c r="AV62">
        <f>MIN(IFERROR(VLOOKUP(all_lmics181920[[Setting]:[Setting]],nFacSBA[],4,FALSE),VLOOKUP(all_lmics181920[[who_choice_region]:[who_choice_region]],missing[],30,FALSE))*1.05, 0.9999)</f>
        <v>0.5602570271020012</v>
      </c>
      <c r="AW62">
        <f>VLOOKUP(all_lmics181920[[worldbank_region]:[worldbank_region]],hbe[],4)</f>
        <v>0.5</v>
      </c>
      <c r="AX62">
        <f>VLOOKUP(all_lmics181920[[worldbank_region]:[worldbank_region]],hbe[],7)</f>
        <v>1</v>
      </c>
      <c r="AY62">
        <f>VLOOKUP(all_lmics181920[[worldbank_region]:[worldbank_region]],hbe[],10)</f>
        <v>0.25</v>
      </c>
    </row>
    <row r="63" spans="1:51" x14ac:dyDescent="0.35">
      <c r="A63" s="12" t="s">
        <v>168</v>
      </c>
      <c r="B63" s="13" t="s">
        <v>33</v>
      </c>
      <c r="C63" s="14" t="s">
        <v>7</v>
      </c>
      <c r="D63">
        <f>VLOOKUP(all_lmics181920[[Setting]:[Setting]],populations[],9,FALSE)</f>
        <v>2639211</v>
      </c>
      <c r="E63">
        <f>VLOOKUP(all_lmics181920[[Setting]:[Setting]],birthrate[],3,FALSE)</f>
        <v>1.0146000000000001E-2</v>
      </c>
      <c r="F63">
        <f>all_lmics181920[[#This Row],[2017_population]]*all_lmics181920[[#This Row],[2016_birthrate]]</f>
        <v>26777.434806000001</v>
      </c>
      <c r="G63">
        <f>MIN(VLOOKUP(all_lmics181920[[Setting]:[Setting]],birthdose[],4,FALSE)*1.05,0.9999)</f>
        <v>0.99990000000000001</v>
      </c>
      <c r="H63">
        <f>MIN(VLOOKUP(all_lmics181920[[Setting]:[Setting]],fullvax[],4,FALSE)*1.05,0.9999)</f>
        <v>0.99990000000000001</v>
      </c>
      <c r="I63">
        <f>IFERROR(VLOOKUP(all_lmics181920[[Setting]:[Setting]],prev[],3,FALSE),VLOOKUP(all_lmics181920[[who_choice_region]:[who_choice_region]],missing[],2,FALSE))</f>
        <v>1.2E-2</v>
      </c>
      <c r="J63">
        <f>IFERROR(VLOOKUP(all_lmics181920[[Setting]:[Setting]],prev[],4,FALSE),VLOOKUP(all_lmics181920[[who_choice_region]:[who_choice_region]],missing[],3,FALSE))</f>
        <v>1.0999999999999999E-2</v>
      </c>
      <c r="K63">
        <f>IFERROR(VLOOKUP(all_lmics181920[[Setting]:[Setting]],prev[],5,FALSE),VLOOKUP(all_lmics181920[[who_choice_region]:[who_choice_region]],missing[],4,FALSE))</f>
        <v>1.4E-2</v>
      </c>
      <c r="L63">
        <f>IFERROR(VLOOKUP(all_lmics181920[[Setting]:[Setting]],prev[],7,FALSE),VLOOKUP(all_lmics181920[[who_choice_region]:[who_choice_region]],missing[],5,FALSE))</f>
        <v>1.0204081632653062E-3</v>
      </c>
      <c r="M63">
        <f>IFERROR(VLOOKUP(all_lmics181920[[Setting]:[Setting]],prev[],6,FALSE),0)</f>
        <v>2639211</v>
      </c>
      <c r="N63">
        <f>MIN(IFERROR(VLOOKUP(all_lmics181920[[Setting]:[Setting]],SBA[],4,FALSE),VLOOKUP(all_lmics181920[[who_choice_region]:[who_choice_region]],missing[],6,FALSE))*1.05, 0.9999)</f>
        <v>0.99990000000000001</v>
      </c>
      <c r="O63">
        <f>MIN(IFERROR(VLOOKUP(all_lmics181920[[Setting]:[Setting]], facility[], 3,FALSE),VLOOKUP(all_lmics181920[[who_choice_region]:[who_choice_region]],missing[],7,FALSE))*1.05, 0.9999)</f>
        <v>0.99990000000000001</v>
      </c>
      <c r="P63">
        <f>IF(VLOOKUP(all_lmics181920[[Setting]:[Setting]],all_cause_mort[],4,FALSE)="",VLOOKUP(all_lmics181920[[who_choice_region]:[who_choice_region]],missing[],8,FALSE),VLOOKUP(all_lmics181920[[Setting]:[Setting]],all_cause_mort[],4,FALSE))*1.05</f>
        <v>6.6418384200000007E-3</v>
      </c>
      <c r="Q63">
        <f>IF(VLOOKUP(all_lmics181920[[Setting]:[Setting]],all_cause_mort[],5,FALSE)="",VLOOKUP(all_lmics181920[[who_choice_region]:[who_choice_region]],missing[],9,FALSE),VLOOKUP(all_lmics181920[[Setting]:[Setting]],all_cause_mort[],5,FALSE))*1.05</f>
        <v>3.3615189299999998E-4</v>
      </c>
      <c r="R63">
        <f>IF(VLOOKUP(all_lmics181920[[Setting]:[Setting]],all_cause_mort[],6,FALSE)="",VLOOKUP(all_lmics181920[[who_choice_region]:[who_choice_region]],missing[],10,FALSE),VLOOKUP(all_lmics181920[[Setting]:[Setting]],all_cause_mort[],6,FALSE))*1.05</f>
        <v>1.9346940900000001E-4</v>
      </c>
      <c r="S63">
        <f>IF(VLOOKUP(all_lmics181920[[Setting]:[Setting]],all_cause_mort[],7,FALSE)="",VLOOKUP(all_lmics181920[[who_choice_region]:[who_choice_region]],missing[],11,FALSE),VLOOKUP(all_lmics181920[[Setting]:[Setting]],all_cause_mort[],7,FALSE))*1.05</f>
        <v>1.92599463E-4</v>
      </c>
      <c r="T63">
        <f>IF(VLOOKUP(all_lmics181920[[Setting]:[Setting]],all_cause_mort[],8,FALSE)="",VLOOKUP(all_lmics181920[[who_choice_region]:[who_choice_region]],missing[],12,FALSE),VLOOKUP(all_lmics181920[[Setting]:[Setting]],all_cause_mort[],8,FALSE))*1.05</f>
        <v>3.9692273250000002E-4</v>
      </c>
      <c r="U63">
        <f>IF(VLOOKUP(all_lmics181920[[Setting]:[Setting]],all_cause_mort[],9,FALSE)="",VLOOKUP(all_lmics181920[[who_choice_region]:[who_choice_region]],missing[],13,FALSE),VLOOKUP(all_lmics181920[[Setting]:[Setting]],all_cause_mort[],9,FALSE))*1.05</f>
        <v>4.6354094850000003E-4</v>
      </c>
      <c r="V63">
        <f>IF(VLOOKUP(all_lmics181920[[Setting]:[Setting]],all_cause_mort[],10,FALSE)="",VLOOKUP(all_lmics181920[[who_choice_region]:[who_choice_region]],missing[],14,FALSE),VLOOKUP(all_lmics181920[[Setting]:[Setting]],all_cause_mort[],10,FALSE))*1.05</f>
        <v>4.1015728950000006E-4</v>
      </c>
      <c r="W63">
        <f>IF(VLOOKUP(all_lmics181920[[Setting]:[Setting]],all_cause_mort[],11,FALSE)="",VLOOKUP(all_lmics181920[[who_choice_region]:[who_choice_region]],missing[],15,FALSE),VLOOKUP(all_lmics181920[[Setting]:[Setting]],all_cause_mort[],11,FALSE))*1.05</f>
        <v>4.3525195349999998E-4</v>
      </c>
      <c r="X63">
        <f>IF(VLOOKUP(all_lmics181920[[Setting]:[Setting]],all_cause_mort[],12,FALSE)="",VLOOKUP(all_lmics181920[[who_choice_region]:[who_choice_region]],missing[],16,FALSE),VLOOKUP(all_lmics181920[[Setting]:[Setting]],all_cause_mort[],12,FALSE))*1.05</f>
        <v>5.0227105950000008E-4</v>
      </c>
      <c r="Y63">
        <f>IF(VLOOKUP(all_lmics181920[[Setting]:[Setting]],all_cause_mort[],13,FALSE)="",VLOOKUP(all_lmics181920[[who_choice_region]:[who_choice_region]],missing[],17,FALSE),VLOOKUP(all_lmics181920[[Setting]:[Setting]],all_cause_mort[],13,FALSE))*1.05</f>
        <v>6.7397567999999994E-4</v>
      </c>
      <c r="Z63">
        <f>IF(VLOOKUP(all_lmics181920[[Setting]:[Setting]],all_cause_mort[],14,FALSE)="",VLOOKUP(all_lmics181920[[who_choice_region]:[who_choice_region]],missing[],18,FALSE),VLOOKUP(all_lmics181920[[Setting]:[Setting]],all_cause_mort[],14,FALSE))*1.05</f>
        <v>1.0582983599999999E-3</v>
      </c>
      <c r="AA63">
        <f>IF(VLOOKUP(all_lmics181920[[Setting]:[Setting]],all_cause_mort[],15,FALSE)="",VLOOKUP(all_lmics181920[[who_choice_region]:[who_choice_region]],missing[],19,FALSE),VLOOKUP(all_lmics181920[[Setting]:[Setting]],all_cause_mort[],15,FALSE))*1.05</f>
        <v>1.6305042600000001E-3</v>
      </c>
      <c r="AB63">
        <f>IF(VLOOKUP(all_lmics181920[[Setting]:[Setting]],all_cause_mort[],16,FALSE)="",VLOOKUP(all_lmics181920[[who_choice_region]:[who_choice_region]],missing[],20,FALSE),VLOOKUP(all_lmics181920[[Setting]:[Setting]],all_cause_mort[],16,FALSE))*1.05</f>
        <v>2.9585728200000002E-3</v>
      </c>
      <c r="AC63">
        <f>IF(VLOOKUP(all_lmics181920[[Setting]:[Setting]],all_cause_mort[],17,FALSE)="",VLOOKUP(all_lmics181920[[who_choice_region]:[who_choice_region]],missing[],21,FALSE),VLOOKUP(all_lmics181920[[Setting]:[Setting]],all_cause_mort[],17,FALSE))*1.05</f>
        <v>5.4418515900000004E-3</v>
      </c>
      <c r="AD63">
        <f>IF(VLOOKUP(all_lmics181920[[Setting]:[Setting]],all_cause_mort[],18,FALSE)="",VLOOKUP(all_lmics181920[[who_choice_region]:[who_choice_region]],missing[],22,FALSE),VLOOKUP(all_lmics181920[[Setting]:[Setting]],all_cause_mort[],18,FALSE))*1.05</f>
        <v>2.4832984050000003E-2</v>
      </c>
      <c r="AE63">
        <f>IF(VLOOKUP(all_lmics181920[[Setting]:[Setting]],all_cause_mort[],19,FALSE)="",VLOOKUP(all_lmics181920[[who_choice_region]:[who_choice_region]],missing[],23,FALSE),VLOOKUP(all_lmics181920[[Setting]:[Setting]],all_cause_mort[],19,FALSE))*1.05</f>
        <v>4.4532779549999998E-2</v>
      </c>
      <c r="AF63">
        <f>IF(VLOOKUP(all_lmics181920[[Setting]:[Setting]],all_cause_mort[],20,FALSE)="",VLOOKUP(all_lmics181920[[who_choice_region]:[who_choice_region]],missing[],24,FALSE),VLOOKUP(all_lmics181920[[Setting]:[Setting]],all_cause_mort[],20,FALSE))*1.05</f>
        <v>5.2661428050000007E-2</v>
      </c>
      <c r="AG63">
        <f>IF(VLOOKUP(all_lmics181920[[Setting]:[Setting]],all_cause_mort[],21,FALSE)="",VLOOKUP(all_lmics181920[[who_choice_region]:[who_choice_region]],missing[],25,FALSE),VLOOKUP(all_lmics181920[[Setting]:[Setting]],all_cause_mort[],21,FALSE))*1.05</f>
        <v>7.5062096549999999E-2</v>
      </c>
      <c r="AH63">
        <f>IF(VLOOKUP(all_lmics181920[[Setting]:[Setting]],all_cause_mort[],22,FALSE)="",VLOOKUP(all_lmics181920[[who_choice_region]:[who_choice_region]],missing[],26,FALSE),VLOOKUP(all_lmics181920[[Setting]:[Setting]],all_cause_mort[],22,FALSE))*1.05</f>
        <v>9.0336474900000005E-2</v>
      </c>
      <c r="AI63">
        <f>IF(VLOOKUP(all_lmics181920[[Setting]:[Setting]],all_cause_mort[],23,FALSE)="",VLOOKUP(all_lmics181920[[who_choice_region]:[who_choice_region]],missing[],27,FALSE),VLOOKUP(all_lmics181920[[Setting]:[Setting]],all_cause_mort[],23,FALSE))*1.05</f>
        <v>0.12453596400000001</v>
      </c>
      <c r="AJ63">
        <f>IF(VLOOKUP(all_lmics181920[[Setting]:[Setting]],all_cause_mort[],24,FALSE)="",VLOOKUP(all_lmics181920[[who_choice_region]:[who_choice_region]],missing[],28,FALSE),VLOOKUP(all_lmics181920[[Setting]:[Setting]],all_cause_mort[],24,FALSE))*1.05</f>
        <v>0.1647573795</v>
      </c>
      <c r="AK63">
        <f>IF(VLOOKUP(all_lmics181920[[Setting]:[Setting]],all_cause_mort[],25,FALSE)="",VLOOKUP(all_lmics181920[[who_choice_region]:[who_choice_region]],missing[],29,FALSE),VLOOKUP(all_lmics181920[[Setting]:[Setting]],all_cause_mort[],25,FALSE))*1.05</f>
        <v>0.22819369132678335</v>
      </c>
      <c r="AL63">
        <f>VLOOKUP(all_lmics181920[[worldbank_region]:[worldbank_region]],Table13[],2,FALSE)*1.05</f>
        <v>60.801990899999993</v>
      </c>
      <c r="AM63">
        <f>VLOOKUP(all_lmics181920[[worldbank_region]:[worldbank_region]],Table13[],3,FALSE)*1.05</f>
        <v>60.801990899999993</v>
      </c>
      <c r="AN63">
        <f>VLOOKUP(all_lmics181920[[worldbank_region]:[worldbank_region]],Table13[],4,FALSE)*1.05</f>
        <v>110.91729389999999</v>
      </c>
      <c r="AO63">
        <f>VLOOKUP(all_lmics181920[[worldbank_region]:[worldbank_region]],Table13[],5,FALSE)*1.05</f>
        <v>110.91729389999999</v>
      </c>
      <c r="AP63">
        <f>VLOOKUP(all_lmics181920[[worldbank_region]:[worldbank_region]],Table13[],6,FALSE)*1.05</f>
        <v>110.91729389999999</v>
      </c>
      <c r="AQ63">
        <f>VLOOKUP(all_lmics181920[[worldbank_region]:[worldbank_region]],Table14[],2,FALSE)*1.05</f>
        <v>1.57893225</v>
      </c>
      <c r="AR63">
        <f>VLOOKUP(all_lmics181920[[worldbank_region]:[worldbank_region]],Table14[],3,FALSE)*1.05</f>
        <v>2.22730725</v>
      </c>
      <c r="AS63">
        <f>VLOOKUP(all_lmics181920[[worldbank_region]:[worldbank_region]],Table14[],4,FALSE)*1.05</f>
        <v>2.0823736500000001</v>
      </c>
      <c r="AT63">
        <f>VLOOKUP(all_lmics181920[[worldbank_region]:[worldbank_region]],Table14[],5,FALSE)*1.05</f>
        <v>2.7307486499999998</v>
      </c>
      <c r="AU63">
        <f>VLOOKUP(all_lmics181920[[worldbank_region]:[worldbank_region]],Table14[],6,FALSE)*1.05</f>
        <v>3.3295132499999998</v>
      </c>
      <c r="AV63">
        <f>MIN(IFERROR(VLOOKUP(all_lmics181920[[Setting]:[Setting]],nFacSBA[],4,FALSE),VLOOKUP(all_lmics181920[[who_choice_region]:[who_choice_region]],missing[],30,FALSE))*1.05, 0.9999)</f>
        <v>0.40722609472787386</v>
      </c>
      <c r="AW63">
        <f>VLOOKUP(all_lmics181920[[worldbank_region]:[worldbank_region]],hbe[],4)</f>
        <v>0.5</v>
      </c>
      <c r="AX63">
        <f>VLOOKUP(all_lmics181920[[worldbank_region]:[worldbank_region]],hbe[],7)</f>
        <v>1</v>
      </c>
      <c r="AY63">
        <f>VLOOKUP(all_lmics181920[[worldbank_region]:[worldbank_region]],hbe[],10)</f>
        <v>0.25</v>
      </c>
    </row>
    <row r="64" spans="1:51" x14ac:dyDescent="0.35">
      <c r="A64" s="8" t="s">
        <v>169</v>
      </c>
      <c r="B64" s="10" t="s">
        <v>57</v>
      </c>
      <c r="C64" s="11" t="s">
        <v>58</v>
      </c>
      <c r="D64">
        <f>VLOOKUP(all_lmics181920[[Setting]:[Setting]],populations[],9,FALSE)</f>
        <v>51466201</v>
      </c>
      <c r="E64">
        <f>VLOOKUP(all_lmics181920[[Setting]:[Setting]],birthrate[],3,FALSE)</f>
        <v>7.9000000000000008E-3</v>
      </c>
      <c r="F64">
        <f>all_lmics181920[[#This Row],[2017_population]]*all_lmics181920[[#This Row],[2016_birthrate]]</f>
        <v>406582.98790000007</v>
      </c>
      <c r="G64">
        <f>MIN(VLOOKUP(all_lmics181920[[Setting]:[Setting]],birthdose[],4,FALSE)*1.05,0.9999)</f>
        <v>0.96600000000000008</v>
      </c>
      <c r="H64">
        <f>MIN(VLOOKUP(all_lmics181920[[Setting]:[Setting]],fullvax[],4,FALSE)*1.05,0.9999)</f>
        <v>0.99990000000000001</v>
      </c>
      <c r="I64">
        <f>IFERROR(VLOOKUP(all_lmics181920[[Setting]:[Setting]],prev[],3,FALSE),VLOOKUP(all_lmics181920[[who_choice_region]:[who_choice_region]],missing[],2,FALSE))</f>
        <v>2.4E-2</v>
      </c>
      <c r="J64">
        <f>IFERROR(VLOOKUP(all_lmics181920[[Setting]:[Setting]],prev[],4,FALSE),VLOOKUP(all_lmics181920[[who_choice_region]:[who_choice_region]],missing[],3,FALSE))</f>
        <v>2.3E-2</v>
      </c>
      <c r="K64">
        <f>IFERROR(VLOOKUP(all_lmics181920[[Setting]:[Setting]],prev[],5,FALSE),VLOOKUP(all_lmics181920[[who_choice_region]:[who_choice_region]],missing[],4,FALSE))</f>
        <v>0.03</v>
      </c>
      <c r="L64">
        <f>IFERROR(VLOOKUP(all_lmics181920[[Setting]:[Setting]],prev[],7,FALSE),VLOOKUP(all_lmics181920[[who_choice_region]:[who_choice_region]],missing[],5,FALSE))</f>
        <v>3.0612244897959178E-3</v>
      </c>
      <c r="M64">
        <f>IFERROR(VLOOKUP(all_lmics181920[[Setting]:[Setting]],prev[],6,FALSE),0)</f>
        <v>51466201</v>
      </c>
      <c r="N64">
        <f>MIN(IFERROR(VLOOKUP(all_lmics181920[[Setting]:[Setting]],SBA[],4,FALSE),VLOOKUP(all_lmics181920[[who_choice_region]:[who_choice_region]],missing[],6,FALSE))*1.05, 0.9999)</f>
        <v>0.99990000000000001</v>
      </c>
      <c r="O64">
        <f>MIN(IFERROR(VLOOKUP(all_lmics181920[[Setting]:[Setting]], facility[], 3,FALSE),VLOOKUP(all_lmics181920[[who_choice_region]:[who_choice_region]],missing[],7,FALSE))*1.05, 0.9999)</f>
        <v>0.99990000000000001</v>
      </c>
      <c r="P64">
        <f>IF(VLOOKUP(all_lmics181920[[Setting]:[Setting]],all_cause_mort[],4,FALSE)="",VLOOKUP(all_lmics181920[[who_choice_region]:[who_choice_region]],missing[],8,FALSE),VLOOKUP(all_lmics181920[[Setting]:[Setting]],all_cause_mort[],4,FALSE))*1.05</f>
        <v>2.2163912400000002E-3</v>
      </c>
      <c r="Q64">
        <f>IF(VLOOKUP(all_lmics181920[[Setting]:[Setting]],all_cause_mort[],5,FALSE)="",VLOOKUP(all_lmics181920[[who_choice_region]:[who_choice_region]],missing[],9,FALSE),VLOOKUP(all_lmics181920[[Setting]:[Setting]],all_cause_mort[],5,FALSE))*1.05</f>
        <v>1.335800025E-4</v>
      </c>
      <c r="R64">
        <f>IF(VLOOKUP(all_lmics181920[[Setting]:[Setting]],all_cause_mort[],6,FALSE)="",VLOOKUP(all_lmics181920[[who_choice_region]:[who_choice_region]],missing[],10,FALSE),VLOOKUP(all_lmics181920[[Setting]:[Setting]],all_cause_mort[],6,FALSE))*1.05</f>
        <v>7.3610197500000005E-5</v>
      </c>
      <c r="S64">
        <f>IF(VLOOKUP(all_lmics181920[[Setting]:[Setting]],all_cause_mort[],7,FALSE)="",VLOOKUP(all_lmics181920[[who_choice_region]:[who_choice_region]],missing[],11,FALSE),VLOOKUP(all_lmics181920[[Setting]:[Setting]],all_cause_mort[],7,FALSE))*1.05</f>
        <v>7.9996072800000008E-5</v>
      </c>
      <c r="T64">
        <f>IF(VLOOKUP(all_lmics181920[[Setting]:[Setting]],all_cause_mort[],8,FALSE)="",VLOOKUP(all_lmics181920[[who_choice_region]:[who_choice_region]],missing[],12,FALSE),VLOOKUP(all_lmics181920[[Setting]:[Setting]],all_cause_mort[],8,FALSE))*1.05</f>
        <v>2.04013635E-4</v>
      </c>
      <c r="U64">
        <f>IF(VLOOKUP(all_lmics181920[[Setting]:[Setting]],all_cause_mort[],9,FALSE)="",VLOOKUP(all_lmics181920[[who_choice_region]:[who_choice_region]],missing[],13,FALSE),VLOOKUP(all_lmics181920[[Setting]:[Setting]],all_cause_mort[],9,FALSE))*1.05</f>
        <v>3.131593185E-4</v>
      </c>
      <c r="V64">
        <f>IF(VLOOKUP(all_lmics181920[[Setting]:[Setting]],all_cause_mort[],10,FALSE)="",VLOOKUP(all_lmics181920[[who_choice_region]:[who_choice_region]],missing[],14,FALSE),VLOOKUP(all_lmics181920[[Setting]:[Setting]],all_cause_mort[],10,FALSE))*1.05</f>
        <v>4.392396015E-4</v>
      </c>
      <c r="W64">
        <f>IF(VLOOKUP(all_lmics181920[[Setting]:[Setting]],all_cause_mort[],11,FALSE)="",VLOOKUP(all_lmics181920[[who_choice_region]:[who_choice_region]],missing[],15,FALSE),VLOOKUP(all_lmics181920[[Setting]:[Setting]],all_cause_mort[],11,FALSE))*1.05</f>
        <v>5.8321078200000004E-4</v>
      </c>
      <c r="X64">
        <f>IF(VLOOKUP(all_lmics181920[[Setting]:[Setting]],all_cause_mort[],12,FALSE)="",VLOOKUP(all_lmics181920[[who_choice_region]:[who_choice_region]],missing[],16,FALSE),VLOOKUP(all_lmics181920[[Setting]:[Setting]],all_cause_mort[],12,FALSE))*1.05</f>
        <v>7.8289308299999999E-4</v>
      </c>
      <c r="Y64">
        <f>IF(VLOOKUP(all_lmics181920[[Setting]:[Setting]],all_cause_mort[],13,FALSE)="",VLOOKUP(all_lmics181920[[who_choice_region]:[who_choice_region]],missing[],17,FALSE),VLOOKUP(all_lmics181920[[Setting]:[Setting]],all_cause_mort[],13,FALSE))*1.05</f>
        <v>1.2056848650000001E-3</v>
      </c>
      <c r="Z64">
        <f>IF(VLOOKUP(all_lmics181920[[Setting]:[Setting]],all_cause_mort[],14,FALSE)="",VLOOKUP(all_lmics181920[[who_choice_region]:[who_choice_region]],missing[],18,FALSE),VLOOKUP(all_lmics181920[[Setting]:[Setting]],all_cause_mort[],14,FALSE))*1.05</f>
        <v>1.916109615E-3</v>
      </c>
      <c r="AA64">
        <f>IF(VLOOKUP(all_lmics181920[[Setting]:[Setting]],all_cause_mort[],15,FALSE)="",VLOOKUP(all_lmics181920[[who_choice_region]:[who_choice_region]],missing[],19,FALSE),VLOOKUP(all_lmics181920[[Setting]:[Setting]],all_cause_mort[],15,FALSE))*1.05</f>
        <v>2.8738293150000001E-3</v>
      </c>
      <c r="AB64">
        <f>IF(VLOOKUP(all_lmics181920[[Setting]:[Setting]],all_cause_mort[],16,FALSE)="",VLOOKUP(all_lmics181920[[who_choice_region]:[who_choice_region]],missing[],20,FALSE),VLOOKUP(all_lmics181920[[Setting]:[Setting]],all_cause_mort[],16,FALSE))*1.05</f>
        <v>4.0620926850000001E-3</v>
      </c>
      <c r="AC64">
        <f>IF(VLOOKUP(all_lmics181920[[Setting]:[Setting]],all_cause_mort[],17,FALSE)="",VLOOKUP(all_lmics181920[[who_choice_region]:[who_choice_region]],missing[],21,FALSE),VLOOKUP(all_lmics181920[[Setting]:[Setting]],all_cause_mort[],17,FALSE))*1.05</f>
        <v>5.9196994499999996E-3</v>
      </c>
      <c r="AD64">
        <f>IF(VLOOKUP(all_lmics181920[[Setting]:[Setting]],all_cause_mort[],18,FALSE)="",VLOOKUP(all_lmics181920[[who_choice_region]:[who_choice_region]],missing[],22,FALSE),VLOOKUP(all_lmics181920[[Setting]:[Setting]],all_cause_mort[],18,FALSE))*1.05</f>
        <v>9.324925365000002E-3</v>
      </c>
      <c r="AE64">
        <f>IF(VLOOKUP(all_lmics181920[[Setting]:[Setting]],all_cause_mort[],19,FALSE)="",VLOOKUP(all_lmics181920[[who_choice_region]:[who_choice_region]],missing[],23,FALSE),VLOOKUP(all_lmics181920[[Setting]:[Setting]],all_cause_mort[],19,FALSE))*1.05</f>
        <v>1.7196570299999998E-2</v>
      </c>
      <c r="AF64">
        <f>IF(VLOOKUP(all_lmics181920[[Setting]:[Setting]],all_cause_mort[],20,FALSE)="",VLOOKUP(all_lmics181920[[who_choice_region]:[who_choice_region]],missing[],24,FALSE),VLOOKUP(all_lmics181920[[Setting]:[Setting]],all_cause_mort[],20,FALSE))*1.05</f>
        <v>3.20517897E-2</v>
      </c>
      <c r="AG64">
        <f>IF(VLOOKUP(all_lmics181920[[Setting]:[Setting]],all_cause_mort[],21,FALSE)="",VLOOKUP(all_lmics181920[[who_choice_region]:[who_choice_region]],missing[],25,FALSE),VLOOKUP(all_lmics181920[[Setting]:[Setting]],all_cause_mort[],21,FALSE))*1.05</f>
        <v>5.9986426500000002E-2</v>
      </c>
      <c r="AH64">
        <f>IF(VLOOKUP(all_lmics181920[[Setting]:[Setting]],all_cause_mort[],22,FALSE)="",VLOOKUP(all_lmics181920[[who_choice_region]:[who_choice_region]],missing[],26,FALSE),VLOOKUP(all_lmics181920[[Setting]:[Setting]],all_cause_mort[],22,FALSE))*1.05</f>
        <v>0.10797697050000001</v>
      </c>
      <c r="AI64">
        <f>IF(VLOOKUP(all_lmics181920[[Setting]:[Setting]],all_cause_mort[],23,FALSE)="",VLOOKUP(all_lmics181920[[who_choice_region]:[who_choice_region]],missing[],27,FALSE),VLOOKUP(all_lmics181920[[Setting]:[Setting]],all_cause_mort[],23,FALSE))*1.05</f>
        <v>0.18404036700000001</v>
      </c>
      <c r="AJ64">
        <f>IF(VLOOKUP(all_lmics181920[[Setting]:[Setting]],all_cause_mort[],24,FALSE)="",VLOOKUP(all_lmics181920[[who_choice_region]:[who_choice_region]],missing[],28,FALSE),VLOOKUP(all_lmics181920[[Setting]:[Setting]],all_cause_mort[],24,FALSE))*1.05</f>
        <v>0.29124256350000005</v>
      </c>
      <c r="AK64">
        <f>IF(VLOOKUP(all_lmics181920[[Setting]:[Setting]],all_cause_mort[],25,FALSE)="",VLOOKUP(all_lmics181920[[who_choice_region]:[who_choice_region]],missing[],29,FALSE),VLOOKUP(all_lmics181920[[Setting]:[Setting]],all_cause_mort[],25,FALSE))*1.05</f>
        <v>0.4484804840513939</v>
      </c>
      <c r="AL64">
        <f>VLOOKUP(all_lmics181920[[worldbank_region]:[worldbank_region]],Table13[],2,FALSE)*1.05</f>
        <v>76.717604249999994</v>
      </c>
      <c r="AM64">
        <f>VLOOKUP(all_lmics181920[[worldbank_region]:[worldbank_region]],Table13[],3,FALSE)*1.05</f>
        <v>76.717604249999994</v>
      </c>
      <c r="AN64">
        <f>VLOOKUP(all_lmics181920[[worldbank_region]:[worldbank_region]],Table13[],4,FALSE)*1.05</f>
        <v>126.83290724999999</v>
      </c>
      <c r="AO64">
        <f>VLOOKUP(all_lmics181920[[worldbank_region]:[worldbank_region]],Table13[],5,FALSE)*1.05</f>
        <v>126.83290724999999</v>
      </c>
      <c r="AP64">
        <f>VLOOKUP(all_lmics181920[[worldbank_region]:[worldbank_region]],Table13[],6,FALSE)*1.05</f>
        <v>126.83290724999999</v>
      </c>
      <c r="AQ64">
        <f>VLOOKUP(all_lmics181920[[worldbank_region]:[worldbank_region]],Table14[],2,FALSE)*1.05</f>
        <v>1.4073045</v>
      </c>
      <c r="AR64">
        <f>VLOOKUP(all_lmics181920[[worldbank_region]:[worldbank_region]],Table14[],3,FALSE)*1.05</f>
        <v>2.0556795000000001</v>
      </c>
      <c r="AS64">
        <f>VLOOKUP(all_lmics181920[[worldbank_region]:[worldbank_region]],Table14[],4,FALSE)*1.05</f>
        <v>2.0709317999999999</v>
      </c>
      <c r="AT64">
        <f>VLOOKUP(all_lmics181920[[worldbank_region]:[worldbank_region]],Table14[],5,FALSE)*1.05</f>
        <v>2.7193068</v>
      </c>
      <c r="AU64">
        <f>VLOOKUP(all_lmics181920[[worldbank_region]:[worldbank_region]],Table14[],6,FALSE)*1.05</f>
        <v>3.3180714</v>
      </c>
      <c r="AV64">
        <f>MIN(IFERROR(VLOOKUP(all_lmics181920[[Setting]:[Setting]],nFacSBA[],4,FALSE),VLOOKUP(all_lmics181920[[who_choice_region]:[who_choice_region]],missing[],30,FALSE))*1.05, 0.9999)</f>
        <v>0.16784953724039575</v>
      </c>
      <c r="AW64">
        <f>VLOOKUP(all_lmics181920[[worldbank_region]:[worldbank_region]],hbe[],4)</f>
        <v>0.5</v>
      </c>
      <c r="AX64">
        <f>VLOOKUP(all_lmics181920[[worldbank_region]:[worldbank_region]],hbe[],7)</f>
        <v>1</v>
      </c>
      <c r="AY64">
        <f>VLOOKUP(all_lmics181920[[worldbank_region]:[worldbank_region]],hbe[],10)</f>
        <v>0.25</v>
      </c>
    </row>
    <row r="65" spans="1:51" x14ac:dyDescent="0.35">
      <c r="A65" s="12" t="s">
        <v>170</v>
      </c>
      <c r="B65" s="13" t="s">
        <v>40</v>
      </c>
      <c r="C65" s="14" t="s">
        <v>11</v>
      </c>
      <c r="D65">
        <f>VLOOKUP(all_lmics181920[[Setting]:[Setting]],populations[],9,FALSE)</f>
        <v>3549750</v>
      </c>
      <c r="E65">
        <f>VLOOKUP(all_lmics181920[[Setting]:[Setting]],birthrate[],3,FALSE)</f>
        <v>1.0323000000000001E-2</v>
      </c>
      <c r="F65">
        <f>all_lmics181920[[#This Row],[2017_population]]*all_lmics181920[[#This Row],[2016_birthrate]]</f>
        <v>36644.06925</v>
      </c>
      <c r="G65">
        <f>MIN(VLOOKUP(all_lmics181920[[Setting]:[Setting]],birthdose[],4,FALSE)*1.05,0.9999)</f>
        <v>0.99990000000000001</v>
      </c>
      <c r="H65">
        <f>MIN(VLOOKUP(all_lmics181920[[Setting]:[Setting]],fullvax[],4,FALSE)*1.05,0.9999)</f>
        <v>0.93450000000000011</v>
      </c>
      <c r="I65">
        <f>IFERROR(VLOOKUP(all_lmics181920[[Setting]:[Setting]],prev[],3,FALSE),VLOOKUP(all_lmics181920[[who_choice_region]:[who_choice_region]],missing[],2,FALSE))</f>
        <v>7.3800000000000004E-2</v>
      </c>
      <c r="J65">
        <f>IFERROR(VLOOKUP(all_lmics181920[[Setting]:[Setting]],prev[],4,FALSE),VLOOKUP(all_lmics181920[[who_choice_region]:[who_choice_region]],missing[],3,FALSE))</f>
        <v>6.6799999999999998E-2</v>
      </c>
      <c r="K65">
        <f>IFERROR(VLOOKUP(all_lmics181920[[Setting]:[Setting]],prev[],5,FALSE),VLOOKUP(all_lmics181920[[who_choice_region]:[who_choice_region]],missing[],4,FALSE))</f>
        <v>8.14E-2</v>
      </c>
      <c r="L65">
        <f>IFERROR(VLOOKUP(all_lmics181920[[Setting]:[Setting]],prev[],7,FALSE),VLOOKUP(all_lmics181920[[who_choice_region]:[who_choice_region]],missing[],5,FALSE))</f>
        <v>3.8775510204081612E-3</v>
      </c>
      <c r="M65">
        <f>IFERROR(VLOOKUP(all_lmics181920[[Setting]:[Setting]],prev[],6,FALSE),0)</f>
        <v>3562045</v>
      </c>
      <c r="N65">
        <f>MIN(IFERROR(VLOOKUP(all_lmics181920[[Setting]:[Setting]],SBA[],4,FALSE),VLOOKUP(all_lmics181920[[who_choice_region]:[who_choice_region]],missing[],6,FALSE))*1.05, 0.9999)</f>
        <v>0.99990000000000001</v>
      </c>
      <c r="O65">
        <f>MIN(IFERROR(VLOOKUP(all_lmics181920[[Setting]:[Setting]], facility[], 3,FALSE),VLOOKUP(all_lmics181920[[who_choice_region]:[who_choice_region]],missing[],7,FALSE))*1.05, 0.9999)</f>
        <v>0.99990000000000001</v>
      </c>
      <c r="P65">
        <f>IF(VLOOKUP(all_lmics181920[[Setting]:[Setting]],all_cause_mort[],4,FALSE)="",VLOOKUP(all_lmics181920[[who_choice_region]:[who_choice_region]],missing[],8,FALSE),VLOOKUP(all_lmics181920[[Setting]:[Setting]],all_cause_mort[],4,FALSE))*1.05</f>
        <v>1.312267005E-2</v>
      </c>
      <c r="Q65">
        <f>IF(VLOOKUP(all_lmics181920[[Setting]:[Setting]],all_cause_mort[],5,FALSE)="",VLOOKUP(all_lmics181920[[who_choice_region]:[who_choice_region]],missing[],9,FALSE),VLOOKUP(all_lmics181920[[Setting]:[Setting]],all_cause_mort[],5,FALSE))*1.05</f>
        <v>5.4304419749999998E-4</v>
      </c>
      <c r="R65">
        <f>IF(VLOOKUP(all_lmics181920[[Setting]:[Setting]],all_cause_mort[],6,FALSE)="",VLOOKUP(all_lmics181920[[who_choice_region]:[who_choice_region]],missing[],10,FALSE),VLOOKUP(all_lmics181920[[Setting]:[Setting]],all_cause_mort[],6,FALSE))*1.05</f>
        <v>2.3715323100000001E-4</v>
      </c>
      <c r="S65">
        <f>IF(VLOOKUP(all_lmics181920[[Setting]:[Setting]],all_cause_mort[],7,FALSE)="",VLOOKUP(all_lmics181920[[who_choice_region]:[who_choice_region]],missing[],11,FALSE),VLOOKUP(all_lmics181920[[Setting]:[Setting]],all_cause_mort[],7,FALSE))*1.05</f>
        <v>1.8540048450000002E-4</v>
      </c>
      <c r="T65">
        <f>IF(VLOOKUP(all_lmics181920[[Setting]:[Setting]],all_cause_mort[],8,FALSE)="",VLOOKUP(all_lmics181920[[who_choice_region]:[who_choice_region]],missing[],12,FALSE),VLOOKUP(all_lmics181920[[Setting]:[Setting]],all_cause_mort[],8,FALSE))*1.05</f>
        <v>4.3323792750000003E-4</v>
      </c>
      <c r="U65">
        <f>IF(VLOOKUP(all_lmics181920[[Setting]:[Setting]],all_cause_mort[],9,FALSE)="",VLOOKUP(all_lmics181920[[who_choice_region]:[who_choice_region]],missing[],13,FALSE),VLOOKUP(all_lmics181920[[Setting]:[Setting]],all_cause_mort[],9,FALSE))*1.05</f>
        <v>5.8707574799999999E-4</v>
      </c>
      <c r="V65">
        <f>IF(VLOOKUP(all_lmics181920[[Setting]:[Setting]],all_cause_mort[],10,FALSE)="",VLOOKUP(all_lmics181920[[who_choice_region]:[who_choice_region]],missing[],14,FALSE),VLOOKUP(all_lmics181920[[Setting]:[Setting]],all_cause_mort[],10,FALSE))*1.05</f>
        <v>8.8349811899999999E-4</v>
      </c>
      <c r="W65">
        <f>IF(VLOOKUP(all_lmics181920[[Setting]:[Setting]],all_cause_mort[],11,FALSE)="",VLOOKUP(all_lmics181920[[who_choice_region]:[who_choice_region]],missing[],15,FALSE),VLOOKUP(all_lmics181920[[Setting]:[Setting]],all_cause_mort[],11,FALSE))*1.05</f>
        <v>1.35972081E-3</v>
      </c>
      <c r="X65">
        <f>IF(VLOOKUP(all_lmics181920[[Setting]:[Setting]],all_cause_mort[],12,FALSE)="",VLOOKUP(all_lmics181920[[who_choice_region]:[who_choice_region]],missing[],16,FALSE),VLOOKUP(all_lmics181920[[Setting]:[Setting]],all_cause_mort[],12,FALSE))*1.05</f>
        <v>2.4374467950000005E-3</v>
      </c>
      <c r="Y65">
        <f>IF(VLOOKUP(all_lmics181920[[Setting]:[Setting]],all_cause_mort[],13,FALSE)="",VLOOKUP(all_lmics181920[[who_choice_region]:[who_choice_region]],missing[],17,FALSE),VLOOKUP(all_lmics181920[[Setting]:[Setting]],all_cause_mort[],13,FALSE))*1.05</f>
        <v>3.4353882150000002E-3</v>
      </c>
      <c r="Z65">
        <f>IF(VLOOKUP(all_lmics181920[[Setting]:[Setting]],all_cause_mort[],14,FALSE)="",VLOOKUP(all_lmics181920[[who_choice_region]:[who_choice_region]],missing[],18,FALSE),VLOOKUP(all_lmics181920[[Setting]:[Setting]],all_cause_mort[],14,FALSE))*1.05</f>
        <v>6.1282671450000005E-3</v>
      </c>
      <c r="AA65">
        <f>IF(VLOOKUP(all_lmics181920[[Setting]:[Setting]],all_cause_mort[],15,FALSE)="",VLOOKUP(all_lmics181920[[who_choice_region]:[who_choice_region]],missing[],19,FALSE),VLOOKUP(all_lmics181920[[Setting]:[Setting]],all_cause_mort[],15,FALSE))*1.05</f>
        <v>9.1635743849999996E-3</v>
      </c>
      <c r="AB65">
        <f>IF(VLOOKUP(all_lmics181920[[Setting]:[Setting]],all_cause_mort[],16,FALSE)="",VLOOKUP(all_lmics181920[[who_choice_region]:[who_choice_region]],missing[],20,FALSE),VLOOKUP(all_lmics181920[[Setting]:[Setting]],all_cause_mort[],16,FALSE))*1.05</f>
        <v>1.3878162900000001E-2</v>
      </c>
      <c r="AC65">
        <f>IF(VLOOKUP(all_lmics181920[[Setting]:[Setting]],all_cause_mort[],17,FALSE)="",VLOOKUP(all_lmics181920[[who_choice_region]:[who_choice_region]],missing[],21,FALSE),VLOOKUP(all_lmics181920[[Setting]:[Setting]],all_cause_mort[],17,FALSE))*1.05</f>
        <v>2.3317038150000004E-2</v>
      </c>
      <c r="AD65">
        <f>IF(VLOOKUP(all_lmics181920[[Setting]:[Setting]],all_cause_mort[],18,FALSE)="",VLOOKUP(all_lmics181920[[who_choice_region]:[who_choice_region]],missing[],22,FALSE),VLOOKUP(all_lmics181920[[Setting]:[Setting]],all_cause_mort[],18,FALSE))*1.05</f>
        <v>3.076520265E-2</v>
      </c>
      <c r="AE65">
        <f>IF(VLOOKUP(all_lmics181920[[Setting]:[Setting]],all_cause_mort[],19,FALSE)="",VLOOKUP(all_lmics181920[[who_choice_region]:[who_choice_region]],missing[],23,FALSE),VLOOKUP(all_lmics181920[[Setting]:[Setting]],all_cause_mort[],19,FALSE))*1.05</f>
        <v>4.9607564999999999E-2</v>
      </c>
      <c r="AF65">
        <f>IF(VLOOKUP(all_lmics181920[[Setting]:[Setting]],all_cause_mort[],20,FALSE)="",VLOOKUP(all_lmics181920[[who_choice_region]:[who_choice_region]],missing[],24,FALSE),VLOOKUP(all_lmics181920[[Setting]:[Setting]],all_cause_mort[],20,FALSE))*1.05</f>
        <v>7.9401139650000008E-2</v>
      </c>
      <c r="AG65">
        <f>IF(VLOOKUP(all_lmics181920[[Setting]:[Setting]],all_cause_mort[],21,FALSE)="",VLOOKUP(all_lmics181920[[who_choice_region]:[who_choice_region]],missing[],25,FALSE),VLOOKUP(all_lmics181920[[Setting]:[Setting]],all_cause_mort[],21,FALSE))*1.05</f>
        <v>0.12663383250000002</v>
      </c>
      <c r="AH65">
        <f>IF(VLOOKUP(all_lmics181920[[Setting]:[Setting]],all_cause_mort[],22,FALSE)="",VLOOKUP(all_lmics181920[[who_choice_region]:[who_choice_region]],missing[],26,FALSE),VLOOKUP(all_lmics181920[[Setting]:[Setting]],all_cause_mort[],22,FALSE))*1.05</f>
        <v>0.195917484</v>
      </c>
      <c r="AI65">
        <f>IF(VLOOKUP(all_lmics181920[[Setting]:[Setting]],all_cause_mort[],23,FALSE)="",VLOOKUP(all_lmics181920[[who_choice_region]:[who_choice_region]],missing[],27,FALSE),VLOOKUP(all_lmics181920[[Setting]:[Setting]],all_cause_mort[],23,FALSE))*1.05</f>
        <v>0.27883562699999997</v>
      </c>
      <c r="AJ65">
        <f>IF(VLOOKUP(all_lmics181920[[Setting]:[Setting]],all_cause_mort[],24,FALSE)="",VLOOKUP(all_lmics181920[[who_choice_region]:[who_choice_region]],missing[],28,FALSE),VLOOKUP(all_lmics181920[[Setting]:[Setting]],all_cause_mort[],24,FALSE))*1.05</f>
        <v>0.39817385999999999</v>
      </c>
      <c r="AK65">
        <f>IF(VLOOKUP(all_lmics181920[[Setting]:[Setting]],all_cause_mort[],25,FALSE)="",VLOOKUP(all_lmics181920[[who_choice_region]:[who_choice_region]],missing[],29,FALSE),VLOOKUP(all_lmics181920[[Setting]:[Setting]],all_cause_mort[],25,FALSE))*1.05</f>
        <v>0.56294089329712715</v>
      </c>
      <c r="AL65">
        <f>VLOOKUP(all_lmics181920[[worldbank_region]:[worldbank_region]],Table13[],2,FALSE)*1.05</f>
        <v>46.7513991</v>
      </c>
      <c r="AM65">
        <f>VLOOKUP(all_lmics181920[[worldbank_region]:[worldbank_region]],Table13[],3,FALSE)*1.05</f>
        <v>46.7513991</v>
      </c>
      <c r="AN65">
        <f>VLOOKUP(all_lmics181920[[worldbank_region]:[worldbank_region]],Table13[],4,FALSE)*1.05</f>
        <v>96.866702099999983</v>
      </c>
      <c r="AO65">
        <f>VLOOKUP(all_lmics181920[[worldbank_region]:[worldbank_region]],Table13[],5,FALSE)*1.05</f>
        <v>96.866702099999983</v>
      </c>
      <c r="AP65">
        <f>VLOOKUP(all_lmics181920[[worldbank_region]:[worldbank_region]],Table13[],6,FALSE)*1.05</f>
        <v>96.866702099999983</v>
      </c>
      <c r="AQ65">
        <f>VLOOKUP(all_lmics181920[[worldbank_region]:[worldbank_region]],Table14[],2,FALSE)*1.05</f>
        <v>6.7392065999999993</v>
      </c>
      <c r="AR65">
        <f>VLOOKUP(all_lmics181920[[worldbank_region]:[worldbank_region]],Table14[],3,FALSE)*1.05</f>
        <v>7.3875815999999999</v>
      </c>
      <c r="AS65">
        <f>VLOOKUP(all_lmics181920[[worldbank_region]:[worldbank_region]],Table14[],4,FALSE)*1.05</f>
        <v>11.007016649999999</v>
      </c>
      <c r="AT65">
        <f>VLOOKUP(all_lmics181920[[worldbank_region]:[worldbank_region]],Table14[],5,FALSE)*1.05</f>
        <v>11.65539165</v>
      </c>
      <c r="AU65">
        <f>VLOOKUP(all_lmics181920[[worldbank_region]:[worldbank_region]],Table14[],6,FALSE)*1.05</f>
        <v>12.254156249999999</v>
      </c>
      <c r="AV65">
        <f>MIN(IFERROR(VLOOKUP(all_lmics181920[[Setting]:[Setting]],nFacSBA[],4,FALSE),VLOOKUP(all_lmics181920[[who_choice_region]:[who_choice_region]],missing[],30,FALSE))*1.05, 0.9999)</f>
        <v>0.28622679114654354</v>
      </c>
      <c r="AW65">
        <f>VLOOKUP(all_lmics181920[[worldbank_region]:[worldbank_region]],hbe[],4)</f>
        <v>0.5</v>
      </c>
      <c r="AX65">
        <f>VLOOKUP(all_lmics181920[[worldbank_region]:[worldbank_region]],hbe[],7)</f>
        <v>1</v>
      </c>
      <c r="AY65">
        <f>VLOOKUP(all_lmics181920[[worldbank_region]:[worldbank_region]],hbe[],10)</f>
        <v>0.25</v>
      </c>
    </row>
    <row r="66" spans="1:51" x14ac:dyDescent="0.35">
      <c r="A66" s="8" t="s">
        <v>171</v>
      </c>
      <c r="B66" s="10" t="s">
        <v>10</v>
      </c>
      <c r="C66" s="11" t="s">
        <v>11</v>
      </c>
      <c r="D66">
        <f>VLOOKUP(all_lmics181920[[Setting]:[Setting]],populations[],9,FALSE)</f>
        <v>19586539</v>
      </c>
      <c r="E66">
        <f>VLOOKUP(all_lmics181920[[Setting]:[Setting]],birthrate[],3,FALSE)</f>
        <v>9.5999999999999992E-3</v>
      </c>
      <c r="F66">
        <f>all_lmics181920[[#This Row],[2017_population]]*all_lmics181920[[#This Row],[2016_birthrate]]</f>
        <v>188030.77439999999</v>
      </c>
      <c r="G66">
        <f>MIN(VLOOKUP(all_lmics181920[[Setting]:[Setting]],birthdose[],4,FALSE)*1.05,0.9999)</f>
        <v>0.97650000000000015</v>
      </c>
      <c r="H66">
        <f>MIN(VLOOKUP(all_lmics181920[[Setting]:[Setting]],fullvax[],4,FALSE)*1.05,0.9999)</f>
        <v>0.96600000000000008</v>
      </c>
      <c r="I66">
        <f>IFERROR(VLOOKUP(all_lmics181920[[Setting]:[Setting]],prev[],3,FALSE),VLOOKUP(all_lmics181920[[who_choice_region]:[who_choice_region]],missing[],2,FALSE))</f>
        <v>3.4000000000000002E-2</v>
      </c>
      <c r="J66">
        <f>IFERROR(VLOOKUP(all_lmics181920[[Setting]:[Setting]],prev[],4,FALSE),VLOOKUP(all_lmics181920[[who_choice_region]:[who_choice_region]],missing[],3,FALSE))</f>
        <v>3.2000000000000001E-2</v>
      </c>
      <c r="K66">
        <f>IFERROR(VLOOKUP(all_lmics181920[[Setting]:[Setting]],prev[],5,FALSE),VLOOKUP(all_lmics181920[[who_choice_region]:[who_choice_region]],missing[],4,FALSE))</f>
        <v>3.6999999999999998E-2</v>
      </c>
      <c r="L66">
        <f>IFERROR(VLOOKUP(all_lmics181920[[Setting]:[Setting]],prev[],7,FALSE),VLOOKUP(all_lmics181920[[who_choice_region]:[who_choice_region]],missing[],5,FALSE))</f>
        <v>1.5306122448979569E-3</v>
      </c>
      <c r="M66">
        <f>IFERROR(VLOOKUP(all_lmics181920[[Setting]:[Setting]],prev[],6,FALSE),0)</f>
        <v>19586539</v>
      </c>
      <c r="N66">
        <f>MIN(IFERROR(VLOOKUP(all_lmics181920[[Setting]:[Setting]],SBA[],4,FALSE),VLOOKUP(all_lmics181920[[who_choice_region]:[who_choice_region]],missing[],6,FALSE))*1.05, 0.9999)</f>
        <v>0.99960000000000016</v>
      </c>
      <c r="O66">
        <f>MIN(IFERROR(VLOOKUP(all_lmics181920[[Setting]:[Setting]], facility[], 3,FALSE),VLOOKUP(all_lmics181920[[who_choice_region]:[who_choice_region]],missing[],7,FALSE))*1.05, 0.9999)</f>
        <v>0.99645000000000006</v>
      </c>
      <c r="P66">
        <f>IF(VLOOKUP(all_lmics181920[[Setting]:[Setting]],all_cause_mort[],4,FALSE)="",VLOOKUP(all_lmics181920[[who_choice_region]:[who_choice_region]],missing[],8,FALSE),VLOOKUP(all_lmics181920[[Setting]:[Setting]],all_cause_mort[],4,FALSE))*1.05</f>
        <v>7.0625029650000001E-3</v>
      </c>
      <c r="Q66">
        <f>IF(VLOOKUP(all_lmics181920[[Setting]:[Setting]],all_cause_mort[],5,FALSE)="",VLOOKUP(all_lmics181920[[who_choice_region]:[who_choice_region]],missing[],9,FALSE),VLOOKUP(all_lmics181920[[Setting]:[Setting]],all_cause_mort[],5,FALSE))*1.05</f>
        <v>3.185776125E-4</v>
      </c>
      <c r="R66">
        <f>IF(VLOOKUP(all_lmics181920[[Setting]:[Setting]],all_cause_mort[],6,FALSE)="",VLOOKUP(all_lmics181920[[who_choice_region]:[who_choice_region]],missing[],10,FALSE),VLOOKUP(all_lmics181920[[Setting]:[Setting]],all_cause_mort[],6,FALSE))*1.05</f>
        <v>1.4968207800000001E-4</v>
      </c>
      <c r="S66">
        <f>IF(VLOOKUP(all_lmics181920[[Setting]:[Setting]],all_cause_mort[],7,FALSE)="",VLOOKUP(all_lmics181920[[who_choice_region]:[who_choice_region]],missing[],11,FALSE),VLOOKUP(all_lmics181920[[Setting]:[Setting]],all_cause_mort[],7,FALSE))*1.05</f>
        <v>2.0467433699999999E-4</v>
      </c>
      <c r="T66">
        <f>IF(VLOOKUP(all_lmics181920[[Setting]:[Setting]],all_cause_mort[],8,FALSE)="",VLOOKUP(all_lmics181920[[who_choice_region]:[who_choice_region]],missing[],12,FALSE),VLOOKUP(all_lmics181920[[Setting]:[Setting]],all_cause_mort[],8,FALSE))*1.05</f>
        <v>3.79526931E-4</v>
      </c>
      <c r="U66">
        <f>IF(VLOOKUP(all_lmics181920[[Setting]:[Setting]],all_cause_mort[],9,FALSE)="",VLOOKUP(all_lmics181920[[who_choice_region]:[who_choice_region]],missing[],13,FALSE),VLOOKUP(all_lmics181920[[Setting]:[Setting]],all_cause_mort[],9,FALSE))*1.05</f>
        <v>4.9326629100000005E-4</v>
      </c>
      <c r="V66">
        <f>IF(VLOOKUP(all_lmics181920[[Setting]:[Setting]],all_cause_mort[],10,FALSE)="",VLOOKUP(all_lmics181920[[who_choice_region]:[who_choice_region]],missing[],14,FALSE),VLOOKUP(all_lmics181920[[Setting]:[Setting]],all_cause_mort[],10,FALSE))*1.05</f>
        <v>6.8486369700000011E-4</v>
      </c>
      <c r="W66">
        <f>IF(VLOOKUP(all_lmics181920[[Setting]:[Setting]],all_cause_mort[],11,FALSE)="",VLOOKUP(all_lmics181920[[who_choice_region]:[who_choice_region]],missing[],15,FALSE),VLOOKUP(all_lmics181920[[Setting]:[Setting]],all_cause_mort[],11,FALSE))*1.05</f>
        <v>7.8393346499999999E-4</v>
      </c>
      <c r="X66">
        <f>IF(VLOOKUP(all_lmics181920[[Setting]:[Setting]],all_cause_mort[],12,FALSE)="",VLOOKUP(all_lmics181920[[who_choice_region]:[who_choice_region]],missing[],16,FALSE),VLOOKUP(all_lmics181920[[Setting]:[Setting]],all_cause_mort[],12,FALSE))*1.05</f>
        <v>1.2660688950000001E-3</v>
      </c>
      <c r="Y66">
        <f>IF(VLOOKUP(all_lmics181920[[Setting]:[Setting]],all_cause_mort[],13,FALSE)="",VLOOKUP(all_lmics181920[[who_choice_region]:[who_choice_region]],missing[],17,FALSE),VLOOKUP(all_lmics181920[[Setting]:[Setting]],all_cause_mort[],13,FALSE))*1.05</f>
        <v>2.36875569E-3</v>
      </c>
      <c r="Z66">
        <f>IF(VLOOKUP(all_lmics181920[[Setting]:[Setting]],all_cause_mort[],14,FALSE)="",VLOOKUP(all_lmics181920[[who_choice_region]:[who_choice_region]],missing[],18,FALSE),VLOOKUP(all_lmics181920[[Setting]:[Setting]],all_cause_mort[],14,FALSE))*1.05</f>
        <v>3.744284565E-3</v>
      </c>
      <c r="AA66">
        <f>IF(VLOOKUP(all_lmics181920[[Setting]:[Setting]],all_cause_mort[],15,FALSE)="",VLOOKUP(all_lmics181920[[who_choice_region]:[who_choice_region]],missing[],19,FALSE),VLOOKUP(all_lmics181920[[Setting]:[Setting]],all_cause_mort[],15,FALSE))*1.05</f>
        <v>6.75504291E-3</v>
      </c>
      <c r="AB66">
        <f>IF(VLOOKUP(all_lmics181920[[Setting]:[Setting]],all_cause_mort[],16,FALSE)="",VLOOKUP(all_lmics181920[[who_choice_region]:[who_choice_region]],missing[],20,FALSE),VLOOKUP(all_lmics181920[[Setting]:[Setting]],all_cause_mort[],16,FALSE))*1.05</f>
        <v>1.14525579E-2</v>
      </c>
      <c r="AC66">
        <f>IF(VLOOKUP(all_lmics181920[[Setting]:[Setting]],all_cause_mort[],17,FALSE)="",VLOOKUP(all_lmics181920[[who_choice_region]:[who_choice_region]],missing[],21,FALSE),VLOOKUP(all_lmics181920[[Setting]:[Setting]],all_cause_mort[],17,FALSE))*1.05</f>
        <v>1.6744865550000002E-2</v>
      </c>
      <c r="AD66">
        <f>IF(VLOOKUP(all_lmics181920[[Setting]:[Setting]],all_cause_mort[],18,FALSE)="",VLOOKUP(all_lmics181920[[who_choice_region]:[who_choice_region]],missing[],22,FALSE),VLOOKUP(all_lmics181920[[Setting]:[Setting]],all_cause_mort[],18,FALSE))*1.05</f>
        <v>2.2023931650000002E-2</v>
      </c>
      <c r="AE66">
        <f>IF(VLOOKUP(all_lmics181920[[Setting]:[Setting]],all_cause_mort[],19,FALSE)="",VLOOKUP(all_lmics181920[[who_choice_region]:[who_choice_region]],missing[],23,FALSE),VLOOKUP(all_lmics181920[[Setting]:[Setting]],all_cause_mort[],19,FALSE))*1.05</f>
        <v>3.2608801050000004E-2</v>
      </c>
      <c r="AF66">
        <f>IF(VLOOKUP(all_lmics181920[[Setting]:[Setting]],all_cause_mort[],20,FALSE)="",VLOOKUP(all_lmics181920[[who_choice_region]:[who_choice_region]],missing[],24,FALSE),VLOOKUP(all_lmics181920[[Setting]:[Setting]],all_cause_mort[],20,FALSE))*1.05</f>
        <v>5.4586050750000004E-2</v>
      </c>
      <c r="AG66">
        <f>IF(VLOOKUP(all_lmics181920[[Setting]:[Setting]],all_cause_mort[],21,FALSE)="",VLOOKUP(all_lmics181920[[who_choice_region]:[who_choice_region]],missing[],25,FALSE),VLOOKUP(all_lmics181920[[Setting]:[Setting]],all_cause_mort[],21,FALSE))*1.05</f>
        <v>9.427705245000001E-2</v>
      </c>
      <c r="AH66">
        <f>IF(VLOOKUP(all_lmics181920[[Setting]:[Setting]],all_cause_mort[],22,FALSE)="",VLOOKUP(all_lmics181920[[who_choice_region]:[who_choice_region]],missing[],26,FALSE),VLOOKUP(all_lmics181920[[Setting]:[Setting]],all_cause_mort[],22,FALSE))*1.05</f>
        <v>0.15923296200000001</v>
      </c>
      <c r="AI66">
        <f>IF(VLOOKUP(all_lmics181920[[Setting]:[Setting]],all_cause_mort[],23,FALSE)="",VLOOKUP(all_lmics181920[[who_choice_region]:[who_choice_region]],missing[],27,FALSE),VLOOKUP(all_lmics181920[[Setting]:[Setting]],all_cause_mort[],23,FALSE))*1.05</f>
        <v>0.251364225</v>
      </c>
      <c r="AJ66">
        <f>IF(VLOOKUP(all_lmics181920[[Setting]:[Setting]],all_cause_mort[],24,FALSE)="",VLOOKUP(all_lmics181920[[who_choice_region]:[who_choice_region]],missing[],28,FALSE),VLOOKUP(all_lmics181920[[Setting]:[Setting]],all_cause_mort[],24,FALSE))*1.05</f>
        <v>0.36674173200000004</v>
      </c>
      <c r="AK66">
        <f>IF(VLOOKUP(all_lmics181920[[Setting]:[Setting]],all_cause_mort[],25,FALSE)="",VLOOKUP(all_lmics181920[[who_choice_region]:[who_choice_region]],missing[],29,FALSE),VLOOKUP(all_lmics181920[[Setting]:[Setting]],all_cause_mort[],25,FALSE))*1.05</f>
        <v>0.51483875617898434</v>
      </c>
      <c r="AL66">
        <f>VLOOKUP(all_lmics181920[[worldbank_region]:[worldbank_region]],Table13[],2,FALSE)*1.05</f>
        <v>46.7513991</v>
      </c>
      <c r="AM66">
        <f>VLOOKUP(all_lmics181920[[worldbank_region]:[worldbank_region]],Table13[],3,FALSE)*1.05</f>
        <v>46.7513991</v>
      </c>
      <c r="AN66">
        <f>VLOOKUP(all_lmics181920[[worldbank_region]:[worldbank_region]],Table13[],4,FALSE)*1.05</f>
        <v>96.866702099999983</v>
      </c>
      <c r="AO66">
        <f>VLOOKUP(all_lmics181920[[worldbank_region]:[worldbank_region]],Table13[],5,FALSE)*1.05</f>
        <v>96.866702099999983</v>
      </c>
      <c r="AP66">
        <f>VLOOKUP(all_lmics181920[[worldbank_region]:[worldbank_region]],Table13[],6,FALSE)*1.05</f>
        <v>96.866702099999983</v>
      </c>
      <c r="AQ66">
        <f>VLOOKUP(all_lmics181920[[worldbank_region]:[worldbank_region]],Table14[],2,FALSE)*1.05</f>
        <v>6.7392065999999993</v>
      </c>
      <c r="AR66">
        <f>VLOOKUP(all_lmics181920[[worldbank_region]:[worldbank_region]],Table14[],3,FALSE)*1.05</f>
        <v>7.3875815999999999</v>
      </c>
      <c r="AS66">
        <f>VLOOKUP(all_lmics181920[[worldbank_region]:[worldbank_region]],Table14[],4,FALSE)*1.05</f>
        <v>11.007016649999999</v>
      </c>
      <c r="AT66">
        <f>VLOOKUP(all_lmics181920[[worldbank_region]:[worldbank_region]],Table14[],5,FALSE)*1.05</f>
        <v>11.65539165</v>
      </c>
      <c r="AU66">
        <f>VLOOKUP(all_lmics181920[[worldbank_region]:[worldbank_region]],Table14[],6,FALSE)*1.05</f>
        <v>12.254156249999999</v>
      </c>
      <c r="AV66">
        <f>MIN(IFERROR(VLOOKUP(all_lmics181920[[Setting]:[Setting]],nFacSBA[],4,FALSE),VLOOKUP(all_lmics181920[[who_choice_region]:[who_choice_region]],missing[],30,FALSE))*1.05, 0.9999)</f>
        <v>0.5602570271020012</v>
      </c>
      <c r="AW66">
        <f>VLOOKUP(all_lmics181920[[worldbank_region]:[worldbank_region]],hbe[],4)</f>
        <v>0.5</v>
      </c>
      <c r="AX66">
        <f>VLOOKUP(all_lmics181920[[worldbank_region]:[worldbank_region]],hbe[],7)</f>
        <v>1</v>
      </c>
      <c r="AY66">
        <f>VLOOKUP(all_lmics181920[[worldbank_region]:[worldbank_region]],hbe[],10)</f>
        <v>0.25</v>
      </c>
    </row>
    <row r="67" spans="1:51" x14ac:dyDescent="0.35">
      <c r="A67" s="12" t="s">
        <v>174</v>
      </c>
      <c r="B67" s="13" t="s">
        <v>22</v>
      </c>
      <c r="C67" s="14" t="s">
        <v>383</v>
      </c>
      <c r="D67">
        <f>VLOOKUP(all_lmics181920[[Setting]:[Setting]],populations[],9,FALSE)</f>
        <v>55345</v>
      </c>
      <c r="E67">
        <f>VLOOKUP(all_lmics181920[[Setting]:[Setting]],birthrate[],3,FALSE)</f>
        <v>1.32E-2</v>
      </c>
      <c r="F67">
        <f>all_lmics181920[[#This Row],[2017_population]]*all_lmics181920[[#This Row],[2016_birthrate]]</f>
        <v>730.55399999999997</v>
      </c>
      <c r="G67">
        <f>MIN(VLOOKUP(all_lmics181920[[Setting]:[Setting]],birthdose[],4,FALSE)*1.05,0.9999)</f>
        <v>0.87149999999999994</v>
      </c>
      <c r="H67">
        <f>MIN(VLOOKUP(all_lmics181920[[Setting]:[Setting]],fullvax[],4,FALSE)*1.05,0.9999)</f>
        <v>0.99990000000000001</v>
      </c>
      <c r="I67">
        <f>IFERROR(VLOOKUP(all_lmics181920[[Setting]:[Setting]],prev[],3,FALSE),VLOOKUP(all_lmics181920[[who_choice_region]:[who_choice_region]],missing[],2,FALSE))</f>
        <v>4.1444892127893984E-3</v>
      </c>
      <c r="J67">
        <f>IFERROR(VLOOKUP(all_lmics181920[[Setting]:[Setting]],prev[],4,FALSE),VLOOKUP(all_lmics181920[[who_choice_region]:[who_choice_region]],missing[],3,FALSE))</f>
        <v>2.6055266579680684E-3</v>
      </c>
      <c r="K67">
        <f>IFERROR(VLOOKUP(all_lmics181920[[Setting]:[Setting]],prev[],5,FALSE),VLOOKUP(all_lmics181920[[who_choice_region]:[who_choice_region]],missing[],4,FALSE))</f>
        <v>7.7002555713058798E-3</v>
      </c>
      <c r="L67">
        <f>IFERROR(VLOOKUP(all_lmics181920[[Setting]:[Setting]],prev[],7,FALSE),VLOOKUP(all_lmics181920[[who_choice_region]:[who_choice_region]],missing[],5,FALSE))</f>
        <v>1.8146552860433664E-3</v>
      </c>
      <c r="M67">
        <f>IFERROR(VLOOKUP(all_lmics181920[[Setting]:[Setting]],prev[],6,FALSE),0)</f>
        <v>0</v>
      </c>
      <c r="N67">
        <f>MIN(IFERROR(VLOOKUP(all_lmics181920[[Setting]:[Setting]],SBA[],4,FALSE),VLOOKUP(all_lmics181920[[who_choice_region]:[who_choice_region]],missing[],6,FALSE))*1.05, 0.9999)</f>
        <v>0.99990000000000001</v>
      </c>
      <c r="O67">
        <f>MIN(IFERROR(VLOOKUP(all_lmics181920[[Setting]:[Setting]], facility[], 3,FALSE),VLOOKUP(all_lmics181920[[who_choice_region]:[who_choice_region]],missing[],7,FALSE))*1.05, 0.9999)</f>
        <v>0.99990000000000001</v>
      </c>
      <c r="P67">
        <f>IF(VLOOKUP(all_lmics181920[[Setting]:[Setting]],all_cause_mort[],4,FALSE)="",VLOOKUP(all_lmics181920[[who_choice_region]:[who_choice_region]],missing[],8,FALSE),VLOOKUP(all_lmics181920[[Setting]:[Setting]],all_cause_mort[],4,FALSE))*1.05</f>
        <v>1.4961379891572655E-2</v>
      </c>
      <c r="Q67">
        <f>IF(VLOOKUP(all_lmics181920[[Setting]:[Setting]],all_cause_mort[],5,FALSE)="",VLOOKUP(all_lmics181920[[who_choice_region]:[who_choice_region]],missing[],9,FALSE),VLOOKUP(all_lmics181920[[Setting]:[Setting]],all_cause_mort[],5,FALSE))*1.05</f>
        <v>6.5162655751651894E-4</v>
      </c>
      <c r="R67">
        <f>IF(VLOOKUP(all_lmics181920[[Setting]:[Setting]],all_cause_mort[],6,FALSE)="",VLOOKUP(all_lmics181920[[who_choice_region]:[who_choice_region]],missing[],10,FALSE),VLOOKUP(all_lmics181920[[Setting]:[Setting]],all_cause_mort[],6,FALSE))*1.05</f>
        <v>2.8521823651640445E-4</v>
      </c>
      <c r="S67">
        <f>IF(VLOOKUP(all_lmics181920[[Setting]:[Setting]],all_cause_mort[],7,FALSE)="",VLOOKUP(all_lmics181920[[who_choice_region]:[who_choice_region]],missing[],11,FALSE),VLOOKUP(all_lmics181920[[Setting]:[Setting]],all_cause_mort[],7,FALSE))*1.05</f>
        <v>3.5663463619037473E-4</v>
      </c>
      <c r="T67">
        <f>IF(VLOOKUP(all_lmics181920[[Setting]:[Setting]],all_cause_mort[],8,FALSE)="",VLOOKUP(all_lmics181920[[who_choice_region]:[who_choice_region]],missing[],12,FALSE),VLOOKUP(all_lmics181920[[Setting]:[Setting]],all_cause_mort[],8,FALSE))*1.05</f>
        <v>9.9997351989013087E-4</v>
      </c>
      <c r="U67">
        <f>IF(VLOOKUP(all_lmics181920[[Setting]:[Setting]],all_cause_mort[],9,FALSE)="",VLOOKUP(all_lmics181920[[who_choice_region]:[who_choice_region]],missing[],13,FALSE),VLOOKUP(all_lmics181920[[Setting]:[Setting]],all_cause_mort[],9,FALSE))*1.05</f>
        <v>1.5813776400130496E-3</v>
      </c>
      <c r="V67">
        <f>IF(VLOOKUP(all_lmics181920[[Setting]:[Setting]],all_cause_mort[],10,FALSE)="",VLOOKUP(all_lmics181920[[who_choice_region]:[who_choice_region]],missing[],14,FALSE),VLOOKUP(all_lmics181920[[Setting]:[Setting]],all_cause_mort[],10,FALSE))*1.05</f>
        <v>1.6995682135631936E-3</v>
      </c>
      <c r="W67">
        <f>IF(VLOOKUP(all_lmics181920[[Setting]:[Setting]],all_cause_mort[],11,FALSE)="",VLOOKUP(all_lmics181920[[who_choice_region]:[who_choice_region]],missing[],15,FALSE),VLOOKUP(all_lmics181920[[Setting]:[Setting]],all_cause_mort[],11,FALSE))*1.05</f>
        <v>1.8986191739185471E-3</v>
      </c>
      <c r="X67">
        <f>IF(VLOOKUP(all_lmics181920[[Setting]:[Setting]],all_cause_mort[],12,FALSE)="",VLOOKUP(all_lmics181920[[who_choice_region]:[who_choice_region]],missing[],16,FALSE),VLOOKUP(all_lmics181920[[Setting]:[Setting]],all_cause_mort[],12,FALSE))*1.05</f>
        <v>2.2639386191328644E-3</v>
      </c>
      <c r="Y67">
        <f>IF(VLOOKUP(all_lmics181920[[Setting]:[Setting]],all_cause_mort[],13,FALSE)="",VLOOKUP(all_lmics181920[[who_choice_region]:[who_choice_region]],missing[],17,FALSE),VLOOKUP(all_lmics181920[[Setting]:[Setting]],all_cause_mort[],13,FALSE))*1.05</f>
        <v>2.9182338019700781E-3</v>
      </c>
      <c r="Z67">
        <f>IF(VLOOKUP(all_lmics181920[[Setting]:[Setting]],all_cause_mort[],14,FALSE)="",VLOOKUP(all_lmics181920[[who_choice_region]:[who_choice_region]],missing[],18,FALSE),VLOOKUP(all_lmics181920[[Setting]:[Setting]],all_cause_mort[],14,FALSE))*1.05</f>
        <v>4.1641315968744281E-3</v>
      </c>
      <c r="AA67">
        <f>IF(VLOOKUP(all_lmics181920[[Setting]:[Setting]],all_cause_mort[],15,FALSE)="",VLOOKUP(all_lmics181920[[who_choice_region]:[who_choice_region]],missing[],19,FALSE),VLOOKUP(all_lmics181920[[Setting]:[Setting]],all_cause_mort[],15,FALSE))*1.05</f>
        <v>6.1440276019705566E-3</v>
      </c>
      <c r="AB67">
        <f>IF(VLOOKUP(all_lmics181920[[Setting]:[Setting]],all_cause_mort[],16,FALSE)="",VLOOKUP(all_lmics181920[[who_choice_region]:[who_choice_region]],missing[],20,FALSE),VLOOKUP(all_lmics181920[[Setting]:[Setting]],all_cause_mort[],16,FALSE))*1.05</f>
        <v>9.0903256450234303E-3</v>
      </c>
      <c r="AC67">
        <f>IF(VLOOKUP(all_lmics181920[[Setting]:[Setting]],all_cause_mort[],17,FALSE)="",VLOOKUP(all_lmics181920[[who_choice_region]:[who_choice_region]],missing[],21,FALSE),VLOOKUP(all_lmics181920[[Setting]:[Setting]],all_cause_mort[],17,FALSE))*1.05</f>
        <v>1.3771622778034663E-2</v>
      </c>
      <c r="AD67">
        <f>IF(VLOOKUP(all_lmics181920[[Setting]:[Setting]],all_cause_mort[],18,FALSE)="",VLOOKUP(all_lmics181920[[who_choice_region]:[who_choice_region]],missing[],22,FALSE),VLOOKUP(all_lmics181920[[Setting]:[Setting]],all_cause_mort[],18,FALSE))*1.05</f>
        <v>2.1069290297295019E-2</v>
      </c>
      <c r="AE67">
        <f>IF(VLOOKUP(all_lmics181920[[Setting]:[Setting]],all_cause_mort[],19,FALSE)="",VLOOKUP(all_lmics181920[[who_choice_region]:[who_choice_region]],missing[],23,FALSE),VLOOKUP(all_lmics181920[[Setting]:[Setting]],all_cause_mort[],19,FALSE))*1.05</f>
        <v>3.152540566625036E-2</v>
      </c>
      <c r="AF67">
        <f>IF(VLOOKUP(all_lmics181920[[Setting]:[Setting]],all_cause_mort[],20,FALSE)="",VLOOKUP(all_lmics181920[[who_choice_region]:[who_choice_region]],missing[],24,FALSE),VLOOKUP(all_lmics181920[[Setting]:[Setting]],all_cause_mort[],20,FALSE))*1.05</f>
        <v>4.8465934181628562E-2</v>
      </c>
      <c r="AG67">
        <f>IF(VLOOKUP(all_lmics181920[[Setting]:[Setting]],all_cause_mort[],21,FALSE)="",VLOOKUP(all_lmics181920[[who_choice_region]:[who_choice_region]],missing[],25,FALSE),VLOOKUP(all_lmics181920[[Setting]:[Setting]],all_cause_mort[],21,FALSE))*1.05</f>
        <v>7.4475329506083834E-2</v>
      </c>
      <c r="AH67">
        <f>IF(VLOOKUP(all_lmics181920[[Setting]:[Setting]],all_cause_mort[],22,FALSE)="",VLOOKUP(all_lmics181920[[who_choice_region]:[who_choice_region]],missing[],26,FALSE),VLOOKUP(all_lmics181920[[Setting]:[Setting]],all_cause_mort[],22,FALSE))*1.05</f>
        <v>0.11516055335608529</v>
      </c>
      <c r="AI67">
        <f>IF(VLOOKUP(all_lmics181920[[Setting]:[Setting]],all_cause_mort[],23,FALSE)="",VLOOKUP(all_lmics181920[[who_choice_region]:[who_choice_region]],missing[],27,FALSE),VLOOKUP(all_lmics181920[[Setting]:[Setting]],all_cause_mort[],23,FALSE))*1.05</f>
        <v>0.16931149110753319</v>
      </c>
      <c r="AJ67">
        <f>IF(VLOOKUP(all_lmics181920[[Setting]:[Setting]],all_cause_mort[],24,FALSE)="",VLOOKUP(all_lmics181920[[who_choice_region]:[who_choice_region]],missing[],28,FALSE),VLOOKUP(all_lmics181920[[Setting]:[Setting]],all_cause_mort[],24,FALSE))*1.05</f>
        <v>0.26304153818720588</v>
      </c>
      <c r="AK67">
        <f>IF(VLOOKUP(all_lmics181920[[Setting]:[Setting]],all_cause_mort[],25,FALSE)="",VLOOKUP(all_lmics181920[[who_choice_region]:[who_choice_region]],missing[],29,FALSE),VLOOKUP(all_lmics181920[[Setting]:[Setting]],all_cause_mort[],25,FALSE))*1.05</f>
        <v>0.40554165079159976</v>
      </c>
      <c r="AL67">
        <f>VLOOKUP(all_lmics181920[[worldbank_region]:[worldbank_region]],Table13[],2,FALSE)*1.05</f>
        <v>91.202986349999989</v>
      </c>
      <c r="AM67">
        <f>VLOOKUP(all_lmics181920[[worldbank_region]:[worldbank_region]],Table13[],3,FALSE)*1.05</f>
        <v>91.202986349999989</v>
      </c>
      <c r="AN67">
        <f>VLOOKUP(all_lmics181920[[worldbank_region]:[worldbank_region]],Table13[],4,FALSE)*1.05</f>
        <v>141.31828934999999</v>
      </c>
      <c r="AO67">
        <f>VLOOKUP(all_lmics181920[[worldbank_region]:[worldbank_region]],Table13[],5,FALSE)*1.05</f>
        <v>141.31828934999999</v>
      </c>
      <c r="AP67">
        <f>VLOOKUP(all_lmics181920[[worldbank_region]:[worldbank_region]],Table13[],6,FALSE)*1.05</f>
        <v>141.31828934999999</v>
      </c>
      <c r="AQ67">
        <f>VLOOKUP(all_lmics181920[[worldbank_region]:[worldbank_region]],Table14[],2,FALSE)*1.05</f>
        <v>1.5903741</v>
      </c>
      <c r="AR67">
        <f>VLOOKUP(all_lmics181920[[worldbank_region]:[worldbank_region]],Table14[],3,FALSE)*1.05</f>
        <v>2.2387491000000002</v>
      </c>
      <c r="AS67">
        <f>VLOOKUP(all_lmics181920[[worldbank_region]:[worldbank_region]],Table14[],4,FALSE)*1.05</f>
        <v>1.6132578000000002</v>
      </c>
      <c r="AT67">
        <f>VLOOKUP(all_lmics181920[[worldbank_region]:[worldbank_region]],Table14[],5,FALSE)*1.05</f>
        <v>2.2616328000000001</v>
      </c>
      <c r="AU67">
        <f>VLOOKUP(all_lmics181920[[worldbank_region]:[worldbank_region]],Table14[],6,FALSE)*1.05</f>
        <v>2.8603974000000001</v>
      </c>
      <c r="AV67">
        <f>MIN(IFERROR(VLOOKUP(all_lmics181920[[Setting]:[Setting]],nFacSBA[],4,FALSE),VLOOKUP(all_lmics181920[[who_choice_region]:[who_choice_region]],missing[],30,FALSE))*1.05, 0.9999)</f>
        <v>0.21428754022970595</v>
      </c>
      <c r="AW67">
        <f>VLOOKUP(all_lmics181920[[worldbank_region]:[worldbank_region]],hbe[],4)</f>
        <v>0.5</v>
      </c>
      <c r="AX67">
        <f>VLOOKUP(all_lmics181920[[worldbank_region]:[worldbank_region]],hbe[],7)</f>
        <v>1</v>
      </c>
      <c r="AY67">
        <f>VLOOKUP(all_lmics181920[[worldbank_region]:[worldbank_region]],hbe[],10)</f>
        <v>0.25</v>
      </c>
    </row>
    <row r="68" spans="1:51" x14ac:dyDescent="0.35">
      <c r="A68" s="12" t="s">
        <v>176</v>
      </c>
      <c r="B68" s="13" t="s">
        <v>22</v>
      </c>
      <c r="C68" s="14" t="s">
        <v>383</v>
      </c>
      <c r="D68">
        <f>VLOOKUP(all_lmics181920[[Setting]:[Setting]],populations[],9,FALSE)</f>
        <v>109897</v>
      </c>
      <c r="E68">
        <f>VLOOKUP(all_lmics181920[[Setting]:[Setting]],birthrate[],3,FALSE)</f>
        <v>1.5507E-2</v>
      </c>
      <c r="F68">
        <f>all_lmics181920[[#This Row],[2017_population]]*all_lmics181920[[#This Row],[2016_birthrate]]</f>
        <v>1704.172779</v>
      </c>
      <c r="G68">
        <f>MIN(VLOOKUP(all_lmics181920[[Setting]:[Setting]],birthdose[],4,FALSE)*1.05,0.9999)</f>
        <v>0.315</v>
      </c>
      <c r="H68">
        <f>MIN(VLOOKUP(all_lmics181920[[Setting]:[Setting]],fullvax[],4,FALSE)*1.05,0.9999)</f>
        <v>0.99990000000000001</v>
      </c>
      <c r="I68">
        <f>IFERROR(VLOOKUP(all_lmics181920[[Setting]:[Setting]],prev[],3,FALSE),VLOOKUP(all_lmics181920[[who_choice_region]:[who_choice_region]],missing[],2,FALSE))</f>
        <v>4.1444892127893984E-3</v>
      </c>
      <c r="J68">
        <f>IFERROR(VLOOKUP(all_lmics181920[[Setting]:[Setting]],prev[],4,FALSE),VLOOKUP(all_lmics181920[[who_choice_region]:[who_choice_region]],missing[],3,FALSE))</f>
        <v>2.6055266579680684E-3</v>
      </c>
      <c r="K68">
        <f>IFERROR(VLOOKUP(all_lmics181920[[Setting]:[Setting]],prev[],5,FALSE),VLOOKUP(all_lmics181920[[who_choice_region]:[who_choice_region]],missing[],4,FALSE))</f>
        <v>7.7002555713058798E-3</v>
      </c>
      <c r="L68">
        <f>IFERROR(VLOOKUP(all_lmics181920[[Setting]:[Setting]],prev[],7,FALSE),VLOOKUP(all_lmics181920[[who_choice_region]:[who_choice_region]],missing[],5,FALSE))</f>
        <v>1.8146552860433664E-3</v>
      </c>
      <c r="M68">
        <f>IFERROR(VLOOKUP(all_lmics181920[[Setting]:[Setting]],prev[],6,FALSE),0)</f>
        <v>0</v>
      </c>
      <c r="N68">
        <f>MIN(IFERROR(VLOOKUP(all_lmics181920[[Setting]:[Setting]],SBA[],4,FALSE),VLOOKUP(all_lmics181920[[who_choice_region]:[who_choice_region]],missing[],6,FALSE))*1.05, 0.9999)</f>
        <v>0.99990000000000001</v>
      </c>
      <c r="O68">
        <f>MIN(IFERROR(VLOOKUP(all_lmics181920[[Setting]:[Setting]], facility[], 3,FALSE),VLOOKUP(all_lmics181920[[who_choice_region]:[who_choice_region]],missing[],7,FALSE))*1.05, 0.9999)</f>
        <v>0.99990000000000001</v>
      </c>
      <c r="P68">
        <f>IF(VLOOKUP(all_lmics181920[[Setting]:[Setting]],all_cause_mort[],4,FALSE)="",VLOOKUP(all_lmics181920[[who_choice_region]:[who_choice_region]],missing[],8,FALSE),VLOOKUP(all_lmics181920[[Setting]:[Setting]],all_cause_mort[],4,FALSE))*1.05</f>
        <v>1.5605133600000001E-2</v>
      </c>
      <c r="Q68">
        <f>IF(VLOOKUP(all_lmics181920[[Setting]:[Setting]],all_cause_mort[],5,FALSE)="",VLOOKUP(all_lmics181920[[who_choice_region]:[who_choice_region]],missing[],9,FALSE),VLOOKUP(all_lmics181920[[Setting]:[Setting]],all_cause_mort[],5,FALSE))*1.05</f>
        <v>3.5752038000000001E-4</v>
      </c>
      <c r="R68">
        <f>IF(VLOOKUP(all_lmics181920[[Setting]:[Setting]],all_cause_mort[],6,FALSE)="",VLOOKUP(all_lmics181920[[who_choice_region]:[who_choice_region]],missing[],10,FALSE),VLOOKUP(all_lmics181920[[Setting]:[Setting]],all_cause_mort[],6,FALSE))*1.05</f>
        <v>4.4817547950000002E-4</v>
      </c>
      <c r="S68">
        <f>IF(VLOOKUP(all_lmics181920[[Setting]:[Setting]],all_cause_mort[],7,FALSE)="",VLOOKUP(all_lmics181920[[who_choice_region]:[who_choice_region]],missing[],11,FALSE),VLOOKUP(all_lmics181920[[Setting]:[Setting]],all_cause_mort[],7,FALSE))*1.05</f>
        <v>4.3247947050000001E-4</v>
      </c>
      <c r="T68">
        <f>IF(VLOOKUP(all_lmics181920[[Setting]:[Setting]],all_cause_mort[],8,FALSE)="",VLOOKUP(all_lmics181920[[who_choice_region]:[who_choice_region]],missing[],12,FALSE),VLOOKUP(all_lmics181920[[Setting]:[Setting]],all_cause_mort[],8,FALSE))*1.05</f>
        <v>1.050711375E-3</v>
      </c>
      <c r="U68">
        <f>IF(VLOOKUP(all_lmics181920[[Setting]:[Setting]],all_cause_mort[],9,FALSE)="",VLOOKUP(all_lmics181920[[who_choice_region]:[who_choice_region]],missing[],13,FALSE),VLOOKUP(all_lmics181920[[Setting]:[Setting]],all_cause_mort[],9,FALSE))*1.05</f>
        <v>1.4800956450000001E-3</v>
      </c>
      <c r="V68">
        <f>IF(VLOOKUP(all_lmics181920[[Setting]:[Setting]],all_cause_mort[],10,FALSE)="",VLOOKUP(all_lmics181920[[who_choice_region]:[who_choice_region]],missing[],14,FALSE),VLOOKUP(all_lmics181920[[Setting]:[Setting]],all_cause_mort[],10,FALSE))*1.05</f>
        <v>1.6135150500000001E-3</v>
      </c>
      <c r="W68">
        <f>IF(VLOOKUP(all_lmics181920[[Setting]:[Setting]],all_cause_mort[],11,FALSE)="",VLOOKUP(all_lmics181920[[who_choice_region]:[who_choice_region]],missing[],15,FALSE),VLOOKUP(all_lmics181920[[Setting]:[Setting]],all_cause_mort[],11,FALSE))*1.05</f>
        <v>1.9242367200000001E-3</v>
      </c>
      <c r="X68">
        <f>IF(VLOOKUP(all_lmics181920[[Setting]:[Setting]],all_cause_mort[],12,FALSE)="",VLOOKUP(all_lmics181920[[who_choice_region]:[who_choice_region]],missing[],16,FALSE),VLOOKUP(all_lmics181920[[Setting]:[Setting]],all_cause_mort[],12,FALSE))*1.05</f>
        <v>2.5666403700000001E-3</v>
      </c>
      <c r="Y68">
        <f>IF(VLOOKUP(all_lmics181920[[Setting]:[Setting]],all_cause_mort[],13,FALSE)="",VLOOKUP(all_lmics181920[[who_choice_region]:[who_choice_region]],missing[],17,FALSE),VLOOKUP(all_lmics181920[[Setting]:[Setting]],all_cause_mort[],13,FALSE))*1.05</f>
        <v>3.6751066800000004E-3</v>
      </c>
      <c r="Z68">
        <f>IF(VLOOKUP(all_lmics181920[[Setting]:[Setting]],all_cause_mort[],14,FALSE)="",VLOOKUP(all_lmics181920[[who_choice_region]:[who_choice_region]],missing[],18,FALSE),VLOOKUP(all_lmics181920[[Setting]:[Setting]],all_cause_mort[],14,FALSE))*1.05</f>
        <v>5.5373838450000004E-3</v>
      </c>
      <c r="AA68">
        <f>IF(VLOOKUP(all_lmics181920[[Setting]:[Setting]],all_cause_mort[],15,FALSE)="",VLOOKUP(all_lmics181920[[who_choice_region]:[who_choice_region]],missing[],19,FALSE),VLOOKUP(all_lmics181920[[Setting]:[Setting]],all_cause_mort[],15,FALSE))*1.05</f>
        <v>8.3971562850000004E-3</v>
      </c>
      <c r="AB68">
        <f>IF(VLOOKUP(all_lmics181920[[Setting]:[Setting]],all_cause_mort[],16,FALSE)="",VLOOKUP(all_lmics181920[[who_choice_region]:[who_choice_region]],missing[],20,FALSE),VLOOKUP(all_lmics181920[[Setting]:[Setting]],all_cause_mort[],16,FALSE))*1.05</f>
        <v>1.2752414850000001E-2</v>
      </c>
      <c r="AC68">
        <f>IF(VLOOKUP(all_lmics181920[[Setting]:[Setting]],all_cause_mort[],17,FALSE)="",VLOOKUP(all_lmics181920[[who_choice_region]:[who_choice_region]],missing[],21,FALSE),VLOOKUP(all_lmics181920[[Setting]:[Setting]],all_cause_mort[],17,FALSE))*1.05</f>
        <v>1.8144308700000004E-2</v>
      </c>
      <c r="AD68">
        <f>IF(VLOOKUP(all_lmics181920[[Setting]:[Setting]],all_cause_mort[],18,FALSE)="",VLOOKUP(all_lmics181920[[who_choice_region]:[who_choice_region]],missing[],22,FALSE),VLOOKUP(all_lmics181920[[Setting]:[Setting]],all_cause_mort[],18,FALSE))*1.05</f>
        <v>2.5791463950000003E-2</v>
      </c>
      <c r="AE68">
        <f>IF(VLOOKUP(all_lmics181920[[Setting]:[Setting]],all_cause_mort[],19,FALSE)="",VLOOKUP(all_lmics181920[[who_choice_region]:[who_choice_region]],missing[],23,FALSE),VLOOKUP(all_lmics181920[[Setting]:[Setting]],all_cause_mort[],19,FALSE))*1.05</f>
        <v>3.9324607350000006E-2</v>
      </c>
      <c r="AF68">
        <f>IF(VLOOKUP(all_lmics181920[[Setting]:[Setting]],all_cause_mort[],20,FALSE)="",VLOOKUP(all_lmics181920[[who_choice_region]:[who_choice_region]],missing[],24,FALSE),VLOOKUP(all_lmics181920[[Setting]:[Setting]],all_cause_mort[],20,FALSE))*1.05</f>
        <v>6.4141621950000005E-2</v>
      </c>
      <c r="AG68">
        <f>IF(VLOOKUP(all_lmics181920[[Setting]:[Setting]],all_cause_mort[],21,FALSE)="",VLOOKUP(all_lmics181920[[who_choice_region]:[who_choice_region]],missing[],25,FALSE),VLOOKUP(all_lmics181920[[Setting]:[Setting]],all_cause_mort[],21,FALSE))*1.05</f>
        <v>0.1043628201</v>
      </c>
      <c r="AH68">
        <f>IF(VLOOKUP(all_lmics181920[[Setting]:[Setting]],all_cause_mort[],22,FALSE)="",VLOOKUP(all_lmics181920[[who_choice_region]:[who_choice_region]],missing[],26,FALSE),VLOOKUP(all_lmics181920[[Setting]:[Setting]],all_cause_mort[],22,FALSE))*1.05</f>
        <v>0.16725405899999998</v>
      </c>
      <c r="AI68">
        <f>IF(VLOOKUP(all_lmics181920[[Setting]:[Setting]],all_cause_mort[],23,FALSE)="",VLOOKUP(all_lmics181920[[who_choice_region]:[who_choice_region]],missing[],27,FALSE),VLOOKUP(all_lmics181920[[Setting]:[Setting]],all_cause_mort[],23,FALSE))*1.05</f>
        <v>0.25493686050000003</v>
      </c>
      <c r="AJ68">
        <f>IF(VLOOKUP(all_lmics181920[[Setting]:[Setting]],all_cause_mort[],24,FALSE)="",VLOOKUP(all_lmics181920[[who_choice_region]:[who_choice_region]],missing[],28,FALSE),VLOOKUP(all_lmics181920[[Setting]:[Setting]],all_cause_mort[],24,FALSE))*1.05</f>
        <v>0.37035124349999998</v>
      </c>
      <c r="AK68">
        <f>IF(VLOOKUP(all_lmics181920[[Setting]:[Setting]],all_cause_mort[],25,FALSE)="",VLOOKUP(all_lmics181920[[who_choice_region]:[who_choice_region]],missing[],29,FALSE),VLOOKUP(all_lmics181920[[Setting]:[Setting]],all_cause_mort[],25,FALSE))*1.05</f>
        <v>0.50903367519550136</v>
      </c>
      <c r="AL68">
        <f>VLOOKUP(all_lmics181920[[worldbank_region]:[worldbank_region]],Table13[],2,FALSE)*1.05</f>
        <v>91.202986349999989</v>
      </c>
      <c r="AM68">
        <f>VLOOKUP(all_lmics181920[[worldbank_region]:[worldbank_region]],Table13[],3,FALSE)*1.05</f>
        <v>91.202986349999989</v>
      </c>
      <c r="AN68">
        <f>VLOOKUP(all_lmics181920[[worldbank_region]:[worldbank_region]],Table13[],4,FALSE)*1.05</f>
        <v>141.31828934999999</v>
      </c>
      <c r="AO68">
        <f>VLOOKUP(all_lmics181920[[worldbank_region]:[worldbank_region]],Table13[],5,FALSE)*1.05</f>
        <v>141.31828934999999</v>
      </c>
      <c r="AP68">
        <f>VLOOKUP(all_lmics181920[[worldbank_region]:[worldbank_region]],Table13[],6,FALSE)*1.05</f>
        <v>141.31828934999999</v>
      </c>
      <c r="AQ68">
        <f>VLOOKUP(all_lmics181920[[worldbank_region]:[worldbank_region]],Table14[],2,FALSE)*1.05</f>
        <v>1.5903741</v>
      </c>
      <c r="AR68">
        <f>VLOOKUP(all_lmics181920[[worldbank_region]:[worldbank_region]],Table14[],3,FALSE)*1.05</f>
        <v>2.2387491000000002</v>
      </c>
      <c r="AS68">
        <f>VLOOKUP(all_lmics181920[[worldbank_region]:[worldbank_region]],Table14[],4,FALSE)*1.05</f>
        <v>1.6132578000000002</v>
      </c>
      <c r="AT68">
        <f>VLOOKUP(all_lmics181920[[worldbank_region]:[worldbank_region]],Table14[],5,FALSE)*1.05</f>
        <v>2.2616328000000001</v>
      </c>
      <c r="AU68">
        <f>VLOOKUP(all_lmics181920[[worldbank_region]:[worldbank_region]],Table14[],6,FALSE)*1.05</f>
        <v>2.8603974000000001</v>
      </c>
      <c r="AV68">
        <f>MIN(IFERROR(VLOOKUP(all_lmics181920[[Setting]:[Setting]],nFacSBA[],4,FALSE),VLOOKUP(all_lmics181920[[who_choice_region]:[who_choice_region]],missing[],30,FALSE))*1.05, 0.9999)</f>
        <v>0.21428754022970595</v>
      </c>
      <c r="AW68">
        <f>VLOOKUP(all_lmics181920[[worldbank_region]:[worldbank_region]],hbe[],4)</f>
        <v>0.5</v>
      </c>
      <c r="AX68">
        <f>VLOOKUP(all_lmics181920[[worldbank_region]:[worldbank_region]],hbe[],7)</f>
        <v>1</v>
      </c>
      <c r="AY68">
        <f>VLOOKUP(all_lmics181920[[worldbank_region]:[worldbank_region]],hbe[],10)</f>
        <v>0.25</v>
      </c>
    </row>
    <row r="69" spans="1:51" x14ac:dyDescent="0.35">
      <c r="A69" s="8" t="s">
        <v>177</v>
      </c>
      <c r="B69" s="10" t="s">
        <v>57</v>
      </c>
      <c r="C69" s="11" t="s">
        <v>58</v>
      </c>
      <c r="D69">
        <f>VLOOKUP(all_lmics181920[[Setting]:[Setting]],populations[],9,FALSE)</f>
        <v>196440</v>
      </c>
      <c r="E69">
        <f>VLOOKUP(all_lmics181920[[Setting]:[Setting]],birthrate[],3,FALSE)</f>
        <v>2.4688999999999999E-2</v>
      </c>
      <c r="F69">
        <f>all_lmics181920[[#This Row],[2017_population]]*all_lmics181920[[#This Row],[2016_birthrate]]</f>
        <v>4849.9071599999997</v>
      </c>
      <c r="G69">
        <f>MIN(VLOOKUP(all_lmics181920[[Setting]:[Setting]],birthdose[],4,FALSE)*1.05,0.9999)</f>
        <v>0.85050000000000014</v>
      </c>
      <c r="H69">
        <f>MIN(VLOOKUP(all_lmics181920[[Setting]:[Setting]],fullvax[],4,FALSE)*1.05,0.9999)</f>
        <v>0.76649999999999996</v>
      </c>
      <c r="I69">
        <f>IFERROR(VLOOKUP(all_lmics181920[[Setting]:[Setting]],prev[],3,FALSE),VLOOKUP(all_lmics181920[[who_choice_region]:[who_choice_region]],missing[],2,FALSE))</f>
        <v>5.5300000000000002E-2</v>
      </c>
      <c r="J69">
        <f>IFERROR(VLOOKUP(all_lmics181920[[Setting]:[Setting]],prev[],4,FALSE),VLOOKUP(all_lmics181920[[who_choice_region]:[who_choice_region]],missing[],3,FALSE))</f>
        <v>3.6700000000000003E-2</v>
      </c>
      <c r="K69">
        <f>IFERROR(VLOOKUP(all_lmics181920[[Setting]:[Setting]],prev[],5,FALSE),VLOOKUP(all_lmics181920[[who_choice_region]:[who_choice_region]],missing[],4,FALSE))</f>
        <v>8.2500000000000004E-2</v>
      </c>
      <c r="L69">
        <f>IFERROR(VLOOKUP(all_lmics181920[[Setting]:[Setting]],prev[],7,FALSE),VLOOKUP(all_lmics181920[[who_choice_region]:[who_choice_region]],missing[],5,FALSE))</f>
        <v>1.3877551020408165E-2</v>
      </c>
      <c r="M69">
        <f>IFERROR(VLOOKUP(all_lmics181920[[Setting]:[Setting]],prev[],6,FALSE),0)</f>
        <v>186205</v>
      </c>
      <c r="N69">
        <f>MIN(IFERROR(VLOOKUP(all_lmics181920[[Setting]:[Setting]],SBA[],4,FALSE),VLOOKUP(all_lmics181920[[who_choice_region]:[who_choice_region]],missing[],6,FALSE))*1.05, 0.9999)</f>
        <v>0.86624999999999996</v>
      </c>
      <c r="O69">
        <f>MIN(IFERROR(VLOOKUP(all_lmics181920[[Setting]:[Setting]], facility[], 3,FALSE),VLOOKUP(all_lmics181920[[who_choice_region]:[who_choice_region]],missing[],7,FALSE))*1.05, 0.9999)</f>
        <v>0.8599500000000001</v>
      </c>
      <c r="P69">
        <f>IF(VLOOKUP(all_lmics181920[[Setting]:[Setting]],all_cause_mort[],4,FALSE)="",VLOOKUP(all_lmics181920[[who_choice_region]:[who_choice_region]],missing[],8,FALSE),VLOOKUP(all_lmics181920[[Setting]:[Setting]],all_cause_mort[],4,FALSE))*1.05</f>
        <v>1.4300431950000001E-2</v>
      </c>
      <c r="Q69">
        <f>IF(VLOOKUP(all_lmics181920[[Setting]:[Setting]],all_cause_mort[],5,FALSE)="",VLOOKUP(all_lmics181920[[who_choice_region]:[who_choice_region]],missing[],9,FALSE),VLOOKUP(all_lmics181920[[Setting]:[Setting]],all_cause_mort[],5,FALSE))*1.05</f>
        <v>7.28383782E-4</v>
      </c>
      <c r="R69">
        <f>IF(VLOOKUP(all_lmics181920[[Setting]:[Setting]],all_cause_mort[],6,FALSE)="",VLOOKUP(all_lmics181920[[who_choice_region]:[who_choice_region]],missing[],10,FALSE),VLOOKUP(all_lmics181920[[Setting]:[Setting]],all_cause_mort[],6,FALSE))*1.05</f>
        <v>2.86552917E-4</v>
      </c>
      <c r="S69">
        <f>IF(VLOOKUP(all_lmics181920[[Setting]:[Setting]],all_cause_mort[],7,FALSE)="",VLOOKUP(all_lmics181920[[who_choice_region]:[who_choice_region]],missing[],11,FALSE),VLOOKUP(all_lmics181920[[Setting]:[Setting]],all_cause_mort[],7,FALSE))*1.05</f>
        <v>2.6125956150000005E-4</v>
      </c>
      <c r="T69">
        <f>IF(VLOOKUP(all_lmics181920[[Setting]:[Setting]],all_cause_mort[],8,FALSE)="",VLOOKUP(all_lmics181920[[who_choice_region]:[who_choice_region]],missing[],12,FALSE),VLOOKUP(all_lmics181920[[Setting]:[Setting]],all_cause_mort[],8,FALSE))*1.05</f>
        <v>6.0593163750000004E-4</v>
      </c>
      <c r="U69">
        <f>IF(VLOOKUP(all_lmics181920[[Setting]:[Setting]],all_cause_mort[],9,FALSE)="",VLOOKUP(all_lmics181920[[who_choice_region]:[who_choice_region]],missing[],13,FALSE),VLOOKUP(all_lmics181920[[Setting]:[Setting]],all_cause_mort[],9,FALSE))*1.05</f>
        <v>7.8771732900000005E-4</v>
      </c>
      <c r="V69">
        <f>IF(VLOOKUP(all_lmics181920[[Setting]:[Setting]],all_cause_mort[],10,FALSE)="",VLOOKUP(all_lmics181920[[who_choice_region]:[who_choice_region]],missing[],14,FALSE),VLOOKUP(all_lmics181920[[Setting]:[Setting]],all_cause_mort[],10,FALSE))*1.05</f>
        <v>8.0625574050000005E-4</v>
      </c>
      <c r="W69">
        <f>IF(VLOOKUP(all_lmics181920[[Setting]:[Setting]],all_cause_mort[],11,FALSE)="",VLOOKUP(all_lmics181920[[who_choice_region]:[who_choice_region]],missing[],15,FALSE),VLOOKUP(all_lmics181920[[Setting]:[Setting]],all_cause_mort[],11,FALSE))*1.05</f>
        <v>9.661520715E-4</v>
      </c>
      <c r="X69">
        <f>IF(VLOOKUP(all_lmics181920[[Setting]:[Setting]],all_cause_mort[],12,FALSE)="",VLOOKUP(all_lmics181920[[who_choice_region]:[who_choice_region]],missing[],16,FALSE),VLOOKUP(all_lmics181920[[Setting]:[Setting]],all_cause_mort[],12,FALSE))*1.05</f>
        <v>1.3540578450000002E-3</v>
      </c>
      <c r="Y69">
        <f>IF(VLOOKUP(all_lmics181920[[Setting]:[Setting]],all_cause_mort[],13,FALSE)="",VLOOKUP(all_lmics181920[[who_choice_region]:[who_choice_region]],missing[],17,FALSE),VLOOKUP(all_lmics181920[[Setting]:[Setting]],all_cause_mort[],13,FALSE))*1.05</f>
        <v>2.0901789300000004E-3</v>
      </c>
      <c r="Z69">
        <f>IF(VLOOKUP(all_lmics181920[[Setting]:[Setting]],all_cause_mort[],14,FALSE)="",VLOOKUP(all_lmics181920[[who_choice_region]:[who_choice_region]],missing[],18,FALSE),VLOOKUP(all_lmics181920[[Setting]:[Setting]],all_cause_mort[],14,FALSE))*1.05</f>
        <v>3.45415119E-3</v>
      </c>
      <c r="AA69">
        <f>IF(VLOOKUP(all_lmics181920[[Setting]:[Setting]],all_cause_mort[],15,FALSE)="",VLOOKUP(all_lmics181920[[who_choice_region]:[who_choice_region]],missing[],19,FALSE),VLOOKUP(all_lmics181920[[Setting]:[Setting]],all_cause_mort[],15,FALSE))*1.05</f>
        <v>5.6542798200000001E-3</v>
      </c>
      <c r="AB69">
        <f>IF(VLOOKUP(all_lmics181920[[Setting]:[Setting]],all_cause_mort[],16,FALSE)="",VLOOKUP(all_lmics181920[[who_choice_region]:[who_choice_region]],missing[],20,FALSE),VLOOKUP(all_lmics181920[[Setting]:[Setting]],all_cause_mort[],16,FALSE))*1.05</f>
        <v>9.2156415750000008E-3</v>
      </c>
      <c r="AC69">
        <f>IF(VLOOKUP(all_lmics181920[[Setting]:[Setting]],all_cause_mort[],17,FALSE)="",VLOOKUP(all_lmics181920[[who_choice_region]:[who_choice_region]],missing[],21,FALSE),VLOOKUP(all_lmics181920[[Setting]:[Setting]],all_cause_mort[],17,FALSE))*1.05</f>
        <v>1.6552505549999999E-2</v>
      </c>
      <c r="AD69">
        <f>IF(VLOOKUP(all_lmics181920[[Setting]:[Setting]],all_cause_mort[],18,FALSE)="",VLOOKUP(all_lmics181920[[who_choice_region]:[who_choice_region]],missing[],22,FALSE),VLOOKUP(all_lmics181920[[Setting]:[Setting]],all_cause_mort[],18,FALSE))*1.05</f>
        <v>2.9611410150000003E-2</v>
      </c>
      <c r="AE69">
        <f>IF(VLOOKUP(all_lmics181920[[Setting]:[Setting]],all_cause_mort[],19,FALSE)="",VLOOKUP(all_lmics181920[[who_choice_region]:[who_choice_region]],missing[],23,FALSE),VLOOKUP(all_lmics181920[[Setting]:[Setting]],all_cause_mort[],19,FALSE))*1.05</f>
        <v>5.0669949750000005E-2</v>
      </c>
      <c r="AF69">
        <f>IF(VLOOKUP(all_lmics181920[[Setting]:[Setting]],all_cause_mort[],20,FALSE)="",VLOOKUP(all_lmics181920[[who_choice_region]:[who_choice_region]],missing[],24,FALSE),VLOOKUP(all_lmics181920[[Setting]:[Setting]],all_cause_mort[],20,FALSE))*1.05</f>
        <v>8.4979570200000007E-2</v>
      </c>
      <c r="AG69">
        <f>IF(VLOOKUP(all_lmics181920[[Setting]:[Setting]],all_cause_mort[],21,FALSE)="",VLOOKUP(all_lmics181920[[who_choice_region]:[who_choice_region]],missing[],25,FALSE),VLOOKUP(all_lmics181920[[Setting]:[Setting]],all_cause_mort[],21,FALSE))*1.05</f>
        <v>0.14075779199999999</v>
      </c>
      <c r="AH69">
        <f>IF(VLOOKUP(all_lmics181920[[Setting]:[Setting]],all_cause_mort[],22,FALSE)="",VLOOKUP(all_lmics181920[[who_choice_region]:[who_choice_region]],missing[],26,FALSE),VLOOKUP(all_lmics181920[[Setting]:[Setting]],all_cause_mort[],22,FALSE))*1.05</f>
        <v>0.22839155850000001</v>
      </c>
      <c r="AI69">
        <f>IF(VLOOKUP(all_lmics181920[[Setting]:[Setting]],all_cause_mort[],23,FALSE)="",VLOOKUP(all_lmics181920[[who_choice_region]:[who_choice_region]],missing[],27,FALSE),VLOOKUP(all_lmics181920[[Setting]:[Setting]],all_cause_mort[],23,FALSE))*1.05</f>
        <v>0.3507866355</v>
      </c>
      <c r="AJ69">
        <f>IF(VLOOKUP(all_lmics181920[[Setting]:[Setting]],all_cause_mort[],24,FALSE)="",VLOOKUP(all_lmics181920[[who_choice_region]:[who_choice_region]],missing[],28,FALSE),VLOOKUP(all_lmics181920[[Setting]:[Setting]],all_cause_mort[],24,FALSE))*1.05</f>
        <v>0.50846405400000005</v>
      </c>
      <c r="AK69">
        <f>IF(VLOOKUP(all_lmics181920[[Setting]:[Setting]],all_cause_mort[],25,FALSE)="",VLOOKUP(all_lmics181920[[who_choice_region]:[who_choice_region]],missing[],29,FALSE),VLOOKUP(all_lmics181920[[Setting]:[Setting]],all_cause_mort[],25,FALSE))*1.05</f>
        <v>0.69332398336418588</v>
      </c>
      <c r="AL69">
        <f>VLOOKUP(all_lmics181920[[worldbank_region]:[worldbank_region]],Table13[],2,FALSE)*1.05</f>
        <v>76.717604249999994</v>
      </c>
      <c r="AM69">
        <f>VLOOKUP(all_lmics181920[[worldbank_region]:[worldbank_region]],Table13[],3,FALSE)*1.05</f>
        <v>76.717604249999994</v>
      </c>
      <c r="AN69">
        <f>VLOOKUP(all_lmics181920[[worldbank_region]:[worldbank_region]],Table13[],4,FALSE)*1.05</f>
        <v>126.83290724999999</v>
      </c>
      <c r="AO69">
        <f>VLOOKUP(all_lmics181920[[worldbank_region]:[worldbank_region]],Table13[],5,FALSE)*1.05</f>
        <v>126.83290724999999</v>
      </c>
      <c r="AP69">
        <f>VLOOKUP(all_lmics181920[[worldbank_region]:[worldbank_region]],Table13[],6,FALSE)*1.05</f>
        <v>126.83290724999999</v>
      </c>
      <c r="AQ69">
        <f>VLOOKUP(all_lmics181920[[worldbank_region]:[worldbank_region]],Table14[],2,FALSE)*1.05</f>
        <v>1.4073045</v>
      </c>
      <c r="AR69">
        <f>VLOOKUP(all_lmics181920[[worldbank_region]:[worldbank_region]],Table14[],3,FALSE)*1.05</f>
        <v>2.0556795000000001</v>
      </c>
      <c r="AS69">
        <f>VLOOKUP(all_lmics181920[[worldbank_region]:[worldbank_region]],Table14[],4,FALSE)*1.05</f>
        <v>2.0709317999999999</v>
      </c>
      <c r="AT69">
        <f>VLOOKUP(all_lmics181920[[worldbank_region]:[worldbank_region]],Table14[],5,FALSE)*1.05</f>
        <v>2.7193068</v>
      </c>
      <c r="AU69">
        <f>VLOOKUP(all_lmics181920[[worldbank_region]:[worldbank_region]],Table14[],6,FALSE)*1.05</f>
        <v>3.3180714</v>
      </c>
      <c r="AV69">
        <f>MIN(IFERROR(VLOOKUP(all_lmics181920[[Setting]:[Setting]],nFacSBA[],4,FALSE),VLOOKUP(all_lmics181920[[who_choice_region]:[who_choice_region]],missing[],30,FALSE))*1.05, 0.9999)</f>
        <v>0.16784953724039575</v>
      </c>
      <c r="AW69">
        <f>VLOOKUP(all_lmics181920[[worldbank_region]:[worldbank_region]],hbe[],4)</f>
        <v>0.5</v>
      </c>
      <c r="AX69">
        <f>VLOOKUP(all_lmics181920[[worldbank_region]:[worldbank_region]],hbe[],7)</f>
        <v>1</v>
      </c>
      <c r="AY69">
        <f>VLOOKUP(all_lmics181920[[worldbank_region]:[worldbank_region]],hbe[],10)</f>
        <v>0.25</v>
      </c>
    </row>
    <row r="70" spans="1:51" x14ac:dyDescent="0.35">
      <c r="A70" s="12" t="s">
        <v>180</v>
      </c>
      <c r="B70" s="13" t="s">
        <v>33</v>
      </c>
      <c r="C70" s="14" t="s">
        <v>7</v>
      </c>
      <c r="D70">
        <f>VLOOKUP(all_lmics181920[[Setting]:[Setting]],populations[],9,FALSE)</f>
        <v>32938213</v>
      </c>
      <c r="E70">
        <f>VLOOKUP(all_lmics181920[[Setting]:[Setting]],birthrate[],3,FALSE)</f>
        <v>1.9562E-2</v>
      </c>
      <c r="F70">
        <f>all_lmics181920[[#This Row],[2017_population]]*all_lmics181920[[#This Row],[2016_birthrate]]</f>
        <v>644337.32270599995</v>
      </c>
      <c r="G70">
        <f>MIN(VLOOKUP(all_lmics181920[[Setting]:[Setting]],birthdose[],4,FALSE)*1.05,0.9999)</f>
        <v>0.99990000000000001</v>
      </c>
      <c r="H70">
        <f>MIN(VLOOKUP(all_lmics181920[[Setting]:[Setting]],fullvax[],4,FALSE)*1.05,0.9999)</f>
        <v>0.99990000000000001</v>
      </c>
      <c r="I70">
        <f>IFERROR(VLOOKUP(all_lmics181920[[Setting]:[Setting]],prev[],3,FALSE),VLOOKUP(all_lmics181920[[who_choice_region]:[who_choice_region]],missing[],2,FALSE))</f>
        <v>1.6E-2</v>
      </c>
      <c r="J70">
        <f>IFERROR(VLOOKUP(all_lmics181920[[Setting]:[Setting]],prev[],4,FALSE),VLOOKUP(all_lmics181920[[who_choice_region]:[who_choice_region]],missing[],3,FALSE))</f>
        <v>1.0999999999999999E-2</v>
      </c>
      <c r="K70">
        <f>IFERROR(VLOOKUP(all_lmics181920[[Setting]:[Setting]],prev[],5,FALSE),VLOOKUP(all_lmics181920[[who_choice_region]:[who_choice_region]],missing[],4,FALSE))</f>
        <v>1.9E-2</v>
      </c>
      <c r="L70">
        <f>IFERROR(VLOOKUP(all_lmics181920[[Setting]:[Setting]],prev[],7,FALSE),VLOOKUP(all_lmics181920[[who_choice_region]:[who_choice_region]],missing[],5,FALSE))</f>
        <v>1.5306122448979589E-3</v>
      </c>
      <c r="M70">
        <f>IFERROR(VLOOKUP(all_lmics181920[[Setting]:[Setting]],prev[],6,FALSE),0)</f>
        <v>32938213</v>
      </c>
      <c r="N70">
        <f>MIN(IFERROR(VLOOKUP(all_lmics181920[[Setting]:[Setting]],SBA[],4,FALSE),VLOOKUP(all_lmics181920[[who_choice_region]:[who_choice_region]],missing[],6,FALSE))*1.05, 0.9999)</f>
        <v>0.99990000000000001</v>
      </c>
      <c r="O70">
        <f>MIN(IFERROR(VLOOKUP(all_lmics181920[[Setting]:[Setting]], facility[], 3,FALSE),VLOOKUP(all_lmics181920[[who_choice_region]:[who_choice_region]],missing[],7,FALSE))*1.05, 0.9999)</f>
        <v>0.95550000000000013</v>
      </c>
      <c r="P70">
        <f>IF(VLOOKUP(all_lmics181920[[Setting]:[Setting]],all_cause_mort[],4,FALSE)="",VLOOKUP(all_lmics181920[[who_choice_region]:[who_choice_region]],missing[],8,FALSE),VLOOKUP(all_lmics181920[[Setting]:[Setting]],all_cause_mort[],4,FALSE))*1.05</f>
        <v>6.6590967449999998E-3</v>
      </c>
      <c r="Q70">
        <f>IF(VLOOKUP(all_lmics181920[[Setting]:[Setting]],all_cause_mort[],5,FALSE)="",VLOOKUP(all_lmics181920[[who_choice_region]:[who_choice_region]],missing[],9,FALSE),VLOOKUP(all_lmics181920[[Setting]:[Setting]],all_cause_mort[],5,FALSE))*1.05</f>
        <v>2.7774584250000003E-4</v>
      </c>
      <c r="R70">
        <f>IF(VLOOKUP(all_lmics181920[[Setting]:[Setting]],all_cause_mort[],6,FALSE)="",VLOOKUP(all_lmics181920[[who_choice_region]:[who_choice_region]],missing[],10,FALSE),VLOOKUP(all_lmics181920[[Setting]:[Setting]],all_cause_mort[],6,FALSE))*1.05</f>
        <v>5.6991042150000002E-4</v>
      </c>
      <c r="S70">
        <f>IF(VLOOKUP(all_lmics181920[[Setting]:[Setting]],all_cause_mort[],7,FALSE)="",VLOOKUP(all_lmics181920[[who_choice_region]:[who_choice_region]],missing[],11,FALSE),VLOOKUP(all_lmics181920[[Setting]:[Setting]],all_cause_mort[],7,FALSE))*1.05</f>
        <v>5.9023030500000005E-4</v>
      </c>
      <c r="T70">
        <f>IF(VLOOKUP(all_lmics181920[[Setting]:[Setting]],all_cause_mort[],8,FALSE)="",VLOOKUP(all_lmics181920[[who_choice_region]:[who_choice_region]],missing[],12,FALSE),VLOOKUP(all_lmics181920[[Setting]:[Setting]],all_cause_mort[],8,FALSE))*1.05</f>
        <v>9.4072132350000006E-4</v>
      </c>
      <c r="U70">
        <f>IF(VLOOKUP(all_lmics181920[[Setting]:[Setting]],all_cause_mort[],9,FALSE)="",VLOOKUP(all_lmics181920[[who_choice_region]:[who_choice_region]],missing[],13,FALSE),VLOOKUP(all_lmics181920[[Setting]:[Setting]],all_cause_mort[],9,FALSE))*1.05</f>
        <v>1.0349589074999999E-3</v>
      </c>
      <c r="V70">
        <f>IF(VLOOKUP(all_lmics181920[[Setting]:[Setting]],all_cause_mort[],10,FALSE)="",VLOOKUP(all_lmics181920[[who_choice_region]:[who_choice_region]],missing[],14,FALSE),VLOOKUP(all_lmics181920[[Setting]:[Setting]],all_cause_mort[],10,FALSE))*1.05</f>
        <v>6.3865642049999998E-4</v>
      </c>
      <c r="W70">
        <f>IF(VLOOKUP(all_lmics181920[[Setting]:[Setting]],all_cause_mort[],11,FALSE)="",VLOOKUP(all_lmics181920[[who_choice_region]:[who_choice_region]],missing[],15,FALSE),VLOOKUP(all_lmics181920[[Setting]:[Setting]],all_cause_mort[],11,FALSE))*1.05</f>
        <v>5.5537283550000007E-4</v>
      </c>
      <c r="X70">
        <f>IF(VLOOKUP(all_lmics181920[[Setting]:[Setting]],all_cause_mort[],12,FALSE)="",VLOOKUP(all_lmics181920[[who_choice_region]:[who_choice_region]],missing[],16,FALSE),VLOOKUP(all_lmics181920[[Setting]:[Setting]],all_cause_mort[],12,FALSE))*1.05</f>
        <v>9.9444919349999999E-4</v>
      </c>
      <c r="Y70">
        <f>IF(VLOOKUP(all_lmics181920[[Setting]:[Setting]],all_cause_mort[],13,FALSE)="",VLOOKUP(all_lmics181920[[who_choice_region]:[who_choice_region]],missing[],17,FALSE),VLOOKUP(all_lmics181920[[Setting]:[Setting]],all_cause_mort[],13,FALSE))*1.05</f>
        <v>1.7933048700000001E-3</v>
      </c>
      <c r="Z70">
        <f>IF(VLOOKUP(all_lmics181920[[Setting]:[Setting]],all_cause_mort[],14,FALSE)="",VLOOKUP(all_lmics181920[[who_choice_region]:[who_choice_region]],missing[],18,FALSE),VLOOKUP(all_lmics181920[[Setting]:[Setting]],all_cause_mort[],14,FALSE))*1.05</f>
        <v>2.2604792699999999E-3</v>
      </c>
      <c r="AA70">
        <f>IF(VLOOKUP(all_lmics181920[[Setting]:[Setting]],all_cause_mort[],15,FALSE)="",VLOOKUP(all_lmics181920[[who_choice_region]:[who_choice_region]],missing[],19,FALSE),VLOOKUP(all_lmics181920[[Setting]:[Setting]],all_cause_mort[],15,FALSE))*1.05</f>
        <v>4.17050949E-3</v>
      </c>
      <c r="AB70">
        <f>IF(VLOOKUP(all_lmics181920[[Setting]:[Setting]],all_cause_mort[],16,FALSE)="",VLOOKUP(all_lmics181920[[who_choice_region]:[who_choice_region]],missing[],20,FALSE),VLOOKUP(all_lmics181920[[Setting]:[Setting]],all_cause_mort[],16,FALSE))*1.05</f>
        <v>6.5819188049999998E-3</v>
      </c>
      <c r="AC70">
        <f>IF(VLOOKUP(all_lmics181920[[Setting]:[Setting]],all_cause_mort[],17,FALSE)="",VLOOKUP(all_lmics181920[[who_choice_region]:[who_choice_region]],missing[],21,FALSE),VLOOKUP(all_lmics181920[[Setting]:[Setting]],all_cause_mort[],17,FALSE))*1.05</f>
        <v>1.76266419E-2</v>
      </c>
      <c r="AD70">
        <f>IF(VLOOKUP(all_lmics181920[[Setting]:[Setting]],all_cause_mort[],18,FALSE)="",VLOOKUP(all_lmics181920[[who_choice_region]:[who_choice_region]],missing[],22,FALSE),VLOOKUP(all_lmics181920[[Setting]:[Setting]],all_cause_mort[],18,FALSE))*1.05</f>
        <v>2.5204946550000003E-2</v>
      </c>
      <c r="AE70">
        <f>IF(VLOOKUP(all_lmics181920[[Setting]:[Setting]],all_cause_mort[],19,FALSE)="",VLOOKUP(all_lmics181920[[who_choice_region]:[who_choice_region]],missing[],23,FALSE),VLOOKUP(all_lmics181920[[Setting]:[Setting]],all_cause_mort[],19,FALSE))*1.05</f>
        <v>5.2103115749999998E-2</v>
      </c>
      <c r="AF70">
        <f>IF(VLOOKUP(all_lmics181920[[Setting]:[Setting]],all_cause_mort[],20,FALSE)="",VLOOKUP(all_lmics181920[[who_choice_region]:[who_choice_region]],missing[],24,FALSE),VLOOKUP(all_lmics181920[[Setting]:[Setting]],all_cause_mort[],20,FALSE))*1.05</f>
        <v>7.0316270850000001E-2</v>
      </c>
      <c r="AG70">
        <f>IF(VLOOKUP(all_lmics181920[[Setting]:[Setting]],all_cause_mort[],21,FALSE)="",VLOOKUP(all_lmics181920[[who_choice_region]:[who_choice_region]],missing[],25,FALSE),VLOOKUP(all_lmics181920[[Setting]:[Setting]],all_cause_mort[],21,FALSE))*1.05</f>
        <v>0.1199750055</v>
      </c>
      <c r="AH70">
        <f>IF(VLOOKUP(all_lmics181920[[Setting]:[Setting]],all_cause_mort[],22,FALSE)="",VLOOKUP(all_lmics181920[[who_choice_region]:[who_choice_region]],missing[],26,FALSE),VLOOKUP(all_lmics181920[[Setting]:[Setting]],all_cause_mort[],22,FALSE))*1.05</f>
        <v>0.17564444100000001</v>
      </c>
      <c r="AI70">
        <f>IF(VLOOKUP(all_lmics181920[[Setting]:[Setting]],all_cause_mort[],23,FALSE)="",VLOOKUP(all_lmics181920[[who_choice_region]:[who_choice_region]],missing[],27,FALSE),VLOOKUP(all_lmics181920[[Setting]:[Setting]],all_cause_mort[],23,FALSE))*1.05</f>
        <v>0.24749035500000002</v>
      </c>
      <c r="AJ70">
        <f>IF(VLOOKUP(all_lmics181920[[Setting]:[Setting]],all_cause_mort[],24,FALSE)="",VLOOKUP(all_lmics181920[[who_choice_region]:[who_choice_region]],missing[],28,FALSE),VLOOKUP(all_lmics181920[[Setting]:[Setting]],all_cause_mort[],24,FALSE))*1.05</f>
        <v>0.34726795950000006</v>
      </c>
      <c r="AK70">
        <f>IF(VLOOKUP(all_lmics181920[[Setting]:[Setting]],all_cause_mort[],25,FALSE)="",VLOOKUP(all_lmics181920[[who_choice_region]:[who_choice_region]],missing[],29,FALSE),VLOOKUP(all_lmics181920[[Setting]:[Setting]],all_cause_mort[],25,FALSE))*1.05</f>
        <v>0.48378981590184839</v>
      </c>
      <c r="AL70">
        <f>VLOOKUP(all_lmics181920[[worldbank_region]:[worldbank_region]],Table13[],2,FALSE)*1.05</f>
        <v>60.801990899999993</v>
      </c>
      <c r="AM70">
        <f>VLOOKUP(all_lmics181920[[worldbank_region]:[worldbank_region]],Table13[],3,FALSE)*1.05</f>
        <v>60.801990899999993</v>
      </c>
      <c r="AN70">
        <f>VLOOKUP(all_lmics181920[[worldbank_region]:[worldbank_region]],Table13[],4,FALSE)*1.05</f>
        <v>110.91729389999999</v>
      </c>
      <c r="AO70">
        <f>VLOOKUP(all_lmics181920[[worldbank_region]:[worldbank_region]],Table13[],5,FALSE)*1.05</f>
        <v>110.91729389999999</v>
      </c>
      <c r="AP70">
        <f>VLOOKUP(all_lmics181920[[worldbank_region]:[worldbank_region]],Table13[],6,FALSE)*1.05</f>
        <v>110.91729389999999</v>
      </c>
      <c r="AQ70">
        <f>VLOOKUP(all_lmics181920[[worldbank_region]:[worldbank_region]],Table14[],2,FALSE)*1.05</f>
        <v>1.57893225</v>
      </c>
      <c r="AR70">
        <f>VLOOKUP(all_lmics181920[[worldbank_region]:[worldbank_region]],Table14[],3,FALSE)*1.05</f>
        <v>2.22730725</v>
      </c>
      <c r="AS70">
        <f>VLOOKUP(all_lmics181920[[worldbank_region]:[worldbank_region]],Table14[],4,FALSE)*1.05</f>
        <v>2.0823736500000001</v>
      </c>
      <c r="AT70">
        <f>VLOOKUP(all_lmics181920[[worldbank_region]:[worldbank_region]],Table14[],5,FALSE)*1.05</f>
        <v>2.7307486499999998</v>
      </c>
      <c r="AU70">
        <f>VLOOKUP(all_lmics181920[[worldbank_region]:[worldbank_region]],Table14[],6,FALSE)*1.05</f>
        <v>3.3295132499999998</v>
      </c>
      <c r="AV70">
        <f>MIN(IFERROR(VLOOKUP(all_lmics181920[[Setting]:[Setting]],nFacSBA[],4,FALSE),VLOOKUP(all_lmics181920[[who_choice_region]:[who_choice_region]],missing[],30,FALSE))*1.05, 0.9999)</f>
        <v>0.40722609472787386</v>
      </c>
      <c r="AW70">
        <f>VLOOKUP(all_lmics181920[[worldbank_region]:[worldbank_region]],hbe[],4)</f>
        <v>0.5</v>
      </c>
      <c r="AX70">
        <f>VLOOKUP(all_lmics181920[[worldbank_region]:[worldbank_region]],hbe[],7)</f>
        <v>1</v>
      </c>
      <c r="AY70">
        <f>VLOOKUP(all_lmics181920[[worldbank_region]:[worldbank_region]],hbe[],10)</f>
        <v>0.25</v>
      </c>
    </row>
    <row r="71" spans="1:51" x14ac:dyDescent="0.35">
      <c r="A71" s="8" t="s">
        <v>181</v>
      </c>
      <c r="B71" s="10" t="s">
        <v>14</v>
      </c>
      <c r="C71" s="11" t="s">
        <v>15</v>
      </c>
      <c r="D71">
        <f>VLOOKUP(all_lmics181920[[Setting]:[Setting]],populations[],9,FALSE)</f>
        <v>15850567</v>
      </c>
      <c r="E71">
        <f>VLOOKUP(all_lmics181920[[Setting]:[Setting]],birthrate[],3,FALSE)</f>
        <v>3.5598999999999999E-2</v>
      </c>
      <c r="F71">
        <f>all_lmics181920[[#This Row],[2017_population]]*all_lmics181920[[#This Row],[2016_birthrate]]</f>
        <v>564264.33463299996</v>
      </c>
      <c r="G71">
        <f>MIN(VLOOKUP(all_lmics181920[[Setting]:[Setting]],birthdose[],4,FALSE)*1.05,0.9999)</f>
        <v>0.75600000000000001</v>
      </c>
      <c r="H71">
        <f>MIN(VLOOKUP(all_lmics181920[[Setting]:[Setting]],fullvax[],4,FALSE)*1.05,0.9999)</f>
        <v>0.95550000000000013</v>
      </c>
      <c r="I71">
        <f>IFERROR(VLOOKUP(all_lmics181920[[Setting]:[Setting]],prev[],3,FALSE),VLOOKUP(all_lmics181920[[who_choice_region]:[who_choice_region]],missing[],2,FALSE))</f>
        <v>8.1000000000000003E-2</v>
      </c>
      <c r="J71">
        <f>IFERROR(VLOOKUP(all_lmics181920[[Setting]:[Setting]],prev[],4,FALSE),VLOOKUP(all_lmics181920[[who_choice_region]:[who_choice_region]],missing[],3,FALSE))</f>
        <v>7.4999999999999997E-2</v>
      </c>
      <c r="K71">
        <f>IFERROR(VLOOKUP(all_lmics181920[[Setting]:[Setting]],prev[],5,FALSE),VLOOKUP(all_lmics181920[[who_choice_region]:[who_choice_region]],missing[],4,FALSE))</f>
        <v>0.09</v>
      </c>
      <c r="L71">
        <f>IFERROR(VLOOKUP(all_lmics181920[[Setting]:[Setting]],prev[],7,FALSE),VLOOKUP(all_lmics181920[[who_choice_region]:[who_choice_region]],missing[],5,FALSE))</f>
        <v>4.5918367346938745E-3</v>
      </c>
      <c r="M71">
        <f>IFERROR(VLOOKUP(all_lmics181920[[Setting]:[Setting]],prev[],6,FALSE),0)</f>
        <v>15850567</v>
      </c>
      <c r="N71">
        <f>MIN(IFERROR(VLOOKUP(all_lmics181920[[Setting]:[Setting]],SBA[],4,FALSE),VLOOKUP(all_lmics181920[[who_choice_region]:[who_choice_region]],missing[],6,FALSE))*1.05, 0.9999)</f>
        <v>0.61529999999999996</v>
      </c>
      <c r="O71">
        <f>MIN(IFERROR(VLOOKUP(all_lmics181920[[Setting]:[Setting]], facility[], 3,FALSE),VLOOKUP(all_lmics181920[[who_choice_region]:[who_choice_region]],missing[],7,FALSE))*1.05, 0.9999)</f>
        <v>0.78225</v>
      </c>
      <c r="P71">
        <f>IF(VLOOKUP(all_lmics181920[[Setting]:[Setting]],all_cause_mort[],4,FALSE)="",VLOOKUP(all_lmics181920[[who_choice_region]:[who_choice_region]],missing[],8,FALSE),VLOOKUP(all_lmics181920[[Setting]:[Setting]],all_cause_mort[],4,FALSE))*1.05</f>
        <v>3.538662435E-2</v>
      </c>
      <c r="Q71">
        <f>IF(VLOOKUP(all_lmics181920[[Setting]:[Setting]],all_cause_mort[],5,FALSE)="",VLOOKUP(all_lmics181920[[who_choice_region]:[who_choice_region]],missing[],9,FALSE),VLOOKUP(all_lmics181920[[Setting]:[Setting]],all_cause_mort[],5,FALSE))*1.05</f>
        <v>3.2477532149999999E-3</v>
      </c>
      <c r="R71">
        <f>IF(VLOOKUP(all_lmics181920[[Setting]:[Setting]],all_cause_mort[],6,FALSE)="",VLOOKUP(all_lmics181920[[who_choice_region]:[who_choice_region]],missing[],10,FALSE),VLOOKUP(all_lmics181920[[Setting]:[Setting]],all_cause_mort[],6,FALSE))*1.05</f>
        <v>1.3028166900000001E-3</v>
      </c>
      <c r="S71">
        <f>IF(VLOOKUP(all_lmics181920[[Setting]:[Setting]],all_cause_mort[],7,FALSE)="",VLOOKUP(all_lmics181920[[who_choice_region]:[who_choice_region]],missing[],11,FALSE),VLOOKUP(all_lmics181920[[Setting]:[Setting]],all_cause_mort[],7,FALSE))*1.05</f>
        <v>9.1047560099999998E-4</v>
      </c>
      <c r="T71">
        <f>IF(VLOOKUP(all_lmics181920[[Setting]:[Setting]],all_cause_mort[],8,FALSE)="",VLOOKUP(all_lmics181920[[who_choice_region]:[who_choice_region]],missing[],12,FALSE),VLOOKUP(all_lmics181920[[Setting]:[Setting]],all_cause_mort[],8,FALSE))*1.05</f>
        <v>1.4187573749999999E-3</v>
      </c>
      <c r="U71">
        <f>IF(VLOOKUP(all_lmics181920[[Setting]:[Setting]],all_cause_mort[],9,FALSE)="",VLOOKUP(all_lmics181920[[who_choice_region]:[who_choice_region]],missing[],13,FALSE),VLOOKUP(all_lmics181920[[Setting]:[Setting]],all_cause_mort[],9,FALSE))*1.05</f>
        <v>2.0662350449999999E-3</v>
      </c>
      <c r="V71">
        <f>IF(VLOOKUP(all_lmics181920[[Setting]:[Setting]],all_cause_mort[],10,FALSE)="",VLOOKUP(all_lmics181920[[who_choice_region]:[who_choice_region]],missing[],14,FALSE),VLOOKUP(all_lmics181920[[Setting]:[Setting]],all_cause_mort[],10,FALSE))*1.05</f>
        <v>2.244611355E-3</v>
      </c>
      <c r="W71">
        <f>IF(VLOOKUP(all_lmics181920[[Setting]:[Setting]],all_cause_mort[],11,FALSE)="",VLOOKUP(all_lmics181920[[who_choice_region]:[who_choice_region]],missing[],15,FALSE),VLOOKUP(all_lmics181920[[Setting]:[Setting]],all_cause_mort[],11,FALSE))*1.05</f>
        <v>2.6213621700000001E-3</v>
      </c>
      <c r="X71">
        <f>IF(VLOOKUP(all_lmics181920[[Setting]:[Setting]],all_cause_mort[],12,FALSE)="",VLOOKUP(all_lmics181920[[who_choice_region]:[who_choice_region]],missing[],16,FALSE),VLOOKUP(all_lmics181920[[Setting]:[Setting]],all_cause_mort[],12,FALSE))*1.05</f>
        <v>3.1440417750000001E-3</v>
      </c>
      <c r="Y71">
        <f>IF(VLOOKUP(all_lmics181920[[Setting]:[Setting]],all_cause_mort[],13,FALSE)="",VLOOKUP(all_lmics181920[[who_choice_region]:[who_choice_region]],missing[],17,FALSE),VLOOKUP(all_lmics181920[[Setting]:[Setting]],all_cause_mort[],13,FALSE))*1.05</f>
        <v>4.1654434500000004E-3</v>
      </c>
      <c r="Z71">
        <f>IF(VLOOKUP(all_lmics181920[[Setting]:[Setting]],all_cause_mort[],14,FALSE)="",VLOOKUP(all_lmics181920[[who_choice_region]:[who_choice_region]],missing[],18,FALSE),VLOOKUP(all_lmics181920[[Setting]:[Setting]],all_cause_mort[],14,FALSE))*1.05</f>
        <v>5.5754799449999996E-3</v>
      </c>
      <c r="AA71">
        <f>IF(VLOOKUP(all_lmics181920[[Setting]:[Setting]],all_cause_mort[],15,FALSE)="",VLOOKUP(all_lmics181920[[who_choice_region]:[who_choice_region]],missing[],19,FALSE),VLOOKUP(all_lmics181920[[Setting]:[Setting]],all_cause_mort[],15,FALSE))*1.05</f>
        <v>8.2549720050000015E-3</v>
      </c>
      <c r="AB71">
        <f>IF(VLOOKUP(all_lmics181920[[Setting]:[Setting]],all_cause_mort[],16,FALSE)="",VLOOKUP(all_lmics181920[[who_choice_region]:[who_choice_region]],missing[],20,FALSE),VLOOKUP(all_lmics181920[[Setting]:[Setting]],all_cause_mort[],16,FALSE))*1.05</f>
        <v>1.217738025E-2</v>
      </c>
      <c r="AC71">
        <f>IF(VLOOKUP(all_lmics181920[[Setting]:[Setting]],all_cause_mort[],17,FALSE)="",VLOOKUP(all_lmics181920[[who_choice_region]:[who_choice_region]],missing[],21,FALSE),VLOOKUP(all_lmics181920[[Setting]:[Setting]],all_cause_mort[],17,FALSE))*1.05</f>
        <v>1.9404465150000001E-2</v>
      </c>
      <c r="AD71">
        <f>IF(VLOOKUP(all_lmics181920[[Setting]:[Setting]],all_cause_mort[],18,FALSE)="",VLOOKUP(all_lmics181920[[who_choice_region]:[who_choice_region]],missing[],22,FALSE),VLOOKUP(all_lmics181920[[Setting]:[Setting]],all_cause_mort[],18,FALSE))*1.05</f>
        <v>3.1454453100000002E-2</v>
      </c>
      <c r="AE71">
        <f>IF(VLOOKUP(all_lmics181920[[Setting]:[Setting]],all_cause_mort[],19,FALSE)="",VLOOKUP(all_lmics181920[[who_choice_region]:[who_choice_region]],missing[],23,FALSE),VLOOKUP(all_lmics181920[[Setting]:[Setting]],all_cause_mort[],19,FALSE))*1.05</f>
        <v>5.4939547950000008E-2</v>
      </c>
      <c r="AF71">
        <f>IF(VLOOKUP(all_lmics181920[[Setting]:[Setting]],all_cause_mort[],20,FALSE)="",VLOOKUP(all_lmics181920[[who_choice_region]:[who_choice_region]],missing[],24,FALSE),VLOOKUP(all_lmics181920[[Setting]:[Setting]],all_cause_mort[],20,FALSE))*1.05</f>
        <v>9.6182867550000009E-2</v>
      </c>
      <c r="AG71">
        <f>IF(VLOOKUP(all_lmics181920[[Setting]:[Setting]],all_cause_mort[],21,FALSE)="",VLOOKUP(all_lmics181920[[who_choice_region]:[who_choice_region]],missing[],25,FALSE),VLOOKUP(all_lmics181920[[Setting]:[Setting]],all_cause_mort[],21,FALSE))*1.05</f>
        <v>0.16530890249999999</v>
      </c>
      <c r="AH71">
        <f>IF(VLOOKUP(all_lmics181920[[Setting]:[Setting]],all_cause_mort[],22,FALSE)="",VLOOKUP(all_lmics181920[[who_choice_region]:[who_choice_region]],missing[],26,FALSE),VLOOKUP(all_lmics181920[[Setting]:[Setting]],all_cause_mort[],22,FALSE))*1.05</f>
        <v>0.26637073049999999</v>
      </c>
      <c r="AI71">
        <f>IF(VLOOKUP(all_lmics181920[[Setting]:[Setting]],all_cause_mort[],23,FALSE)="",VLOOKUP(all_lmics181920[[who_choice_region]:[who_choice_region]],missing[],27,FALSE),VLOOKUP(all_lmics181920[[Setting]:[Setting]],all_cause_mort[],23,FALSE))*1.05</f>
        <v>0.40132784999999999</v>
      </c>
      <c r="AJ71">
        <f>IF(VLOOKUP(all_lmics181920[[Setting]:[Setting]],all_cause_mort[],24,FALSE)="",VLOOKUP(all_lmics181920[[who_choice_region]:[who_choice_region]],missing[],28,FALSE),VLOOKUP(all_lmics181920[[Setting]:[Setting]],all_cause_mort[],24,FALSE))*1.05</f>
        <v>0.54209760149999997</v>
      </c>
      <c r="AK71">
        <f>IF(VLOOKUP(all_lmics181920[[Setting]:[Setting]],all_cause_mort[],25,FALSE)="",VLOOKUP(all_lmics181920[[who_choice_region]:[who_choice_region]],missing[],29,FALSE),VLOOKUP(all_lmics181920[[Setting]:[Setting]],all_cause_mort[],25,FALSE))*1.05</f>
        <v>0.88613420240874907</v>
      </c>
      <c r="AL71">
        <f>VLOOKUP(all_lmics181920[[worldbank_region]:[worldbank_region]],Table13[],2,FALSE)*1.05</f>
        <v>31.40787825</v>
      </c>
      <c r="AM71">
        <f>VLOOKUP(all_lmics181920[[worldbank_region]:[worldbank_region]],Table13[],3,FALSE)*1.05</f>
        <v>31.40787825</v>
      </c>
      <c r="AN71">
        <f>VLOOKUP(all_lmics181920[[worldbank_region]:[worldbank_region]],Table13[],4,FALSE)*1.05</f>
        <v>81.523181249999993</v>
      </c>
      <c r="AO71">
        <f>VLOOKUP(all_lmics181920[[worldbank_region]:[worldbank_region]],Table13[],5,FALSE)*1.05</f>
        <v>81.523181249999993</v>
      </c>
      <c r="AP71">
        <f>VLOOKUP(all_lmics181920[[worldbank_region]:[worldbank_region]],Table13[],6,FALSE)*1.05</f>
        <v>81.523181249999993</v>
      </c>
      <c r="AQ71">
        <f>VLOOKUP(all_lmics181920[[worldbank_region]:[worldbank_region]],Table14[],2,FALSE)*1.05</f>
        <v>1.0182816000000001</v>
      </c>
      <c r="AR71">
        <f>VLOOKUP(all_lmics181920[[worldbank_region]:[worldbank_region]],Table14[],3,FALSE)*1.05</f>
        <v>1.6666566000000003</v>
      </c>
      <c r="AS71">
        <f>VLOOKUP(all_lmics181920[[worldbank_region]:[worldbank_region]],Table14[],4,FALSE)*1.05</f>
        <v>6.08702115</v>
      </c>
      <c r="AT71">
        <f>VLOOKUP(all_lmics181920[[worldbank_region]:[worldbank_region]],Table14[],5,FALSE)*1.05</f>
        <v>6.7353961499999997</v>
      </c>
      <c r="AU71">
        <f>VLOOKUP(all_lmics181920[[worldbank_region]:[worldbank_region]],Table14[],6,FALSE)*1.05</f>
        <v>7.3341607499999997</v>
      </c>
      <c r="AV71">
        <f>MIN(IFERROR(VLOOKUP(all_lmics181920[[Setting]:[Setting]],nFacSBA[],4,FALSE),VLOOKUP(all_lmics181920[[who_choice_region]:[who_choice_region]],missing[],30,FALSE))*1.05, 0.9999)</f>
        <v>5.2659870413727973E-2</v>
      </c>
      <c r="AW71">
        <f>VLOOKUP(all_lmics181920[[worldbank_region]:[worldbank_region]],hbe[],4)</f>
        <v>0.5</v>
      </c>
      <c r="AX71">
        <f>VLOOKUP(all_lmics181920[[worldbank_region]:[worldbank_region]],hbe[],7)</f>
        <v>1</v>
      </c>
      <c r="AY71">
        <f>VLOOKUP(all_lmics181920[[worldbank_region]:[worldbank_region]],hbe[],10)</f>
        <v>0.25</v>
      </c>
    </row>
    <row r="72" spans="1:51" x14ac:dyDescent="0.35">
      <c r="A72" s="12" t="s">
        <v>188</v>
      </c>
      <c r="B72" s="13" t="s">
        <v>57</v>
      </c>
      <c r="C72" s="14" t="s">
        <v>58</v>
      </c>
      <c r="D72">
        <f>VLOOKUP(all_lmics181920[[Setting]:[Setting]],populations[],9,FALSE)</f>
        <v>611343</v>
      </c>
      <c r="E72">
        <f>VLOOKUP(all_lmics181920[[Setting]:[Setting]],birthrate[],3,FALSE)</f>
        <v>2.8713000000000002E-2</v>
      </c>
      <c r="F72">
        <f>all_lmics181920[[#This Row],[2017_population]]*all_lmics181920[[#This Row],[2016_birthrate]]</f>
        <v>17553.491559000002</v>
      </c>
      <c r="G72">
        <f>MIN(VLOOKUP(all_lmics181920[[Setting]:[Setting]],birthdose[],4,FALSE)*1.05,0.9999)</f>
        <v>0.70350000000000013</v>
      </c>
      <c r="H72">
        <f>MIN(VLOOKUP(all_lmics181920[[Setting]:[Setting]],fullvax[],4,FALSE)*1.05,0.9999)</f>
        <v>0.99990000000000001</v>
      </c>
      <c r="I72">
        <f>IFERROR(VLOOKUP(all_lmics181920[[Setting]:[Setting]],prev[],3,FALSE),VLOOKUP(all_lmics181920[[who_choice_region]:[who_choice_region]],missing[],2,FALSE))</f>
        <v>0.1883</v>
      </c>
      <c r="J72">
        <f>IFERROR(VLOOKUP(all_lmics181920[[Setting]:[Setting]],prev[],4,FALSE),VLOOKUP(all_lmics181920[[who_choice_region]:[who_choice_region]],missing[],3,FALSE))</f>
        <v>0.1757</v>
      </c>
      <c r="K72">
        <f>IFERROR(VLOOKUP(all_lmics181920[[Setting]:[Setting]],prev[],5,FALSE),VLOOKUP(all_lmics181920[[who_choice_region]:[who_choice_region]],missing[],4,FALSE))</f>
        <v>0.20150000000000001</v>
      </c>
      <c r="L72">
        <f>IFERROR(VLOOKUP(all_lmics181920[[Setting]:[Setting]],prev[],7,FALSE),VLOOKUP(all_lmics181920[[who_choice_region]:[who_choice_region]],missing[],5,FALSE))</f>
        <v>6.7346938775510292E-3</v>
      </c>
      <c r="M72">
        <f>IFERROR(VLOOKUP(all_lmics181920[[Setting]:[Setting]],prev[],6,FALSE),0)</f>
        <v>527790</v>
      </c>
      <c r="N72">
        <f>MIN(IFERROR(VLOOKUP(all_lmics181920[[Setting]:[Setting]],SBA[],4,FALSE),VLOOKUP(all_lmics181920[[who_choice_region]:[who_choice_region]],missing[],6,FALSE))*1.05, 0.9999)</f>
        <v>0.90510000000000002</v>
      </c>
      <c r="O72">
        <f>MIN(IFERROR(VLOOKUP(all_lmics181920[[Setting]:[Setting]], facility[], 3,FALSE),VLOOKUP(all_lmics181920[[who_choice_region]:[who_choice_region]],missing[],7,FALSE))*1.05, 0.9999)</f>
        <v>0.88724999999999998</v>
      </c>
      <c r="P72">
        <f>IF(VLOOKUP(all_lmics181920[[Setting]:[Setting]],all_cause_mort[],4,FALSE)="",VLOOKUP(all_lmics181920[[who_choice_region]:[who_choice_region]],missing[],8,FALSE),VLOOKUP(all_lmics181920[[Setting]:[Setting]],all_cause_mort[],4,FALSE))*1.05</f>
        <v>1.6460391150000003E-2</v>
      </c>
      <c r="Q72">
        <f>IF(VLOOKUP(all_lmics181920[[Setting]:[Setting]],all_cause_mort[],5,FALSE)="",VLOOKUP(all_lmics181920[[who_choice_region]:[who_choice_region]],missing[],9,FALSE),VLOOKUP(all_lmics181920[[Setting]:[Setting]],all_cause_mort[],5,FALSE))*1.05</f>
        <v>1.2479323500000001E-3</v>
      </c>
      <c r="R72">
        <f>IF(VLOOKUP(all_lmics181920[[Setting]:[Setting]],all_cause_mort[],6,FALSE)="",VLOOKUP(all_lmics181920[[who_choice_region]:[who_choice_region]],missing[],10,FALSE),VLOOKUP(all_lmics181920[[Setting]:[Setting]],all_cause_mort[],6,FALSE))*1.05</f>
        <v>4.5679421550000001E-4</v>
      </c>
      <c r="S72">
        <f>IF(VLOOKUP(all_lmics181920[[Setting]:[Setting]],all_cause_mort[],7,FALSE)="",VLOOKUP(all_lmics181920[[who_choice_region]:[who_choice_region]],missing[],11,FALSE),VLOOKUP(all_lmics181920[[Setting]:[Setting]],all_cause_mort[],7,FALSE))*1.05</f>
        <v>4.206245085E-4</v>
      </c>
      <c r="T72">
        <f>IF(VLOOKUP(all_lmics181920[[Setting]:[Setting]],all_cause_mort[],8,FALSE)="",VLOOKUP(all_lmics181920[[who_choice_region]:[who_choice_region]],missing[],12,FALSE),VLOOKUP(all_lmics181920[[Setting]:[Setting]],all_cause_mort[],8,FALSE))*1.05</f>
        <v>9.2414043750000004E-4</v>
      </c>
      <c r="U72">
        <f>IF(VLOOKUP(all_lmics181920[[Setting]:[Setting]],all_cause_mort[],9,FALSE)="",VLOOKUP(all_lmics181920[[who_choice_region]:[who_choice_region]],missing[],13,FALSE),VLOOKUP(all_lmics181920[[Setting]:[Setting]],all_cause_mort[],9,FALSE))*1.05</f>
        <v>1.2122454750000001E-3</v>
      </c>
      <c r="V72">
        <f>IF(VLOOKUP(all_lmics181920[[Setting]:[Setting]],all_cause_mort[],10,FALSE)="",VLOOKUP(all_lmics181920[[who_choice_region]:[who_choice_region]],missing[],14,FALSE),VLOOKUP(all_lmics181920[[Setting]:[Setting]],all_cause_mort[],10,FALSE))*1.05</f>
        <v>1.2791547300000001E-3</v>
      </c>
      <c r="W72">
        <f>IF(VLOOKUP(all_lmics181920[[Setting]:[Setting]],all_cause_mort[],11,FALSE)="",VLOOKUP(all_lmics181920[[who_choice_region]:[who_choice_region]],missing[],15,FALSE),VLOOKUP(all_lmics181920[[Setting]:[Setting]],all_cause_mort[],11,FALSE))*1.05</f>
        <v>1.5209807550000001E-3</v>
      </c>
      <c r="X72">
        <f>IF(VLOOKUP(all_lmics181920[[Setting]:[Setting]],all_cause_mort[],12,FALSE)="",VLOOKUP(all_lmics181920[[who_choice_region]:[who_choice_region]],missing[],16,FALSE),VLOOKUP(all_lmics181920[[Setting]:[Setting]],all_cause_mort[],12,FALSE))*1.05</f>
        <v>2.0505885750000002E-3</v>
      </c>
      <c r="Y72">
        <f>IF(VLOOKUP(all_lmics181920[[Setting]:[Setting]],all_cause_mort[],13,FALSE)="",VLOOKUP(all_lmics181920[[who_choice_region]:[who_choice_region]],missing[],17,FALSE),VLOOKUP(all_lmics181920[[Setting]:[Setting]],all_cause_mort[],13,FALSE))*1.05</f>
        <v>2.9593033050000004E-3</v>
      </c>
      <c r="Z72">
        <f>IF(VLOOKUP(all_lmics181920[[Setting]:[Setting]],all_cause_mort[],14,FALSE)="",VLOOKUP(all_lmics181920[[who_choice_region]:[who_choice_region]],missing[],18,FALSE),VLOOKUP(all_lmics181920[[Setting]:[Setting]],all_cause_mort[],14,FALSE))*1.05</f>
        <v>4.5759203700000001E-3</v>
      </c>
      <c r="AA72">
        <f>IF(VLOOKUP(all_lmics181920[[Setting]:[Setting]],all_cause_mort[],15,FALSE)="",VLOOKUP(all_lmics181920[[who_choice_region]:[who_choice_region]],missing[],19,FALSE),VLOOKUP(all_lmics181920[[Setting]:[Setting]],all_cause_mort[],15,FALSE))*1.05</f>
        <v>7.1536724700000005E-3</v>
      </c>
      <c r="AB72">
        <f>IF(VLOOKUP(all_lmics181920[[Setting]:[Setting]],all_cause_mort[],16,FALSE)="",VLOOKUP(all_lmics181920[[who_choice_region]:[who_choice_region]],missing[],20,FALSE),VLOOKUP(all_lmics181920[[Setting]:[Setting]],all_cause_mort[],16,FALSE))*1.05</f>
        <v>1.12681632E-2</v>
      </c>
      <c r="AC72">
        <f>IF(VLOOKUP(all_lmics181920[[Setting]:[Setting]],all_cause_mort[],17,FALSE)="",VLOOKUP(all_lmics181920[[who_choice_region]:[who_choice_region]],missing[],21,FALSE),VLOOKUP(all_lmics181920[[Setting]:[Setting]],all_cause_mort[],17,FALSE))*1.05</f>
        <v>1.7004359399999999E-2</v>
      </c>
      <c r="AD72">
        <f>IF(VLOOKUP(all_lmics181920[[Setting]:[Setting]],all_cause_mort[],18,FALSE)="",VLOOKUP(all_lmics181920[[who_choice_region]:[who_choice_region]],missing[],22,FALSE),VLOOKUP(all_lmics181920[[Setting]:[Setting]],all_cause_mort[],18,FALSE))*1.05</f>
        <v>2.5541721449999999E-2</v>
      </c>
      <c r="AE72">
        <f>IF(VLOOKUP(all_lmics181920[[Setting]:[Setting]],all_cause_mort[],19,FALSE)="",VLOOKUP(all_lmics181920[[who_choice_region]:[who_choice_region]],missing[],23,FALSE),VLOOKUP(all_lmics181920[[Setting]:[Setting]],all_cause_mort[],19,FALSE))*1.05</f>
        <v>4.0380880050000005E-2</v>
      </c>
      <c r="AF72">
        <f>IF(VLOOKUP(all_lmics181920[[Setting]:[Setting]],all_cause_mort[],20,FALSE)="",VLOOKUP(all_lmics181920[[who_choice_region]:[who_choice_region]],missing[],24,FALSE),VLOOKUP(all_lmics181920[[Setting]:[Setting]],all_cause_mort[],20,FALSE))*1.05</f>
        <v>6.7630069500000001E-2</v>
      </c>
      <c r="AG72">
        <f>IF(VLOOKUP(all_lmics181920[[Setting]:[Setting]],all_cause_mort[],21,FALSE)="",VLOOKUP(all_lmics181920[[who_choice_region]:[who_choice_region]],missing[],25,FALSE),VLOOKUP(all_lmics181920[[Setting]:[Setting]],all_cause_mort[],21,FALSE))*1.05</f>
        <v>0.11068488899999999</v>
      </c>
      <c r="AH72">
        <f>IF(VLOOKUP(all_lmics181920[[Setting]:[Setting]],all_cause_mort[],22,FALSE)="",VLOOKUP(all_lmics181920[[who_choice_region]:[who_choice_region]],missing[],26,FALSE),VLOOKUP(all_lmics181920[[Setting]:[Setting]],all_cause_mort[],22,FALSE))*1.05</f>
        <v>0.17738543549999999</v>
      </c>
      <c r="AI72">
        <f>IF(VLOOKUP(all_lmics181920[[Setting]:[Setting]],all_cause_mort[],23,FALSE)="",VLOOKUP(all_lmics181920[[who_choice_region]:[who_choice_region]],missing[],27,FALSE),VLOOKUP(all_lmics181920[[Setting]:[Setting]],all_cause_mort[],23,FALSE))*1.05</f>
        <v>0.26681269650000006</v>
      </c>
      <c r="AJ72">
        <f>IF(VLOOKUP(all_lmics181920[[Setting]:[Setting]],all_cause_mort[],24,FALSE)="",VLOOKUP(all_lmics181920[[who_choice_region]:[who_choice_region]],missing[],28,FALSE),VLOOKUP(all_lmics181920[[Setting]:[Setting]],all_cause_mort[],24,FALSE))*1.05</f>
        <v>0.38064600000000004</v>
      </c>
      <c r="AK72">
        <f>IF(VLOOKUP(all_lmics181920[[Setting]:[Setting]],all_cause_mort[],25,FALSE)="",VLOOKUP(all_lmics181920[[who_choice_region]:[who_choice_region]],missing[],29,FALSE),VLOOKUP(all_lmics181920[[Setting]:[Setting]],all_cause_mort[],25,FALSE))*1.05</f>
        <v>0.51650214515638515</v>
      </c>
      <c r="AL72">
        <f>VLOOKUP(all_lmics181920[[worldbank_region]:[worldbank_region]],Table13[],2,FALSE)*1.05</f>
        <v>76.717604249999994</v>
      </c>
      <c r="AM72">
        <f>VLOOKUP(all_lmics181920[[worldbank_region]:[worldbank_region]],Table13[],3,FALSE)*1.05</f>
        <v>76.717604249999994</v>
      </c>
      <c r="AN72">
        <f>VLOOKUP(all_lmics181920[[worldbank_region]:[worldbank_region]],Table13[],4,FALSE)*1.05</f>
        <v>126.83290724999999</v>
      </c>
      <c r="AO72">
        <f>VLOOKUP(all_lmics181920[[worldbank_region]:[worldbank_region]],Table13[],5,FALSE)*1.05</f>
        <v>126.83290724999999</v>
      </c>
      <c r="AP72">
        <f>VLOOKUP(all_lmics181920[[worldbank_region]:[worldbank_region]],Table13[],6,FALSE)*1.05</f>
        <v>126.83290724999999</v>
      </c>
      <c r="AQ72">
        <f>VLOOKUP(all_lmics181920[[worldbank_region]:[worldbank_region]],Table14[],2,FALSE)*1.05</f>
        <v>1.4073045</v>
      </c>
      <c r="AR72">
        <f>VLOOKUP(all_lmics181920[[worldbank_region]:[worldbank_region]],Table14[],3,FALSE)*1.05</f>
        <v>2.0556795000000001</v>
      </c>
      <c r="AS72">
        <f>VLOOKUP(all_lmics181920[[worldbank_region]:[worldbank_region]],Table14[],4,FALSE)*1.05</f>
        <v>2.0709317999999999</v>
      </c>
      <c r="AT72">
        <f>VLOOKUP(all_lmics181920[[worldbank_region]:[worldbank_region]],Table14[],5,FALSE)*1.05</f>
        <v>2.7193068</v>
      </c>
      <c r="AU72">
        <f>VLOOKUP(all_lmics181920[[worldbank_region]:[worldbank_region]],Table14[],6,FALSE)*1.05</f>
        <v>3.3180714</v>
      </c>
      <c r="AV72">
        <f>MIN(IFERROR(VLOOKUP(all_lmics181920[[Setting]:[Setting]],nFacSBA[],4,FALSE),VLOOKUP(all_lmics181920[[who_choice_region]:[who_choice_region]],missing[],30,FALSE))*1.05, 0.9999)</f>
        <v>0.16784953724039575</v>
      </c>
      <c r="AW72">
        <f>VLOOKUP(all_lmics181920[[worldbank_region]:[worldbank_region]],hbe[],4)</f>
        <v>0.5</v>
      </c>
      <c r="AX72">
        <f>VLOOKUP(all_lmics181920[[worldbank_region]:[worldbank_region]],hbe[],7)</f>
        <v>1</v>
      </c>
      <c r="AY72">
        <f>VLOOKUP(all_lmics181920[[worldbank_region]:[worldbank_region]],hbe[],10)</f>
        <v>0.25</v>
      </c>
    </row>
    <row r="73" spans="1:51" x14ac:dyDescent="0.35">
      <c r="A73" s="8" t="s">
        <v>195</v>
      </c>
      <c r="B73" s="10" t="s">
        <v>22</v>
      </c>
      <c r="C73" s="11" t="s">
        <v>383</v>
      </c>
      <c r="D73">
        <f>VLOOKUP(all_lmics181920[[Setting]:[Setting]],populations[],9,FALSE)</f>
        <v>563402</v>
      </c>
      <c r="E73">
        <f>VLOOKUP(all_lmics181920[[Setting]:[Setting]],birthrate[],3,FALSE)</f>
        <v>1.8216E-2</v>
      </c>
      <c r="F73">
        <f>all_lmics181920[[#This Row],[2017_population]]*all_lmics181920[[#This Row],[2016_birthrate]]</f>
        <v>10262.930832</v>
      </c>
      <c r="G73">
        <f>MIN(VLOOKUP(all_lmics181920[[Setting]:[Setting]],birthdose[],4,FALSE)*1.05,0.9999)</f>
        <v>0.84000000000000008</v>
      </c>
      <c r="H73">
        <f>MIN(VLOOKUP(all_lmics181920[[Setting]:[Setting]],fullvax[],4,FALSE)*1.05,0.9999)</f>
        <v>0.85050000000000014</v>
      </c>
      <c r="I73">
        <f>IFERROR(VLOOKUP(all_lmics181920[[Setting]:[Setting]],prev[],3,FALSE),VLOOKUP(all_lmics181920[[who_choice_region]:[who_choice_region]],missing[],2,FALSE))</f>
        <v>3.9100000000000003E-2</v>
      </c>
      <c r="J73">
        <f>IFERROR(VLOOKUP(all_lmics181920[[Setting]:[Setting]],prev[],4,FALSE),VLOOKUP(all_lmics181920[[who_choice_region]:[who_choice_region]],missing[],3,FALSE))</f>
        <v>2.9700000000000001E-2</v>
      </c>
      <c r="K73">
        <f>IFERROR(VLOOKUP(all_lmics181920[[Setting]:[Setting]],prev[],5,FALSE),VLOOKUP(all_lmics181920[[who_choice_region]:[who_choice_region]],missing[],4,FALSE))</f>
        <v>5.1400000000000001E-2</v>
      </c>
      <c r="L73">
        <f>IFERROR(VLOOKUP(all_lmics181920[[Setting]:[Setting]],prev[],7,FALSE),VLOOKUP(all_lmics181920[[who_choice_region]:[who_choice_region]],missing[],5,FALSE))</f>
        <v>6.2755102040816316E-3</v>
      </c>
      <c r="M73">
        <f>IFERROR(VLOOKUP(all_lmics181920[[Setting]:[Setting]],prev[],6,FALSE),0)</f>
        <v>526103</v>
      </c>
      <c r="N73">
        <f>MIN(IFERROR(VLOOKUP(all_lmics181920[[Setting]:[Setting]],SBA[],4,FALSE),VLOOKUP(all_lmics181920[[who_choice_region]:[who_choice_region]],missing[],6,FALSE))*1.05, 0.9999)</f>
        <v>0.84000000000000008</v>
      </c>
      <c r="O73">
        <f>MIN(IFERROR(VLOOKUP(all_lmics181920[[Setting]:[Setting]], facility[], 3,FALSE),VLOOKUP(all_lmics181920[[who_choice_region]:[who_choice_region]],missing[],7,FALSE))*1.05, 0.9999)</f>
        <v>0.96914999999999996</v>
      </c>
      <c r="P73">
        <f>IF(VLOOKUP(all_lmics181920[[Setting]:[Setting]],all_cause_mort[],4,FALSE)="",VLOOKUP(all_lmics181920[[who_choice_region]:[who_choice_region]],missing[],8,FALSE),VLOOKUP(all_lmics181920[[Setting]:[Setting]],all_cause_mort[],4,FALSE))*1.05</f>
        <v>1.8666169200000002E-2</v>
      </c>
      <c r="Q73">
        <f>IF(VLOOKUP(all_lmics181920[[Setting]:[Setting]],all_cause_mort[],5,FALSE)="",VLOOKUP(all_lmics181920[[who_choice_region]:[who_choice_region]],missing[],9,FALSE),VLOOKUP(all_lmics181920[[Setting]:[Setting]],all_cause_mort[],5,FALSE))*1.05</f>
        <v>5.5420305150000009E-4</v>
      </c>
      <c r="R73">
        <f>IF(VLOOKUP(all_lmics181920[[Setting]:[Setting]],all_cause_mort[],6,FALSE)="",VLOOKUP(all_lmics181920[[who_choice_region]:[who_choice_region]],missing[],10,FALSE),VLOOKUP(all_lmics181920[[Setting]:[Setting]],all_cause_mort[],6,FALSE))*1.05</f>
        <v>5.792670975E-4</v>
      </c>
      <c r="S73">
        <f>IF(VLOOKUP(all_lmics181920[[Setting]:[Setting]],all_cause_mort[],7,FALSE)="",VLOOKUP(all_lmics181920[[who_choice_region]:[who_choice_region]],missing[],11,FALSE),VLOOKUP(all_lmics181920[[Setting]:[Setting]],all_cause_mort[],7,FALSE))*1.05</f>
        <v>3.31447872E-4</v>
      </c>
      <c r="T73">
        <f>IF(VLOOKUP(all_lmics181920[[Setting]:[Setting]],all_cause_mort[],8,FALSE)="",VLOOKUP(all_lmics181920[[who_choice_region]:[who_choice_region]],missing[],12,FALSE),VLOOKUP(all_lmics181920[[Setting]:[Setting]],all_cause_mort[],8,FALSE))*1.05</f>
        <v>6.0472621649999999E-4</v>
      </c>
      <c r="U73">
        <f>IF(VLOOKUP(all_lmics181920[[Setting]:[Setting]],all_cause_mort[],9,FALSE)="",VLOOKUP(all_lmics181920[[who_choice_region]:[who_choice_region]],missing[],13,FALSE),VLOOKUP(all_lmics181920[[Setting]:[Setting]],all_cause_mort[],9,FALSE))*1.05</f>
        <v>1.23670806E-3</v>
      </c>
      <c r="V73">
        <f>IF(VLOOKUP(all_lmics181920[[Setting]:[Setting]],all_cause_mort[],10,FALSE)="",VLOOKUP(all_lmics181920[[who_choice_region]:[who_choice_region]],missing[],14,FALSE),VLOOKUP(all_lmics181920[[Setting]:[Setting]],all_cause_mort[],10,FALSE))*1.05</f>
        <v>1.9998815550000002E-3</v>
      </c>
      <c r="W73">
        <f>IF(VLOOKUP(all_lmics181920[[Setting]:[Setting]],all_cause_mort[],11,FALSE)="",VLOOKUP(all_lmics181920[[who_choice_region]:[who_choice_region]],missing[],15,FALSE),VLOOKUP(all_lmics181920[[Setting]:[Setting]],all_cause_mort[],11,FALSE))*1.05</f>
        <v>2.713762485E-3</v>
      </c>
      <c r="X73">
        <f>IF(VLOOKUP(all_lmics181920[[Setting]:[Setting]],all_cause_mort[],12,FALSE)="",VLOOKUP(all_lmics181920[[who_choice_region]:[who_choice_region]],missing[],16,FALSE),VLOOKUP(all_lmics181920[[Setting]:[Setting]],all_cause_mort[],12,FALSE))*1.05</f>
        <v>3.4030597650000004E-3</v>
      </c>
      <c r="Y73">
        <f>IF(VLOOKUP(all_lmics181920[[Setting]:[Setting]],all_cause_mort[],13,FALSE)="",VLOOKUP(all_lmics181920[[who_choice_region]:[who_choice_region]],missing[],17,FALSE),VLOOKUP(all_lmics181920[[Setting]:[Setting]],all_cause_mort[],13,FALSE))*1.05</f>
        <v>4.1705242950000002E-3</v>
      </c>
      <c r="Z73">
        <f>IF(VLOOKUP(all_lmics181920[[Setting]:[Setting]],all_cause_mort[],14,FALSE)="",VLOOKUP(all_lmics181920[[who_choice_region]:[who_choice_region]],missing[],18,FALSE),VLOOKUP(all_lmics181920[[Setting]:[Setting]],all_cause_mort[],14,FALSE))*1.05</f>
        <v>5.374092885E-3</v>
      </c>
      <c r="AA73">
        <f>IF(VLOOKUP(all_lmics181920[[Setting]:[Setting]],all_cause_mort[],15,FALSE)="",VLOOKUP(all_lmics181920[[who_choice_region]:[who_choice_region]],missing[],19,FALSE),VLOOKUP(all_lmics181920[[Setting]:[Setting]],all_cause_mort[],15,FALSE))*1.05</f>
        <v>7.8286210800000006E-3</v>
      </c>
      <c r="AB73">
        <f>IF(VLOOKUP(all_lmics181920[[Setting]:[Setting]],all_cause_mort[],16,FALSE)="",VLOOKUP(all_lmics181920[[who_choice_region]:[who_choice_region]],missing[],20,FALSE),VLOOKUP(all_lmics181920[[Setting]:[Setting]],all_cause_mort[],16,FALSE))*1.05</f>
        <v>1.2250446600000001E-2</v>
      </c>
      <c r="AC73">
        <f>IF(VLOOKUP(all_lmics181920[[Setting]:[Setting]],all_cause_mort[],17,FALSE)="",VLOOKUP(all_lmics181920[[who_choice_region]:[who_choice_region]],missing[],21,FALSE),VLOOKUP(all_lmics181920[[Setting]:[Setting]],all_cause_mort[],17,FALSE))*1.05</f>
        <v>1.9205091149999999E-2</v>
      </c>
      <c r="AD73">
        <f>IF(VLOOKUP(all_lmics181920[[Setting]:[Setting]],all_cause_mort[],18,FALSE)="",VLOOKUP(all_lmics181920[[who_choice_region]:[who_choice_region]],missing[],22,FALSE),VLOOKUP(all_lmics181920[[Setting]:[Setting]],all_cause_mort[],18,FALSE))*1.05</f>
        <v>2.9664317549999999E-2</v>
      </c>
      <c r="AE73">
        <f>IF(VLOOKUP(all_lmics181920[[Setting]:[Setting]],all_cause_mort[],19,FALSE)="",VLOOKUP(all_lmics181920[[who_choice_region]:[who_choice_region]],missing[],23,FALSE),VLOOKUP(all_lmics181920[[Setting]:[Setting]],all_cause_mort[],19,FALSE))*1.05</f>
        <v>4.5461113950000007E-2</v>
      </c>
      <c r="AF73">
        <f>IF(VLOOKUP(all_lmics181920[[Setting]:[Setting]],all_cause_mort[],20,FALSE)="",VLOOKUP(all_lmics181920[[who_choice_region]:[who_choice_region]],missing[],24,FALSE),VLOOKUP(all_lmics181920[[Setting]:[Setting]],all_cause_mort[],20,FALSE))*1.05</f>
        <v>6.9344549399999997E-2</v>
      </c>
      <c r="AG73">
        <f>IF(VLOOKUP(all_lmics181920[[Setting]:[Setting]],all_cause_mort[],21,FALSE)="",VLOOKUP(all_lmics181920[[who_choice_region]:[who_choice_region]],missing[],25,FALSE),VLOOKUP(all_lmics181920[[Setting]:[Setting]],all_cause_mort[],21,FALSE))*1.05</f>
        <v>0.1051112475</v>
      </c>
      <c r="AH73">
        <f>IF(VLOOKUP(all_lmics181920[[Setting]:[Setting]],all_cause_mort[],22,FALSE)="",VLOOKUP(all_lmics181920[[who_choice_region]:[who_choice_region]],missing[],26,FALSE),VLOOKUP(all_lmics181920[[Setting]:[Setting]],all_cause_mort[],22,FALSE))*1.05</f>
        <v>0.1559744445</v>
      </c>
      <c r="AI73">
        <f>IF(VLOOKUP(all_lmics181920[[Setting]:[Setting]],all_cause_mort[],23,FALSE)="",VLOOKUP(all_lmics181920[[who_choice_region]:[who_choice_region]],missing[],27,FALSE),VLOOKUP(all_lmics181920[[Setting]:[Setting]],all_cause_mort[],23,FALSE))*1.05</f>
        <v>0.2246668305</v>
      </c>
      <c r="AJ73">
        <f>IF(VLOOKUP(all_lmics181920[[Setting]:[Setting]],all_cause_mort[],24,FALSE)="",VLOOKUP(all_lmics181920[[who_choice_region]:[who_choice_region]],missing[],28,FALSE),VLOOKUP(all_lmics181920[[Setting]:[Setting]],all_cause_mort[],24,FALSE))*1.05</f>
        <v>0.31048608150000001</v>
      </c>
      <c r="AK73">
        <f>IF(VLOOKUP(all_lmics181920[[Setting]:[Setting]],all_cause_mort[],25,FALSE)="",VLOOKUP(all_lmics181920[[who_choice_region]:[who_choice_region]],missing[],29,FALSE),VLOOKUP(all_lmics181920[[Setting]:[Setting]],all_cause_mort[],25,FALSE))*1.05</f>
        <v>0.42896162607341509</v>
      </c>
      <c r="AL73">
        <f>VLOOKUP(all_lmics181920[[worldbank_region]:[worldbank_region]],Table13[],2,FALSE)*1.05</f>
        <v>91.202986349999989</v>
      </c>
      <c r="AM73">
        <f>VLOOKUP(all_lmics181920[[worldbank_region]:[worldbank_region]],Table13[],3,FALSE)*1.05</f>
        <v>91.202986349999989</v>
      </c>
      <c r="AN73">
        <f>VLOOKUP(all_lmics181920[[worldbank_region]:[worldbank_region]],Table13[],4,FALSE)*1.05</f>
        <v>141.31828934999999</v>
      </c>
      <c r="AO73">
        <f>VLOOKUP(all_lmics181920[[worldbank_region]:[worldbank_region]],Table13[],5,FALSE)*1.05</f>
        <v>141.31828934999999</v>
      </c>
      <c r="AP73">
        <f>VLOOKUP(all_lmics181920[[worldbank_region]:[worldbank_region]],Table13[],6,FALSE)*1.05</f>
        <v>141.31828934999999</v>
      </c>
      <c r="AQ73">
        <f>VLOOKUP(all_lmics181920[[worldbank_region]:[worldbank_region]],Table14[],2,FALSE)*1.05</f>
        <v>1.5903741</v>
      </c>
      <c r="AR73">
        <f>VLOOKUP(all_lmics181920[[worldbank_region]:[worldbank_region]],Table14[],3,FALSE)*1.05</f>
        <v>2.2387491000000002</v>
      </c>
      <c r="AS73">
        <f>VLOOKUP(all_lmics181920[[worldbank_region]:[worldbank_region]],Table14[],4,FALSE)*1.05</f>
        <v>1.6132578000000002</v>
      </c>
      <c r="AT73">
        <f>VLOOKUP(all_lmics181920[[worldbank_region]:[worldbank_region]],Table14[],5,FALSE)*1.05</f>
        <v>2.2616328000000001</v>
      </c>
      <c r="AU73">
        <f>VLOOKUP(all_lmics181920[[worldbank_region]:[worldbank_region]],Table14[],6,FALSE)*1.05</f>
        <v>2.8603974000000001</v>
      </c>
      <c r="AV73">
        <f>MIN(IFERROR(VLOOKUP(all_lmics181920[[Setting]:[Setting]],nFacSBA[],4,FALSE),VLOOKUP(all_lmics181920[[who_choice_region]:[who_choice_region]],missing[],30,FALSE))*1.05, 0.9999)</f>
        <v>0.60560476758663617</v>
      </c>
      <c r="AW73">
        <f>VLOOKUP(all_lmics181920[[worldbank_region]:[worldbank_region]],hbe[],4)</f>
        <v>0.5</v>
      </c>
      <c r="AX73">
        <f>VLOOKUP(all_lmics181920[[worldbank_region]:[worldbank_region]],hbe[],7)</f>
        <v>1</v>
      </c>
      <c r="AY73">
        <f>VLOOKUP(all_lmics181920[[worldbank_region]:[worldbank_region]],hbe[],10)</f>
        <v>0.25</v>
      </c>
    </row>
    <row r="74" spans="1:51" x14ac:dyDescent="0.35">
      <c r="A74" s="8" t="s">
        <v>199</v>
      </c>
      <c r="B74" s="10" t="s">
        <v>33</v>
      </c>
      <c r="C74" s="11" t="s">
        <v>7</v>
      </c>
      <c r="D74">
        <f>VLOOKUP(all_lmics181920[[Setting]:[Setting]],populations[],9,FALSE)</f>
        <v>18269868</v>
      </c>
      <c r="E74">
        <f>VLOOKUP(all_lmics181920[[Setting]:[Setting]],birthrate[],3,FALSE)</f>
        <v>2.1472000000000002E-2</v>
      </c>
      <c r="F74">
        <f>all_lmics181920[[#This Row],[2017_population]]*all_lmics181920[[#This Row],[2016_birthrate]]</f>
        <v>392290.60569600004</v>
      </c>
      <c r="G74">
        <f>MIN(VLOOKUP(all_lmics181920[[Setting]:[Setting]],birthdose[],4,FALSE)*1.05,0.9999)</f>
        <v>0.72449999999999992</v>
      </c>
      <c r="H74">
        <f>MIN(VLOOKUP(all_lmics181920[[Setting]:[Setting]],fullvax[],4,FALSE)*1.05,0.9999)</f>
        <v>0.54600000000000004</v>
      </c>
      <c r="I74">
        <f>IFERROR(VLOOKUP(all_lmics181920[[Setting]:[Setting]],prev[],3,FALSE),VLOOKUP(all_lmics181920[[who_choice_region]:[who_choice_region]],missing[],2,FALSE))</f>
        <v>5.7000000000000002E-2</v>
      </c>
      <c r="J74">
        <f>IFERROR(VLOOKUP(all_lmics181920[[Setting]:[Setting]],prev[],4,FALSE),VLOOKUP(all_lmics181920[[who_choice_region]:[who_choice_region]],missing[],3,FALSE))</f>
        <v>3.2000000000000001E-2</v>
      </c>
      <c r="K74">
        <f>IFERROR(VLOOKUP(all_lmics181920[[Setting]:[Setting]],prev[],5,FALSE),VLOOKUP(all_lmics181920[[who_choice_region]:[who_choice_region]],missing[],4,FALSE))</f>
        <v>6.5000000000000002E-2</v>
      </c>
      <c r="L74">
        <f>IFERROR(VLOOKUP(all_lmics181920[[Setting]:[Setting]],prev[],7,FALSE),VLOOKUP(all_lmics181920[[who_choice_region]:[who_choice_region]],missing[],5,FALSE))</f>
        <v>4.0816326530612249E-3</v>
      </c>
      <c r="M74">
        <f>IFERROR(VLOOKUP(all_lmics181920[[Setting]:[Setting]],prev[],6,FALSE),0)</f>
        <v>18269868</v>
      </c>
      <c r="N74">
        <f>MIN(IFERROR(VLOOKUP(all_lmics181920[[Setting]:[Setting]],SBA[],4,FALSE),VLOOKUP(all_lmics181920[[who_choice_region]:[who_choice_region]],missing[],6,FALSE))*1.05, 0.9999)</f>
        <v>0.99990000000000001</v>
      </c>
      <c r="O74">
        <f>MIN(IFERROR(VLOOKUP(all_lmics181920[[Setting]:[Setting]], facility[], 3,FALSE),VLOOKUP(all_lmics181920[[who_choice_region]:[who_choice_region]],missing[],7,FALSE))*1.05, 0.9999)</f>
        <v>0.82110000000000005</v>
      </c>
      <c r="P74">
        <f>IF(VLOOKUP(all_lmics181920[[Setting]:[Setting]],all_cause_mort[],4,FALSE)="",VLOOKUP(all_lmics181920[[who_choice_region]:[who_choice_region]],missing[],8,FALSE),VLOOKUP(all_lmics181920[[Setting]:[Setting]],all_cause_mort[],4,FALSE))*1.05</f>
        <v>1.6554766200000001E-2</v>
      </c>
      <c r="Q74">
        <f>IF(VLOOKUP(all_lmics181920[[Setting]:[Setting]],all_cause_mort[],5,FALSE)="",VLOOKUP(all_lmics181920[[who_choice_region]:[who_choice_region]],missing[],9,FALSE),VLOOKUP(all_lmics181920[[Setting]:[Setting]],all_cause_mort[],5,FALSE))*1.05</f>
        <v>5.9539888800000005E-4</v>
      </c>
      <c r="R74">
        <f>IF(VLOOKUP(all_lmics181920[[Setting]:[Setting]],all_cause_mort[],6,FALSE)="",VLOOKUP(all_lmics181920[[who_choice_region]:[who_choice_region]],missing[],10,FALSE),VLOOKUP(all_lmics181920[[Setting]:[Setting]],all_cause_mort[],6,FALSE))*1.05</f>
        <v>3.7264052700000005E-4</v>
      </c>
      <c r="S74">
        <f>IF(VLOOKUP(all_lmics181920[[Setting]:[Setting]],all_cause_mort[],7,FALSE)="",VLOOKUP(all_lmics181920[[who_choice_region]:[who_choice_region]],missing[],11,FALSE),VLOOKUP(all_lmics181920[[Setting]:[Setting]],all_cause_mort[],7,FALSE))*1.05</f>
        <v>3.3211911599999999E-4</v>
      </c>
      <c r="T74">
        <f>IF(VLOOKUP(all_lmics181920[[Setting]:[Setting]],all_cause_mort[],8,FALSE)="",VLOOKUP(all_lmics181920[[who_choice_region]:[who_choice_region]],missing[],12,FALSE),VLOOKUP(all_lmics181920[[Setting]:[Setting]],all_cause_mort[],8,FALSE))*1.05</f>
        <v>2.2648929450000002E-3</v>
      </c>
      <c r="U74">
        <f>IF(VLOOKUP(all_lmics181920[[Setting]:[Setting]],all_cause_mort[],9,FALSE)="",VLOOKUP(all_lmics181920[[who_choice_region]:[who_choice_region]],missing[],13,FALSE),VLOOKUP(all_lmics181920[[Setting]:[Setting]],all_cause_mort[],9,FALSE))*1.05</f>
        <v>3.3152728349999999E-3</v>
      </c>
      <c r="V74">
        <f>IF(VLOOKUP(all_lmics181920[[Setting]:[Setting]],all_cause_mort[],10,FALSE)="",VLOOKUP(all_lmics181920[[who_choice_region]:[who_choice_region]],missing[],14,FALSE),VLOOKUP(all_lmics181920[[Setting]:[Setting]],all_cause_mort[],10,FALSE))*1.05</f>
        <v>4.9376202750000004E-3</v>
      </c>
      <c r="W74">
        <f>IF(VLOOKUP(all_lmics181920[[Setting]:[Setting]],all_cause_mort[],11,FALSE)="",VLOOKUP(all_lmics181920[[who_choice_region]:[who_choice_region]],missing[],15,FALSE),VLOOKUP(all_lmics181920[[Setting]:[Setting]],all_cause_mort[],11,FALSE))*1.05</f>
        <v>4.2375884250000001E-3</v>
      </c>
      <c r="X74">
        <f>IF(VLOOKUP(all_lmics181920[[Setting]:[Setting]],all_cause_mort[],12,FALSE)="",VLOOKUP(all_lmics181920[[who_choice_region]:[who_choice_region]],missing[],16,FALSE),VLOOKUP(all_lmics181920[[Setting]:[Setting]],all_cause_mort[],12,FALSE))*1.05</f>
        <v>2.8770590099999999E-3</v>
      </c>
      <c r="Y74">
        <f>IF(VLOOKUP(all_lmics181920[[Setting]:[Setting]],all_cause_mort[],13,FALSE)="",VLOOKUP(all_lmics181920[[who_choice_region]:[who_choice_region]],missing[],17,FALSE),VLOOKUP(all_lmics181920[[Setting]:[Setting]],all_cause_mort[],13,FALSE))*1.05</f>
        <v>2.8772912699999999E-3</v>
      </c>
      <c r="Z74">
        <f>IF(VLOOKUP(all_lmics181920[[Setting]:[Setting]],all_cause_mort[],14,FALSE)="",VLOOKUP(all_lmics181920[[who_choice_region]:[who_choice_region]],missing[],18,FALSE),VLOOKUP(all_lmics181920[[Setting]:[Setting]],all_cause_mort[],14,FALSE))*1.05</f>
        <v>4.3100401050000002E-3</v>
      </c>
      <c r="AA74">
        <f>IF(VLOOKUP(all_lmics181920[[Setting]:[Setting]],all_cause_mort[],15,FALSE)="",VLOOKUP(all_lmics181920[[who_choice_region]:[who_choice_region]],missing[],19,FALSE),VLOOKUP(all_lmics181920[[Setting]:[Setting]],all_cause_mort[],15,FALSE))*1.05</f>
        <v>7.0649433749999995E-3</v>
      </c>
      <c r="AB74">
        <f>IF(VLOOKUP(all_lmics181920[[Setting]:[Setting]],all_cause_mort[],16,FALSE)="",VLOOKUP(all_lmics181920[[who_choice_region]:[who_choice_region]],missing[],20,FALSE),VLOOKUP(all_lmics181920[[Setting]:[Setting]],all_cause_mort[],16,FALSE))*1.05</f>
        <v>8.6833233900000008E-3</v>
      </c>
      <c r="AC74">
        <f>IF(VLOOKUP(all_lmics181920[[Setting]:[Setting]],all_cause_mort[],17,FALSE)="",VLOOKUP(all_lmics181920[[who_choice_region]:[who_choice_region]],missing[],21,FALSE),VLOOKUP(all_lmics181920[[Setting]:[Setting]],all_cause_mort[],17,FALSE))*1.05</f>
        <v>1.4087789099999999E-2</v>
      </c>
      <c r="AD74">
        <f>IF(VLOOKUP(all_lmics181920[[Setting]:[Setting]],all_cause_mort[],18,FALSE)="",VLOOKUP(all_lmics181920[[who_choice_region]:[who_choice_region]],missing[],22,FALSE),VLOOKUP(all_lmics181920[[Setting]:[Setting]],all_cause_mort[],18,FALSE))*1.05</f>
        <v>2.3850149399999999E-2</v>
      </c>
      <c r="AE74">
        <f>IF(VLOOKUP(all_lmics181920[[Setting]:[Setting]],all_cause_mort[],19,FALSE)="",VLOOKUP(all_lmics181920[[who_choice_region]:[who_choice_region]],missing[],23,FALSE),VLOOKUP(all_lmics181920[[Setting]:[Setting]],all_cause_mort[],19,FALSE))*1.05</f>
        <v>4.0711253100000004E-2</v>
      </c>
      <c r="AF74">
        <f>IF(VLOOKUP(all_lmics181920[[Setting]:[Setting]],all_cause_mort[],20,FALSE)="",VLOOKUP(all_lmics181920[[who_choice_region]:[who_choice_region]],missing[],24,FALSE),VLOOKUP(all_lmics181920[[Setting]:[Setting]],all_cause_mort[],20,FALSE))*1.05</f>
        <v>6.2663479200000011E-2</v>
      </c>
      <c r="AG74">
        <f>IF(VLOOKUP(all_lmics181920[[Setting]:[Setting]],all_cause_mort[],21,FALSE)="",VLOOKUP(all_lmics181920[[who_choice_region]:[who_choice_region]],missing[],25,FALSE),VLOOKUP(all_lmics181920[[Setting]:[Setting]],all_cause_mort[],21,FALSE))*1.05</f>
        <v>0.10951087350000001</v>
      </c>
      <c r="AH74">
        <f>IF(VLOOKUP(all_lmics181920[[Setting]:[Setting]],all_cause_mort[],22,FALSE)="",VLOOKUP(all_lmics181920[[who_choice_region]:[who_choice_region]],missing[],26,FALSE),VLOOKUP(all_lmics181920[[Setting]:[Setting]],all_cause_mort[],22,FALSE))*1.05</f>
        <v>0.17936807700000001</v>
      </c>
      <c r="AI74">
        <f>IF(VLOOKUP(all_lmics181920[[Setting]:[Setting]],all_cause_mort[],23,FALSE)="",VLOOKUP(all_lmics181920[[who_choice_region]:[who_choice_region]],missing[],27,FALSE),VLOOKUP(all_lmics181920[[Setting]:[Setting]],all_cause_mort[],23,FALSE))*1.05</f>
        <v>0.28029302699999997</v>
      </c>
      <c r="AJ74">
        <f>IF(VLOOKUP(all_lmics181920[[Setting]:[Setting]],all_cause_mort[],24,FALSE)="",VLOOKUP(all_lmics181920[[who_choice_region]:[who_choice_region]],missing[],28,FALSE),VLOOKUP(all_lmics181920[[Setting]:[Setting]],all_cause_mort[],24,FALSE))*1.05</f>
        <v>0.39294533249999997</v>
      </c>
      <c r="AK74">
        <f>IF(VLOOKUP(all_lmics181920[[Setting]:[Setting]],all_cause_mort[],25,FALSE)="",VLOOKUP(all_lmics181920[[who_choice_region]:[who_choice_region]],missing[],29,FALSE),VLOOKUP(all_lmics181920[[Setting]:[Setting]],all_cause_mort[],25,FALSE))*1.05</f>
        <v>0.52977111869496685</v>
      </c>
      <c r="AL74">
        <f>VLOOKUP(all_lmics181920[[worldbank_region]:[worldbank_region]],Table13[],2,FALSE)*1.05</f>
        <v>60.801990899999993</v>
      </c>
      <c r="AM74">
        <f>VLOOKUP(all_lmics181920[[worldbank_region]:[worldbank_region]],Table13[],3,FALSE)*1.05</f>
        <v>60.801990899999993</v>
      </c>
      <c r="AN74">
        <f>VLOOKUP(all_lmics181920[[worldbank_region]:[worldbank_region]],Table13[],4,FALSE)*1.05</f>
        <v>110.91729389999999</v>
      </c>
      <c r="AO74">
        <f>VLOOKUP(all_lmics181920[[worldbank_region]:[worldbank_region]],Table13[],5,FALSE)*1.05</f>
        <v>110.91729389999999</v>
      </c>
      <c r="AP74">
        <f>VLOOKUP(all_lmics181920[[worldbank_region]:[worldbank_region]],Table13[],6,FALSE)*1.05</f>
        <v>110.91729389999999</v>
      </c>
      <c r="AQ74">
        <f>VLOOKUP(all_lmics181920[[worldbank_region]:[worldbank_region]],Table14[],2,FALSE)*1.05</f>
        <v>1.57893225</v>
      </c>
      <c r="AR74">
        <f>VLOOKUP(all_lmics181920[[worldbank_region]:[worldbank_region]],Table14[],3,FALSE)*1.05</f>
        <v>2.22730725</v>
      </c>
      <c r="AS74">
        <f>VLOOKUP(all_lmics181920[[worldbank_region]:[worldbank_region]],Table14[],4,FALSE)*1.05</f>
        <v>2.0823736500000001</v>
      </c>
      <c r="AT74">
        <f>VLOOKUP(all_lmics181920[[worldbank_region]:[worldbank_region]],Table14[],5,FALSE)*1.05</f>
        <v>2.7307486499999998</v>
      </c>
      <c r="AU74">
        <f>VLOOKUP(all_lmics181920[[worldbank_region]:[worldbank_region]],Table14[],6,FALSE)*1.05</f>
        <v>3.3295132499999998</v>
      </c>
      <c r="AV74">
        <f>MIN(IFERROR(VLOOKUP(all_lmics181920[[Setting]:[Setting]],nFacSBA[],4,FALSE),VLOOKUP(all_lmics181920[[who_choice_region]:[who_choice_region]],missing[],30,FALSE))*1.05, 0.9999)</f>
        <v>0.40722609472787386</v>
      </c>
      <c r="AW74">
        <f>VLOOKUP(all_lmics181920[[worldbank_region]:[worldbank_region]],hbe[],4)</f>
        <v>0.5</v>
      </c>
      <c r="AX74">
        <f>VLOOKUP(all_lmics181920[[worldbank_region]:[worldbank_region]],hbe[],7)</f>
        <v>1</v>
      </c>
      <c r="AY74">
        <f>VLOOKUP(all_lmics181920[[worldbank_region]:[worldbank_region]],hbe[],10)</f>
        <v>0.25</v>
      </c>
    </row>
    <row r="75" spans="1:51" x14ac:dyDescent="0.35">
      <c r="A75" s="12" t="s">
        <v>200</v>
      </c>
      <c r="B75" s="13" t="s">
        <v>10</v>
      </c>
      <c r="C75" s="14" t="s">
        <v>11</v>
      </c>
      <c r="D75">
        <f>VLOOKUP(all_lmics181920[[Setting]:[Setting]],populations[],9,FALSE)</f>
        <v>8921343</v>
      </c>
      <c r="E75">
        <f>VLOOKUP(all_lmics181920[[Setting]:[Setting]],birthrate[],3,FALSE)</f>
        <v>2.8842E-2</v>
      </c>
      <c r="F75">
        <f>all_lmics181920[[#This Row],[2017_population]]*all_lmics181920[[#This Row],[2016_birthrate]]</f>
        <v>257309.37480600001</v>
      </c>
      <c r="G75">
        <f>MIN(VLOOKUP(all_lmics181920[[Setting]:[Setting]],birthdose[],4,FALSE)*1.05,0.9999)</f>
        <v>0.99990000000000001</v>
      </c>
      <c r="H75">
        <f>MIN(VLOOKUP(all_lmics181920[[Setting]:[Setting]],fullvax[],4,FALSE)*1.05,0.9999)</f>
        <v>0.99990000000000001</v>
      </c>
      <c r="I75">
        <f>IFERROR(VLOOKUP(all_lmics181920[[Setting]:[Setting]],prev[],3,FALSE),VLOOKUP(all_lmics181920[[who_choice_region]:[who_choice_region]],missing[],2,FALSE))</f>
        <v>6.7000000000000004E-2</v>
      </c>
      <c r="J75">
        <f>IFERROR(VLOOKUP(all_lmics181920[[Setting]:[Setting]],prev[],4,FALSE),VLOOKUP(all_lmics181920[[who_choice_region]:[who_choice_region]],missing[],3,FALSE))</f>
        <v>5.6000000000000001E-2</v>
      </c>
      <c r="K75">
        <f>IFERROR(VLOOKUP(all_lmics181920[[Setting]:[Setting]],prev[],5,FALSE),VLOOKUP(all_lmics181920[[who_choice_region]:[who_choice_region]],missing[],4,FALSE))</f>
        <v>8.5999999999999993E-2</v>
      </c>
      <c r="L75">
        <f>IFERROR(VLOOKUP(all_lmics181920[[Setting]:[Setting]],prev[],7,FALSE),VLOOKUP(all_lmics181920[[who_choice_region]:[who_choice_region]],missing[],5,FALSE))</f>
        <v>9.693877551020403E-3</v>
      </c>
      <c r="M75">
        <f>IFERROR(VLOOKUP(all_lmics181920[[Setting]:[Setting]],prev[],6,FALSE),0)</f>
        <v>8921343</v>
      </c>
      <c r="N75">
        <f>MIN(IFERROR(VLOOKUP(all_lmics181920[[Setting]:[Setting]],SBA[],4,FALSE),VLOOKUP(all_lmics181920[[who_choice_region]:[who_choice_region]],missing[],6,FALSE))*1.05, 0.9999)</f>
        <v>0.94815000000000005</v>
      </c>
      <c r="O75">
        <f>MIN(IFERROR(VLOOKUP(all_lmics181920[[Setting]:[Setting]], facility[], 3,FALSE),VLOOKUP(all_lmics181920[[who_choice_region]:[who_choice_region]],missing[],7,FALSE))*1.05, 0.9999)</f>
        <v>0.80325000000000002</v>
      </c>
      <c r="P75">
        <f>IF(VLOOKUP(all_lmics181920[[Setting]:[Setting]],all_cause_mort[],4,FALSE)="",VLOOKUP(all_lmics181920[[who_choice_region]:[who_choice_region]],missing[],8,FALSE),VLOOKUP(all_lmics181920[[Setting]:[Setting]],all_cause_mort[],4,FALSE))*1.05</f>
        <v>3.1540607700000001E-2</v>
      </c>
      <c r="Q75">
        <f>IF(VLOOKUP(all_lmics181920[[Setting]:[Setting]],all_cause_mort[],5,FALSE)="",VLOOKUP(all_lmics181920[[who_choice_region]:[who_choice_region]],missing[],9,FALSE),VLOOKUP(all_lmics181920[[Setting]:[Setting]],all_cause_mort[],5,FALSE))*1.05</f>
        <v>8.1617682300000002E-4</v>
      </c>
      <c r="R75">
        <f>IF(VLOOKUP(all_lmics181920[[Setting]:[Setting]],all_cause_mort[],6,FALSE)="",VLOOKUP(all_lmics181920[[who_choice_region]:[who_choice_region]],missing[],10,FALSE),VLOOKUP(all_lmics181920[[Setting]:[Setting]],all_cause_mort[],6,FALSE))*1.05</f>
        <v>2.012083395E-4</v>
      </c>
      <c r="S75">
        <f>IF(VLOOKUP(all_lmics181920[[Setting]:[Setting]],all_cause_mort[],7,FALSE)="",VLOOKUP(all_lmics181920[[who_choice_region]:[who_choice_region]],missing[],11,FALSE),VLOOKUP(all_lmics181920[[Setting]:[Setting]],all_cause_mort[],7,FALSE))*1.05</f>
        <v>2.1044945249999998E-4</v>
      </c>
      <c r="T75">
        <f>IF(VLOOKUP(all_lmics181920[[Setting]:[Setting]],all_cause_mort[],8,FALSE)="",VLOOKUP(all_lmics181920[[who_choice_region]:[who_choice_region]],missing[],12,FALSE),VLOOKUP(all_lmics181920[[Setting]:[Setting]],all_cause_mort[],8,FALSE))*1.05</f>
        <v>3.4884456600000002E-4</v>
      </c>
      <c r="U75">
        <f>IF(VLOOKUP(all_lmics181920[[Setting]:[Setting]],all_cause_mort[],9,FALSE)="",VLOOKUP(all_lmics181920[[who_choice_region]:[who_choice_region]],missing[],13,FALSE),VLOOKUP(all_lmics181920[[Setting]:[Setting]],all_cause_mort[],9,FALSE))*1.05</f>
        <v>5.3699638650000006E-4</v>
      </c>
      <c r="V75">
        <f>IF(VLOOKUP(all_lmics181920[[Setting]:[Setting]],all_cause_mort[],10,FALSE)="",VLOOKUP(all_lmics181920[[who_choice_region]:[who_choice_region]],missing[],14,FALSE),VLOOKUP(all_lmics181920[[Setting]:[Setting]],all_cause_mort[],10,FALSE))*1.05</f>
        <v>9.0018120150000007E-4</v>
      </c>
      <c r="W75">
        <f>IF(VLOOKUP(all_lmics181920[[Setting]:[Setting]],all_cause_mort[],11,FALSE)="",VLOOKUP(all_lmics181920[[who_choice_region]:[who_choice_region]],missing[],15,FALSE),VLOOKUP(all_lmics181920[[Setting]:[Setting]],all_cause_mort[],11,FALSE))*1.05</f>
        <v>1.3851813149999999E-3</v>
      </c>
      <c r="X75">
        <f>IF(VLOOKUP(all_lmics181920[[Setting]:[Setting]],all_cause_mort[],12,FALSE)="",VLOOKUP(all_lmics181920[[who_choice_region]:[who_choice_region]],missing[],16,FALSE),VLOOKUP(all_lmics181920[[Setting]:[Setting]],all_cause_mort[],12,FALSE))*1.05</f>
        <v>2.1228236399999999E-3</v>
      </c>
      <c r="Y75">
        <f>IF(VLOOKUP(all_lmics181920[[Setting]:[Setting]],all_cause_mort[],13,FALSE)="",VLOOKUP(all_lmics181920[[who_choice_region]:[who_choice_region]],missing[],17,FALSE),VLOOKUP(all_lmics181920[[Setting]:[Setting]],all_cause_mort[],13,FALSE))*1.05</f>
        <v>2.6961800250000002E-3</v>
      </c>
      <c r="Z75">
        <f>IF(VLOOKUP(all_lmics181920[[Setting]:[Setting]],all_cause_mort[],14,FALSE)="",VLOOKUP(all_lmics181920[[who_choice_region]:[who_choice_region]],missing[],18,FALSE),VLOOKUP(all_lmics181920[[Setting]:[Setting]],all_cause_mort[],14,FALSE))*1.05</f>
        <v>3.8542159950000002E-3</v>
      </c>
      <c r="AA75">
        <f>IF(VLOOKUP(all_lmics181920[[Setting]:[Setting]],all_cause_mort[],15,FALSE)="",VLOOKUP(all_lmics181920[[who_choice_region]:[who_choice_region]],missing[],19,FALSE),VLOOKUP(all_lmics181920[[Setting]:[Setting]],all_cause_mort[],15,FALSE))*1.05</f>
        <v>6.3720429149999999E-3</v>
      </c>
      <c r="AB75">
        <f>IF(VLOOKUP(all_lmics181920[[Setting]:[Setting]],all_cause_mort[],16,FALSE)="",VLOOKUP(all_lmics181920[[who_choice_region]:[who_choice_region]],missing[],20,FALSE),VLOOKUP(all_lmics181920[[Setting]:[Setting]],all_cause_mort[],16,FALSE))*1.05</f>
        <v>1.1467909949999999E-2</v>
      </c>
      <c r="AC75">
        <f>IF(VLOOKUP(all_lmics181920[[Setting]:[Setting]],all_cause_mort[],17,FALSE)="",VLOOKUP(all_lmics181920[[who_choice_region]:[who_choice_region]],missing[],21,FALSE),VLOOKUP(all_lmics181920[[Setting]:[Setting]],all_cause_mort[],17,FALSE))*1.05</f>
        <v>2.018576385E-2</v>
      </c>
      <c r="AD75">
        <f>IF(VLOOKUP(all_lmics181920[[Setting]:[Setting]],all_cause_mort[],18,FALSE)="",VLOOKUP(all_lmics181920[[who_choice_region]:[who_choice_region]],missing[],22,FALSE),VLOOKUP(all_lmics181920[[Setting]:[Setting]],all_cause_mort[],18,FALSE))*1.05</f>
        <v>3.2477553149999998E-2</v>
      </c>
      <c r="AE75">
        <f>IF(VLOOKUP(all_lmics181920[[Setting]:[Setting]],all_cause_mort[],19,FALSE)="",VLOOKUP(all_lmics181920[[who_choice_region]:[who_choice_region]],missing[],23,FALSE),VLOOKUP(all_lmics181920[[Setting]:[Setting]],all_cause_mort[],19,FALSE))*1.05</f>
        <v>5.6407275750000006E-2</v>
      </c>
      <c r="AF75">
        <f>IF(VLOOKUP(all_lmics181920[[Setting]:[Setting]],all_cause_mort[],20,FALSE)="",VLOOKUP(all_lmics181920[[who_choice_region]:[who_choice_region]],missing[],24,FALSE),VLOOKUP(all_lmics181920[[Setting]:[Setting]],all_cause_mort[],20,FALSE))*1.05</f>
        <v>9.5014016999999992E-2</v>
      </c>
      <c r="AG75">
        <f>IF(VLOOKUP(all_lmics181920[[Setting]:[Setting]],all_cause_mort[],21,FALSE)="",VLOOKUP(all_lmics181920[[who_choice_region]:[who_choice_region]],missing[],25,FALSE),VLOOKUP(all_lmics181920[[Setting]:[Setting]],all_cause_mort[],21,FALSE))*1.05</f>
        <v>0.15335238449999999</v>
      </c>
      <c r="AH75">
        <f>IF(VLOOKUP(all_lmics181920[[Setting]:[Setting]],all_cause_mort[],22,FALSE)="",VLOOKUP(all_lmics181920[[who_choice_region]:[who_choice_region]],missing[],26,FALSE),VLOOKUP(all_lmics181920[[Setting]:[Setting]],all_cause_mort[],22,FALSE))*1.05</f>
        <v>0.23280379500000001</v>
      </c>
      <c r="AI75">
        <f>IF(VLOOKUP(all_lmics181920[[Setting]:[Setting]],all_cause_mort[],23,FALSE)="",VLOOKUP(all_lmics181920[[who_choice_region]:[who_choice_region]],missing[],27,FALSE),VLOOKUP(all_lmics181920[[Setting]:[Setting]],all_cause_mort[],23,FALSE))*1.05</f>
        <v>0.34199886000000002</v>
      </c>
      <c r="AJ75">
        <f>IF(VLOOKUP(all_lmics181920[[Setting]:[Setting]],all_cause_mort[],24,FALSE)="",VLOOKUP(all_lmics181920[[who_choice_region]:[who_choice_region]],missing[],28,FALSE),VLOOKUP(all_lmics181920[[Setting]:[Setting]],all_cause_mort[],24,FALSE))*1.05</f>
        <v>0.47322636899999998</v>
      </c>
      <c r="AK75">
        <f>IF(VLOOKUP(all_lmics181920[[Setting]:[Setting]],all_cause_mort[],25,FALSE)="",VLOOKUP(all_lmics181920[[who_choice_region]:[who_choice_region]],missing[],29,FALSE),VLOOKUP(all_lmics181920[[Setting]:[Setting]],all_cause_mort[],25,FALSE))*1.05</f>
        <v>0.61911468840164063</v>
      </c>
      <c r="AL75">
        <f>VLOOKUP(all_lmics181920[[worldbank_region]:[worldbank_region]],Table13[],2,FALSE)*1.05</f>
        <v>46.7513991</v>
      </c>
      <c r="AM75">
        <f>VLOOKUP(all_lmics181920[[worldbank_region]:[worldbank_region]],Table13[],3,FALSE)*1.05</f>
        <v>46.7513991</v>
      </c>
      <c r="AN75">
        <f>VLOOKUP(all_lmics181920[[worldbank_region]:[worldbank_region]],Table13[],4,FALSE)*1.05</f>
        <v>96.866702099999983</v>
      </c>
      <c r="AO75">
        <f>VLOOKUP(all_lmics181920[[worldbank_region]:[worldbank_region]],Table13[],5,FALSE)*1.05</f>
        <v>96.866702099999983</v>
      </c>
      <c r="AP75">
        <f>VLOOKUP(all_lmics181920[[worldbank_region]:[worldbank_region]],Table13[],6,FALSE)*1.05</f>
        <v>96.866702099999983</v>
      </c>
      <c r="AQ75">
        <f>VLOOKUP(all_lmics181920[[worldbank_region]:[worldbank_region]],Table14[],2,FALSE)*1.05</f>
        <v>6.7392065999999993</v>
      </c>
      <c r="AR75">
        <f>VLOOKUP(all_lmics181920[[worldbank_region]:[worldbank_region]],Table14[],3,FALSE)*1.05</f>
        <v>7.3875815999999999</v>
      </c>
      <c r="AS75">
        <f>VLOOKUP(all_lmics181920[[worldbank_region]:[worldbank_region]],Table14[],4,FALSE)*1.05</f>
        <v>11.007016649999999</v>
      </c>
      <c r="AT75">
        <f>VLOOKUP(all_lmics181920[[worldbank_region]:[worldbank_region]],Table14[],5,FALSE)*1.05</f>
        <v>11.65539165</v>
      </c>
      <c r="AU75">
        <f>VLOOKUP(all_lmics181920[[worldbank_region]:[worldbank_region]],Table14[],6,FALSE)*1.05</f>
        <v>12.254156249999999</v>
      </c>
      <c r="AV75">
        <f>MIN(IFERROR(VLOOKUP(all_lmics181920[[Setting]:[Setting]],nFacSBA[],4,FALSE),VLOOKUP(all_lmics181920[[who_choice_region]:[who_choice_region]],missing[],30,FALSE))*1.05, 0.9999)</f>
        <v>0.51600644643539628</v>
      </c>
      <c r="AW75">
        <f>VLOOKUP(all_lmics181920[[worldbank_region]:[worldbank_region]],hbe[],4)</f>
        <v>0.5</v>
      </c>
      <c r="AX75">
        <f>VLOOKUP(all_lmics181920[[worldbank_region]:[worldbank_region]],hbe[],7)</f>
        <v>1</v>
      </c>
      <c r="AY75">
        <f>VLOOKUP(all_lmics181920[[worldbank_region]:[worldbank_region]],hbe[],10)</f>
        <v>0.25</v>
      </c>
    </row>
    <row r="76" spans="1:51" x14ac:dyDescent="0.35">
      <c r="A76" s="8" t="s">
        <v>201</v>
      </c>
      <c r="B76" s="10" t="s">
        <v>109</v>
      </c>
      <c r="C76" s="11" t="s">
        <v>58</v>
      </c>
      <c r="D76">
        <f>VLOOKUP(all_lmics181920[[Setting]:[Setting]],populations[],9,FALSE)</f>
        <v>69037513</v>
      </c>
      <c r="E76">
        <f>VLOOKUP(all_lmics181920[[Setting]:[Setting]],birthrate[],3,FALSE)</f>
        <v>1.0333E-2</v>
      </c>
      <c r="F76">
        <f>all_lmics181920[[#This Row],[2017_population]]*all_lmics181920[[#This Row],[2016_birthrate]]</f>
        <v>713364.62182900007</v>
      </c>
      <c r="G76">
        <f>MIN(VLOOKUP(all_lmics181920[[Setting]:[Setting]],birthdose[],4,FALSE)*1.05,0.9999)</f>
        <v>0.99990000000000001</v>
      </c>
      <c r="H76">
        <f>MIN(VLOOKUP(all_lmics181920[[Setting]:[Setting]],fullvax[],4,FALSE)*1.05,0.9999)</f>
        <v>0.99990000000000001</v>
      </c>
      <c r="I76">
        <f>IFERROR(VLOOKUP(all_lmics181920[[Setting]:[Setting]],prev[],3,FALSE),VLOOKUP(all_lmics181920[[who_choice_region]:[who_choice_region]],missing[],2,FALSE))</f>
        <v>3.5000000000000003E-2</v>
      </c>
      <c r="J76">
        <f>IFERROR(VLOOKUP(all_lmics181920[[Setting]:[Setting]],prev[],4,FALSE),VLOOKUP(all_lmics181920[[who_choice_region]:[who_choice_region]],missing[],3,FALSE))</f>
        <v>1.6E-2</v>
      </c>
      <c r="K76">
        <f>IFERROR(VLOOKUP(all_lmics181920[[Setting]:[Setting]],prev[],5,FALSE),VLOOKUP(all_lmics181920[[who_choice_region]:[who_choice_region]],missing[],4,FALSE))</f>
        <v>0.04</v>
      </c>
      <c r="L76">
        <f>IFERROR(VLOOKUP(all_lmics181920[[Setting]:[Setting]],prev[],7,FALSE),VLOOKUP(all_lmics181920[[who_choice_region]:[who_choice_region]],missing[],5,FALSE))</f>
        <v>2.5510204081632642E-3</v>
      </c>
      <c r="M76">
        <f>IFERROR(VLOOKUP(all_lmics181920[[Setting]:[Setting]],prev[],6,FALSE),0)</f>
        <v>69037513</v>
      </c>
      <c r="N76">
        <f>MIN(IFERROR(VLOOKUP(all_lmics181920[[Setting]:[Setting]],SBA[],4,FALSE),VLOOKUP(all_lmics181920[[who_choice_region]:[who_choice_region]],missing[],6,FALSE))*1.05, 0.9999)</f>
        <v>0.99990000000000001</v>
      </c>
      <c r="O76">
        <f>MIN(IFERROR(VLOOKUP(all_lmics181920[[Setting]:[Setting]], facility[], 3,FALSE),VLOOKUP(all_lmics181920[[who_choice_region]:[who_choice_region]],missing[],7,FALSE))*1.05, 0.9999)</f>
        <v>0.99990000000000001</v>
      </c>
      <c r="P76">
        <f>IF(VLOOKUP(all_lmics181920[[Setting]:[Setting]],all_cause_mort[],4,FALSE)="",VLOOKUP(all_lmics181920[[who_choice_region]:[who_choice_region]],missing[],8,FALSE),VLOOKUP(all_lmics181920[[Setting]:[Setting]],all_cause_mort[],4,FALSE))*1.05</f>
        <v>8.2011369300000001E-3</v>
      </c>
      <c r="Q76">
        <f>IF(VLOOKUP(all_lmics181920[[Setting]:[Setting]],all_cause_mort[],5,FALSE)="",VLOOKUP(all_lmics181920[[who_choice_region]:[who_choice_region]],missing[],9,FALSE),VLOOKUP(all_lmics181920[[Setting]:[Setting]],all_cause_mort[],5,FALSE))*1.05</f>
        <v>3.2970014700000005E-4</v>
      </c>
      <c r="R76">
        <f>IF(VLOOKUP(all_lmics181920[[Setting]:[Setting]],all_cause_mort[],6,FALSE)="",VLOOKUP(all_lmics181920[[who_choice_region]:[who_choice_region]],missing[],10,FALSE),VLOOKUP(all_lmics181920[[Setting]:[Setting]],all_cause_mort[],6,FALSE))*1.05</f>
        <v>2.7855741900000003E-4</v>
      </c>
      <c r="S76">
        <f>IF(VLOOKUP(all_lmics181920[[Setting]:[Setting]],all_cause_mort[],7,FALSE)="",VLOOKUP(all_lmics181920[[who_choice_region]:[who_choice_region]],missing[],11,FALSE),VLOOKUP(all_lmics181920[[Setting]:[Setting]],all_cause_mort[],7,FALSE))*1.05</f>
        <v>4.3371644400000002E-4</v>
      </c>
      <c r="T76">
        <f>IF(VLOOKUP(all_lmics181920[[Setting]:[Setting]],all_cause_mort[],8,FALSE)="",VLOOKUP(all_lmics181920[[who_choice_region]:[who_choice_region]],missing[],12,FALSE),VLOOKUP(all_lmics181920[[Setting]:[Setting]],all_cause_mort[],8,FALSE))*1.05</f>
        <v>1.1321786700000001E-3</v>
      </c>
      <c r="U76">
        <f>IF(VLOOKUP(all_lmics181920[[Setting]:[Setting]],all_cause_mort[],9,FALSE)="",VLOOKUP(all_lmics181920[[who_choice_region]:[who_choice_region]],missing[],13,FALSE),VLOOKUP(all_lmics181920[[Setting]:[Setting]],all_cause_mort[],9,FALSE))*1.05</f>
        <v>1.0849797E-3</v>
      </c>
      <c r="V76">
        <f>IF(VLOOKUP(all_lmics181920[[Setting]:[Setting]],all_cause_mort[],10,FALSE)="",VLOOKUP(all_lmics181920[[who_choice_region]:[who_choice_region]],missing[],14,FALSE),VLOOKUP(all_lmics181920[[Setting]:[Setting]],all_cause_mort[],10,FALSE))*1.05</f>
        <v>1.1907295050000001E-3</v>
      </c>
      <c r="W76">
        <f>IF(VLOOKUP(all_lmics181920[[Setting]:[Setting]],all_cause_mort[],11,FALSE)="",VLOOKUP(all_lmics181920[[who_choice_region]:[who_choice_region]],missing[],15,FALSE),VLOOKUP(all_lmics181920[[Setting]:[Setting]],all_cause_mort[],11,FALSE))*1.05</f>
        <v>1.6961038499999999E-3</v>
      </c>
      <c r="X76">
        <f>IF(VLOOKUP(all_lmics181920[[Setting]:[Setting]],all_cause_mort[],12,FALSE)="",VLOOKUP(all_lmics181920[[who_choice_region]:[who_choice_region]],missing[],16,FALSE),VLOOKUP(all_lmics181920[[Setting]:[Setting]],all_cause_mort[],12,FALSE))*1.05</f>
        <v>2.5816506450000005E-3</v>
      </c>
      <c r="Y76">
        <f>IF(VLOOKUP(all_lmics181920[[Setting]:[Setting]],all_cause_mort[],13,FALSE)="",VLOOKUP(all_lmics181920[[who_choice_region]:[who_choice_region]],missing[],17,FALSE),VLOOKUP(all_lmics181920[[Setting]:[Setting]],all_cause_mort[],13,FALSE))*1.05</f>
        <v>3.5409206700000003E-3</v>
      </c>
      <c r="Z76">
        <f>IF(VLOOKUP(all_lmics181920[[Setting]:[Setting]],all_cause_mort[],14,FALSE)="",VLOOKUP(all_lmics181920[[who_choice_region]:[who_choice_region]],missing[],18,FALSE),VLOOKUP(all_lmics181920[[Setting]:[Setting]],all_cause_mort[],14,FALSE))*1.05</f>
        <v>4.6284892500000003E-3</v>
      </c>
      <c r="AA76">
        <f>IF(VLOOKUP(all_lmics181920[[Setting]:[Setting]],all_cause_mort[],15,FALSE)="",VLOOKUP(all_lmics181920[[who_choice_region]:[who_choice_region]],missing[],19,FALSE),VLOOKUP(all_lmics181920[[Setting]:[Setting]],all_cause_mort[],15,FALSE))*1.05</f>
        <v>6.1288034850000006E-3</v>
      </c>
      <c r="AB76">
        <f>IF(VLOOKUP(all_lmics181920[[Setting]:[Setting]],all_cause_mort[],16,FALSE)="",VLOOKUP(all_lmics181920[[who_choice_region]:[who_choice_region]],missing[],20,FALSE),VLOOKUP(all_lmics181920[[Setting]:[Setting]],all_cause_mort[],16,FALSE))*1.05</f>
        <v>8.2337915099999995E-3</v>
      </c>
      <c r="AC76">
        <f>IF(VLOOKUP(all_lmics181920[[Setting]:[Setting]],all_cause_mort[],17,FALSE)="",VLOOKUP(all_lmics181920[[who_choice_region]:[who_choice_region]],missing[],21,FALSE),VLOOKUP(all_lmics181920[[Setting]:[Setting]],all_cause_mort[],17,FALSE))*1.05</f>
        <v>1.202975025E-2</v>
      </c>
      <c r="AD76">
        <f>IF(VLOOKUP(all_lmics181920[[Setting]:[Setting]],all_cause_mort[],18,FALSE)="",VLOOKUP(all_lmics181920[[who_choice_region]:[who_choice_region]],missing[],22,FALSE),VLOOKUP(all_lmics181920[[Setting]:[Setting]],all_cause_mort[],18,FALSE))*1.05</f>
        <v>1.6911102600000002E-2</v>
      </c>
      <c r="AE76">
        <f>IF(VLOOKUP(all_lmics181920[[Setting]:[Setting]],all_cause_mort[],19,FALSE)="",VLOOKUP(all_lmics181920[[who_choice_region]:[who_choice_region]],missing[],23,FALSE),VLOOKUP(all_lmics181920[[Setting]:[Setting]],all_cause_mort[],19,FALSE))*1.05</f>
        <v>2.687625465E-2</v>
      </c>
      <c r="AF76">
        <f>IF(VLOOKUP(all_lmics181920[[Setting]:[Setting]],all_cause_mort[],20,FALSE)="",VLOOKUP(all_lmics181920[[who_choice_region]:[who_choice_region]],missing[],24,FALSE),VLOOKUP(all_lmics181920[[Setting]:[Setting]],all_cause_mort[],20,FALSE))*1.05</f>
        <v>4.4180978100000004E-2</v>
      </c>
      <c r="AG76">
        <f>IF(VLOOKUP(all_lmics181920[[Setting]:[Setting]],all_cause_mort[],21,FALSE)="",VLOOKUP(all_lmics181920[[who_choice_region]:[who_choice_region]],missing[],25,FALSE),VLOOKUP(all_lmics181920[[Setting]:[Setting]],all_cause_mort[],21,FALSE))*1.05</f>
        <v>7.1149432200000001E-2</v>
      </c>
      <c r="AH76">
        <f>IF(VLOOKUP(all_lmics181920[[Setting]:[Setting]],all_cause_mort[],22,FALSE)="",VLOOKUP(all_lmics181920[[who_choice_region]:[who_choice_region]],missing[],26,FALSE),VLOOKUP(all_lmics181920[[Setting]:[Setting]],all_cause_mort[],22,FALSE))*1.05</f>
        <v>0.11289474000000001</v>
      </c>
      <c r="AI76">
        <f>IF(VLOOKUP(all_lmics181920[[Setting]:[Setting]],all_cause_mort[],23,FALSE)="",VLOOKUP(all_lmics181920[[who_choice_region]:[who_choice_region]],missing[],27,FALSE),VLOOKUP(all_lmics181920[[Setting]:[Setting]],all_cause_mort[],23,FALSE))*1.05</f>
        <v>0.17108727300000001</v>
      </c>
      <c r="AJ76">
        <f>IF(VLOOKUP(all_lmics181920[[Setting]:[Setting]],all_cause_mort[],24,FALSE)="",VLOOKUP(all_lmics181920[[who_choice_region]:[who_choice_region]],missing[],28,FALSE),VLOOKUP(all_lmics181920[[Setting]:[Setting]],all_cause_mort[],24,FALSE))*1.05</f>
        <v>0.24542146650000002</v>
      </c>
      <c r="AK76">
        <f>IF(VLOOKUP(all_lmics181920[[Setting]:[Setting]],all_cause_mort[],25,FALSE)="",VLOOKUP(all_lmics181920[[who_choice_region]:[who_choice_region]],missing[],29,FALSE),VLOOKUP(all_lmics181920[[Setting]:[Setting]],all_cause_mort[],25,FALSE))*1.05</f>
        <v>0.35226345710149021</v>
      </c>
      <c r="AL76">
        <f>VLOOKUP(all_lmics181920[[worldbank_region]:[worldbank_region]],Table13[],2,FALSE)*1.05</f>
        <v>76.717604249999994</v>
      </c>
      <c r="AM76">
        <f>VLOOKUP(all_lmics181920[[worldbank_region]:[worldbank_region]],Table13[],3,FALSE)*1.05</f>
        <v>76.717604249999994</v>
      </c>
      <c r="AN76">
        <f>VLOOKUP(all_lmics181920[[worldbank_region]:[worldbank_region]],Table13[],4,FALSE)*1.05</f>
        <v>126.83290724999999</v>
      </c>
      <c r="AO76">
        <f>VLOOKUP(all_lmics181920[[worldbank_region]:[worldbank_region]],Table13[],5,FALSE)*1.05</f>
        <v>126.83290724999999</v>
      </c>
      <c r="AP76">
        <f>VLOOKUP(all_lmics181920[[worldbank_region]:[worldbank_region]],Table13[],6,FALSE)*1.05</f>
        <v>126.83290724999999</v>
      </c>
      <c r="AQ76">
        <f>VLOOKUP(all_lmics181920[[worldbank_region]:[worldbank_region]],Table14[],2,FALSE)*1.05</f>
        <v>1.4073045</v>
      </c>
      <c r="AR76">
        <f>VLOOKUP(all_lmics181920[[worldbank_region]:[worldbank_region]],Table14[],3,FALSE)*1.05</f>
        <v>2.0556795000000001</v>
      </c>
      <c r="AS76">
        <f>VLOOKUP(all_lmics181920[[worldbank_region]:[worldbank_region]],Table14[],4,FALSE)*1.05</f>
        <v>2.0709317999999999</v>
      </c>
      <c r="AT76">
        <f>VLOOKUP(all_lmics181920[[worldbank_region]:[worldbank_region]],Table14[],5,FALSE)*1.05</f>
        <v>2.7193068</v>
      </c>
      <c r="AU76">
        <f>VLOOKUP(all_lmics181920[[worldbank_region]:[worldbank_region]],Table14[],6,FALSE)*1.05</f>
        <v>3.3180714</v>
      </c>
      <c r="AV76">
        <f>MIN(IFERROR(VLOOKUP(all_lmics181920[[Setting]:[Setting]],nFacSBA[],4,FALSE),VLOOKUP(all_lmics181920[[who_choice_region]:[who_choice_region]],missing[],30,FALSE))*1.05, 0.9999)</f>
        <v>0.58581155516782146</v>
      </c>
      <c r="AW76">
        <f>VLOOKUP(all_lmics181920[[worldbank_region]:[worldbank_region]],hbe[],4)</f>
        <v>0.5</v>
      </c>
      <c r="AX76">
        <f>VLOOKUP(all_lmics181920[[worldbank_region]:[worldbank_region]],hbe[],7)</f>
        <v>1</v>
      </c>
      <c r="AY76">
        <f>VLOOKUP(all_lmics181920[[worldbank_region]:[worldbank_region]],hbe[],10)</f>
        <v>0.25</v>
      </c>
    </row>
    <row r="77" spans="1:51" x14ac:dyDescent="0.35">
      <c r="A77" s="12" t="s">
        <v>202</v>
      </c>
      <c r="B77" s="13" t="s">
        <v>10</v>
      </c>
      <c r="C77" s="14" t="s">
        <v>11</v>
      </c>
      <c r="D77">
        <f>VLOOKUP(all_lmics181920[[Setting]:[Setting]],populations[],9,FALSE)</f>
        <v>2083160</v>
      </c>
      <c r="E77">
        <f>VLOOKUP(all_lmics181920[[Setting]:[Setting]],birthrate[],3,FALSE)</f>
        <v>1.1276999999999999E-2</v>
      </c>
      <c r="F77">
        <f>all_lmics181920[[#This Row],[2017_population]]*all_lmics181920[[#This Row],[2016_birthrate]]</f>
        <v>23491.795319999997</v>
      </c>
      <c r="G77">
        <f>MIN(VLOOKUP(all_lmics181920[[Setting]:[Setting]],birthdose[],4,FALSE)*1.05,0.9999)</f>
        <v>0.99990000000000001</v>
      </c>
      <c r="H77">
        <f>MIN(VLOOKUP(all_lmics181920[[Setting]:[Setting]],fullvax[],4,FALSE)*1.05,0.9999)</f>
        <v>0.95550000000000013</v>
      </c>
      <c r="I77">
        <f>IFERROR(VLOOKUP(all_lmics181920[[Setting]:[Setting]],prev[],3,FALSE),VLOOKUP(all_lmics181920[[who_choice_region]:[who_choice_region]],missing[],2,FALSE))</f>
        <v>3.6829417644548806E-2</v>
      </c>
      <c r="J77">
        <f>IFERROR(VLOOKUP(all_lmics181920[[Setting]:[Setting]],prev[],4,FALSE),VLOOKUP(all_lmics181920[[who_choice_region]:[who_choice_region]],missing[],3,FALSE))</f>
        <v>2.5966371918435385E-2</v>
      </c>
      <c r="K77">
        <f>IFERROR(VLOOKUP(all_lmics181920[[Setting]:[Setting]],prev[],5,FALSE),VLOOKUP(all_lmics181920[[who_choice_region]:[who_choice_region]],missing[],4,FALSE))</f>
        <v>4.9168828639050588E-2</v>
      </c>
      <c r="L77">
        <f>IFERROR(VLOOKUP(all_lmics181920[[Setting]:[Setting]],prev[],7,FALSE),VLOOKUP(all_lmics181920[[who_choice_region]:[who_choice_region]],missing[],5,FALSE))</f>
        <v>6.2956178543376482E-3</v>
      </c>
      <c r="M77">
        <f>IFERROR(VLOOKUP(all_lmics181920[[Setting]:[Setting]],prev[],6,FALSE),0)</f>
        <v>0</v>
      </c>
      <c r="N77">
        <f>MIN(IFERROR(VLOOKUP(all_lmics181920[[Setting]:[Setting]],SBA[],4,FALSE),VLOOKUP(all_lmics181920[[who_choice_region]:[who_choice_region]],missing[],6,FALSE))*1.05, 0.9999)</f>
        <v>0.99990000000000001</v>
      </c>
      <c r="O77">
        <f>MIN(IFERROR(VLOOKUP(all_lmics181920[[Setting]:[Setting]], facility[], 3,FALSE),VLOOKUP(all_lmics181920[[who_choice_region]:[who_choice_region]],missing[],7,FALSE))*1.05, 0.9999)</f>
        <v>0.99990000000000001</v>
      </c>
      <c r="P77">
        <f>IF(VLOOKUP(all_lmics181920[[Setting]:[Setting]],all_cause_mort[],4,FALSE)="",VLOOKUP(all_lmics181920[[who_choice_region]:[who_choice_region]],missing[],8,FALSE),VLOOKUP(all_lmics181920[[Setting]:[Setting]],all_cause_mort[],4,FALSE))*1.05</f>
        <v>1.1335537499999999E-2</v>
      </c>
      <c r="Q77">
        <f>IF(VLOOKUP(all_lmics181920[[Setting]:[Setting]],all_cause_mort[],5,FALSE)="",VLOOKUP(all_lmics181920[[who_choice_region]:[who_choice_region]],missing[],9,FALSE),VLOOKUP(all_lmics181920[[Setting]:[Setting]],all_cause_mort[],5,FALSE))*1.05</f>
        <v>2.9915119500000003E-4</v>
      </c>
      <c r="R77">
        <f>IF(VLOOKUP(all_lmics181920[[Setting]:[Setting]],all_cause_mort[],6,FALSE)="",VLOOKUP(all_lmics181920[[who_choice_region]:[who_choice_region]],missing[],10,FALSE),VLOOKUP(all_lmics181920[[Setting]:[Setting]],all_cause_mort[],6,FALSE))*1.05</f>
        <v>1.4650056750000002E-4</v>
      </c>
      <c r="S77">
        <f>IF(VLOOKUP(all_lmics181920[[Setting]:[Setting]],all_cause_mort[],7,FALSE)="",VLOOKUP(all_lmics181920[[who_choice_region]:[who_choice_region]],missing[],11,FALSE),VLOOKUP(all_lmics181920[[Setting]:[Setting]],all_cause_mort[],7,FALSE))*1.05</f>
        <v>1.9454184750000001E-4</v>
      </c>
      <c r="T77">
        <f>IF(VLOOKUP(all_lmics181920[[Setting]:[Setting]],all_cause_mort[],8,FALSE)="",VLOOKUP(all_lmics181920[[who_choice_region]:[who_choice_region]],missing[],12,FALSE),VLOOKUP(all_lmics181920[[Setting]:[Setting]],all_cause_mort[],8,FALSE))*1.05</f>
        <v>3.0633430800000003E-4</v>
      </c>
      <c r="U77">
        <f>IF(VLOOKUP(all_lmics181920[[Setting]:[Setting]],all_cause_mort[],9,FALSE)="",VLOOKUP(all_lmics181920[[who_choice_region]:[who_choice_region]],missing[],13,FALSE),VLOOKUP(all_lmics181920[[Setting]:[Setting]],all_cause_mort[],9,FALSE))*1.05</f>
        <v>3.2964314250000004E-4</v>
      </c>
      <c r="V77">
        <f>IF(VLOOKUP(all_lmics181920[[Setting]:[Setting]],all_cause_mort[],10,FALSE)="",VLOOKUP(all_lmics181920[[who_choice_region]:[who_choice_region]],missing[],14,FALSE),VLOOKUP(all_lmics181920[[Setting]:[Setting]],all_cause_mort[],10,FALSE))*1.05</f>
        <v>4.9162440599999997E-4</v>
      </c>
      <c r="W77">
        <f>IF(VLOOKUP(all_lmics181920[[Setting]:[Setting]],all_cause_mort[],11,FALSE)="",VLOOKUP(all_lmics181920[[who_choice_region]:[who_choice_region]],missing[],15,FALSE),VLOOKUP(all_lmics181920[[Setting]:[Setting]],all_cause_mort[],11,FALSE))*1.05</f>
        <v>5.8743925800000009E-4</v>
      </c>
      <c r="X77">
        <f>IF(VLOOKUP(all_lmics181920[[Setting]:[Setting]],all_cause_mort[],12,FALSE)="",VLOOKUP(all_lmics181920[[who_choice_region]:[who_choice_region]],missing[],16,FALSE),VLOOKUP(all_lmics181920[[Setting]:[Setting]],all_cause_mort[],12,FALSE))*1.05</f>
        <v>9.3753040500000001E-4</v>
      </c>
      <c r="Y77">
        <f>IF(VLOOKUP(all_lmics181920[[Setting]:[Setting]],all_cause_mort[],13,FALSE)="",VLOOKUP(all_lmics181920[[who_choice_region]:[who_choice_region]],missing[],17,FALSE),VLOOKUP(all_lmics181920[[Setting]:[Setting]],all_cause_mort[],13,FALSE))*1.05</f>
        <v>1.71519768E-3</v>
      </c>
      <c r="Z77">
        <f>IF(VLOOKUP(all_lmics181920[[Setting]:[Setting]],all_cause_mort[],14,FALSE)="",VLOOKUP(all_lmics181920[[who_choice_region]:[who_choice_region]],missing[],18,FALSE),VLOOKUP(all_lmics181920[[Setting]:[Setting]],all_cause_mort[],14,FALSE))*1.05</f>
        <v>2.6545533000000001E-3</v>
      </c>
      <c r="AA77">
        <f>IF(VLOOKUP(all_lmics181920[[Setting]:[Setting]],all_cause_mort[],15,FALSE)="",VLOOKUP(all_lmics181920[[who_choice_region]:[who_choice_region]],missing[],19,FALSE),VLOOKUP(all_lmics181920[[Setting]:[Setting]],all_cause_mort[],15,FALSE))*1.05</f>
        <v>4.9762884150000002E-3</v>
      </c>
      <c r="AB77">
        <f>IF(VLOOKUP(all_lmics181920[[Setting]:[Setting]],all_cause_mort[],16,FALSE)="",VLOOKUP(all_lmics181920[[who_choice_region]:[who_choice_region]],missing[],20,FALSE),VLOOKUP(all_lmics181920[[Setting]:[Setting]],all_cause_mort[],16,FALSE))*1.05</f>
        <v>8.5252542900000009E-3</v>
      </c>
      <c r="AC77">
        <f>IF(VLOOKUP(all_lmics181920[[Setting]:[Setting]],all_cause_mort[],17,FALSE)="",VLOOKUP(all_lmics181920[[who_choice_region]:[who_choice_region]],missing[],21,FALSE),VLOOKUP(all_lmics181920[[Setting]:[Setting]],all_cause_mort[],17,FALSE))*1.05</f>
        <v>1.426609065E-2</v>
      </c>
      <c r="AD77">
        <f>IF(VLOOKUP(all_lmics181920[[Setting]:[Setting]],all_cause_mort[],18,FALSE)="",VLOOKUP(all_lmics181920[[who_choice_region]:[who_choice_region]],missing[],22,FALSE),VLOOKUP(all_lmics181920[[Setting]:[Setting]],all_cause_mort[],18,FALSE))*1.05</f>
        <v>2.2479215850000001E-2</v>
      </c>
      <c r="AE77">
        <f>IF(VLOOKUP(all_lmics181920[[Setting]:[Setting]],all_cause_mort[],19,FALSE)="",VLOOKUP(all_lmics181920[[who_choice_region]:[who_choice_region]],missing[],23,FALSE),VLOOKUP(all_lmics181920[[Setting]:[Setting]],all_cause_mort[],19,FALSE))*1.05</f>
        <v>3.6340068450000006E-2</v>
      </c>
      <c r="AF77">
        <f>IF(VLOOKUP(all_lmics181920[[Setting]:[Setting]],all_cause_mort[],20,FALSE)="",VLOOKUP(all_lmics181920[[who_choice_region]:[who_choice_region]],missing[],24,FALSE),VLOOKUP(all_lmics181920[[Setting]:[Setting]],all_cause_mort[],20,FALSE))*1.05</f>
        <v>6.8985984900000005E-2</v>
      </c>
      <c r="AG77">
        <f>IF(VLOOKUP(all_lmics181920[[Setting]:[Setting]],all_cause_mort[],21,FALSE)="",VLOOKUP(all_lmics181920[[who_choice_region]:[who_choice_region]],missing[],25,FALSE),VLOOKUP(all_lmics181920[[Setting]:[Setting]],all_cause_mort[],21,FALSE))*1.05</f>
        <v>0.1248568335</v>
      </c>
      <c r="AH77">
        <f>IF(VLOOKUP(all_lmics181920[[Setting]:[Setting]],all_cause_mort[],22,FALSE)="",VLOOKUP(all_lmics181920[[who_choice_region]:[who_choice_region]],missing[],26,FALSE),VLOOKUP(all_lmics181920[[Setting]:[Setting]],all_cause_mort[],22,FALSE))*1.05</f>
        <v>0.20994042300000001</v>
      </c>
      <c r="AI77">
        <f>IF(VLOOKUP(all_lmics181920[[Setting]:[Setting]],all_cause_mort[],23,FALSE)="",VLOOKUP(all_lmics181920[[who_choice_region]:[who_choice_region]],missing[],27,FALSE),VLOOKUP(all_lmics181920[[Setting]:[Setting]],all_cause_mort[],23,FALSE))*1.05</f>
        <v>0.35063851200000001</v>
      </c>
      <c r="AJ77">
        <f>IF(VLOOKUP(all_lmics181920[[Setting]:[Setting]],all_cause_mort[],24,FALSE)="",VLOOKUP(all_lmics181920[[who_choice_region]:[who_choice_region]],missing[],28,FALSE),VLOOKUP(all_lmics181920[[Setting]:[Setting]],all_cause_mort[],24,FALSE))*1.05</f>
        <v>0.51480986549999996</v>
      </c>
      <c r="AK77">
        <f>IF(VLOOKUP(all_lmics181920[[Setting]:[Setting]],all_cause_mort[],25,FALSE)="",VLOOKUP(all_lmics181920[[who_choice_region]:[who_choice_region]],missing[],29,FALSE),VLOOKUP(all_lmics181920[[Setting]:[Setting]],all_cause_mort[],25,FALSE))*1.05</f>
        <v>0.68709570143767884</v>
      </c>
      <c r="AL77">
        <f>VLOOKUP(all_lmics181920[[worldbank_region]:[worldbank_region]],Table13[],2,FALSE)*1.05</f>
        <v>46.7513991</v>
      </c>
      <c r="AM77">
        <f>VLOOKUP(all_lmics181920[[worldbank_region]:[worldbank_region]],Table13[],3,FALSE)*1.05</f>
        <v>46.7513991</v>
      </c>
      <c r="AN77">
        <f>VLOOKUP(all_lmics181920[[worldbank_region]:[worldbank_region]],Table13[],4,FALSE)*1.05</f>
        <v>96.866702099999983</v>
      </c>
      <c r="AO77">
        <f>VLOOKUP(all_lmics181920[[worldbank_region]:[worldbank_region]],Table13[],5,FALSE)*1.05</f>
        <v>96.866702099999983</v>
      </c>
      <c r="AP77">
        <f>VLOOKUP(all_lmics181920[[worldbank_region]:[worldbank_region]],Table13[],6,FALSE)*1.05</f>
        <v>96.866702099999983</v>
      </c>
      <c r="AQ77">
        <f>VLOOKUP(all_lmics181920[[worldbank_region]:[worldbank_region]],Table14[],2,FALSE)*1.05</f>
        <v>6.7392065999999993</v>
      </c>
      <c r="AR77">
        <f>VLOOKUP(all_lmics181920[[worldbank_region]:[worldbank_region]],Table14[],3,FALSE)*1.05</f>
        <v>7.3875815999999999</v>
      </c>
      <c r="AS77">
        <f>VLOOKUP(all_lmics181920[[worldbank_region]:[worldbank_region]],Table14[],4,FALSE)*1.05</f>
        <v>11.007016649999999</v>
      </c>
      <c r="AT77">
        <f>VLOOKUP(all_lmics181920[[worldbank_region]:[worldbank_region]],Table14[],5,FALSE)*1.05</f>
        <v>11.65539165</v>
      </c>
      <c r="AU77">
        <f>VLOOKUP(all_lmics181920[[worldbank_region]:[worldbank_region]],Table14[],6,FALSE)*1.05</f>
        <v>12.254156249999999</v>
      </c>
      <c r="AV77">
        <f>MIN(IFERROR(VLOOKUP(all_lmics181920[[Setting]:[Setting]],nFacSBA[],4,FALSE),VLOOKUP(all_lmics181920[[who_choice_region]:[who_choice_region]],missing[],30,FALSE))*1.05, 0.9999)</f>
        <v>0.5602570271020012</v>
      </c>
      <c r="AW77">
        <f>VLOOKUP(all_lmics181920[[worldbank_region]:[worldbank_region]],hbe[],4)</f>
        <v>0.5</v>
      </c>
      <c r="AX77">
        <f>VLOOKUP(all_lmics181920[[worldbank_region]:[worldbank_region]],hbe[],7)</f>
        <v>1</v>
      </c>
      <c r="AY77">
        <f>VLOOKUP(all_lmics181920[[worldbank_region]:[worldbank_region]],hbe[],10)</f>
        <v>0.25</v>
      </c>
    </row>
    <row r="78" spans="1:51" x14ac:dyDescent="0.35">
      <c r="A78" s="8" t="s">
        <v>203</v>
      </c>
      <c r="B78" s="10" t="s">
        <v>36</v>
      </c>
      <c r="C78" s="11" t="s">
        <v>37</v>
      </c>
      <c r="D78">
        <f>VLOOKUP(all_lmics181920[[Setting]:[Setting]],populations[],9,FALSE)</f>
        <v>1296311</v>
      </c>
      <c r="E78">
        <f>VLOOKUP(all_lmics181920[[Setting]:[Setting]],birthrate[],3,FALSE)</f>
        <v>3.5048000000000003E-2</v>
      </c>
      <c r="F78">
        <f>all_lmics181920[[#This Row],[2017_population]]*all_lmics181920[[#This Row],[2016_birthrate]]</f>
        <v>45433.107928000005</v>
      </c>
      <c r="G78">
        <f>MIN(VLOOKUP(all_lmics181920[[Setting]:[Setting]],birthdose[],4,FALSE)*1.05,0.9999)</f>
        <v>0.49349999999999999</v>
      </c>
      <c r="H78">
        <f>MIN(VLOOKUP(all_lmics181920[[Setting]:[Setting]],fullvax[],4,FALSE)*1.05,0.9999)</f>
        <v>0.79800000000000004</v>
      </c>
      <c r="I78">
        <f>IFERROR(VLOOKUP(all_lmics181920[[Setting]:[Setting]],prev[],3,FALSE),VLOOKUP(all_lmics181920[[who_choice_region]:[who_choice_region]],missing[],2,FALSE))</f>
        <v>2.9042976123168401E-2</v>
      </c>
      <c r="J78">
        <f>IFERROR(VLOOKUP(all_lmics181920[[Setting]:[Setting]],prev[],4,FALSE),VLOOKUP(all_lmics181920[[who_choice_region]:[who_choice_region]],missing[],3,FALSE))</f>
        <v>2.3703460291678725E-2</v>
      </c>
      <c r="K78">
        <f>IFERROR(VLOOKUP(all_lmics181920[[Setting]:[Setting]],prev[],5,FALSE),VLOOKUP(all_lmics181920[[who_choice_region]:[who_choice_region]],missing[],4,FALSE))</f>
        <v>3.2561757047722864E-2</v>
      </c>
      <c r="L78">
        <f>IFERROR(VLOOKUP(all_lmics181920[[Setting]:[Setting]],prev[],7,FALSE),VLOOKUP(all_lmics181920[[who_choice_region]:[who_choice_region]],missing[],5,FALSE))</f>
        <v>1.7952963900788081E-3</v>
      </c>
      <c r="M78">
        <f>IFERROR(VLOOKUP(all_lmics181920[[Setting]:[Setting]],prev[],6,FALSE),0)</f>
        <v>0</v>
      </c>
      <c r="N78">
        <f>MIN(IFERROR(VLOOKUP(all_lmics181920[[Setting]:[Setting]],SBA[],4,FALSE),VLOOKUP(all_lmics181920[[who_choice_region]:[who_choice_region]],missing[],6,FALSE))*1.05, 0.9999)</f>
        <v>0.59535000000000005</v>
      </c>
      <c r="O78">
        <f>MIN(IFERROR(VLOOKUP(all_lmics181920[[Setting]:[Setting]], facility[], 3,FALSE),VLOOKUP(all_lmics181920[[who_choice_region]:[who_choice_region]],missing[],7,FALSE))*1.05, 0.9999)</f>
        <v>0.22470000000000001</v>
      </c>
      <c r="P78">
        <f>IF(VLOOKUP(all_lmics181920[[Setting]:[Setting]],all_cause_mort[],4,FALSE)="",VLOOKUP(all_lmics181920[[who_choice_region]:[who_choice_region]],missing[],8,FALSE),VLOOKUP(all_lmics181920[[Setting]:[Setting]],all_cause_mort[],4,FALSE))*1.05</f>
        <v>4.0501718249999999E-2</v>
      </c>
      <c r="Q78">
        <f>IF(VLOOKUP(all_lmics181920[[Setting]:[Setting]],all_cause_mort[],5,FALSE)="",VLOOKUP(all_lmics181920[[who_choice_region]:[who_choice_region]],missing[],9,FALSE),VLOOKUP(all_lmics181920[[Setting]:[Setting]],all_cause_mort[],5,FALSE))*1.05</f>
        <v>2.5796163750000001E-3</v>
      </c>
      <c r="R78">
        <f>IF(VLOOKUP(all_lmics181920[[Setting]:[Setting]],all_cause_mort[],6,FALSE)="",VLOOKUP(all_lmics181920[[who_choice_region]:[who_choice_region]],missing[],10,FALSE),VLOOKUP(all_lmics181920[[Setting]:[Setting]],all_cause_mort[],6,FALSE))*1.05</f>
        <v>7.8946576800000001E-4</v>
      </c>
      <c r="S78">
        <f>IF(VLOOKUP(all_lmics181920[[Setting]:[Setting]],all_cause_mort[],7,FALSE)="",VLOOKUP(all_lmics181920[[who_choice_region]:[who_choice_region]],missing[],11,FALSE),VLOOKUP(all_lmics181920[[Setting]:[Setting]],all_cause_mort[],7,FALSE))*1.05</f>
        <v>6.0974775750000001E-4</v>
      </c>
      <c r="T78">
        <f>IF(VLOOKUP(all_lmics181920[[Setting]:[Setting]],all_cause_mort[],8,FALSE)="",VLOOKUP(all_lmics181920[[who_choice_region]:[who_choice_region]],missing[],12,FALSE),VLOOKUP(all_lmics181920[[Setting]:[Setting]],all_cause_mort[],8,FALSE))*1.05</f>
        <v>1.05207879E-3</v>
      </c>
      <c r="U78">
        <f>IF(VLOOKUP(all_lmics181920[[Setting]:[Setting]],all_cause_mort[],9,FALSE)="",VLOOKUP(all_lmics181920[[who_choice_region]:[who_choice_region]],missing[],13,FALSE),VLOOKUP(all_lmics181920[[Setting]:[Setting]],all_cause_mort[],9,FALSE))*1.05</f>
        <v>1.3282778250000001E-3</v>
      </c>
      <c r="V78">
        <f>IF(VLOOKUP(all_lmics181920[[Setting]:[Setting]],all_cause_mort[],10,FALSE)="",VLOOKUP(all_lmics181920[[who_choice_region]:[who_choice_region]],missing[],14,FALSE),VLOOKUP(all_lmics181920[[Setting]:[Setting]],all_cause_mort[],10,FALSE))*1.05</f>
        <v>1.2682805100000002E-3</v>
      </c>
      <c r="W78">
        <f>IF(VLOOKUP(all_lmics181920[[Setting]:[Setting]],all_cause_mort[],11,FALSE)="",VLOOKUP(all_lmics181920[[who_choice_region]:[who_choice_region]],missing[],15,FALSE),VLOOKUP(all_lmics181920[[Setting]:[Setting]],all_cause_mort[],11,FALSE))*1.05</f>
        <v>1.4109328799999999E-3</v>
      </c>
      <c r="X78">
        <f>IF(VLOOKUP(all_lmics181920[[Setting]:[Setting]],all_cause_mort[],12,FALSE)="",VLOOKUP(all_lmics181920[[who_choice_region]:[who_choice_region]],missing[],16,FALSE),VLOOKUP(all_lmics181920[[Setting]:[Setting]],all_cause_mort[],12,FALSE))*1.05</f>
        <v>1.8446727600000001E-3</v>
      </c>
      <c r="Y78">
        <f>IF(VLOOKUP(all_lmics181920[[Setting]:[Setting]],all_cause_mort[],13,FALSE)="",VLOOKUP(all_lmics181920[[who_choice_region]:[who_choice_region]],missing[],17,FALSE),VLOOKUP(all_lmics181920[[Setting]:[Setting]],all_cause_mort[],13,FALSE))*1.05</f>
        <v>2.6581653000000002E-3</v>
      </c>
      <c r="Z78">
        <f>IF(VLOOKUP(all_lmics181920[[Setting]:[Setting]],all_cause_mort[],14,FALSE)="",VLOOKUP(all_lmics181920[[who_choice_region]:[who_choice_region]],missing[],18,FALSE),VLOOKUP(all_lmics181920[[Setting]:[Setting]],all_cause_mort[],14,FALSE))*1.05</f>
        <v>4.2481291649999996E-3</v>
      </c>
      <c r="AA78">
        <f>IF(VLOOKUP(all_lmics181920[[Setting]:[Setting]],all_cause_mort[],15,FALSE)="",VLOOKUP(all_lmics181920[[who_choice_region]:[who_choice_region]],missing[],19,FALSE),VLOOKUP(all_lmics181920[[Setting]:[Setting]],all_cause_mort[],15,FALSE))*1.05</f>
        <v>7.0114419900000006E-3</v>
      </c>
      <c r="AB78">
        <f>IF(VLOOKUP(all_lmics181920[[Setting]:[Setting]],all_cause_mort[],16,FALSE)="",VLOOKUP(all_lmics181920[[who_choice_region]:[who_choice_region]],missing[],20,FALSE),VLOOKUP(all_lmics181920[[Setting]:[Setting]],all_cause_mort[],16,FALSE))*1.05</f>
        <v>1.2156844350000001E-2</v>
      </c>
      <c r="AC78">
        <f>IF(VLOOKUP(all_lmics181920[[Setting]:[Setting]],all_cause_mort[],17,FALSE)="",VLOOKUP(all_lmics181920[[who_choice_region]:[who_choice_region]],missing[],21,FALSE),VLOOKUP(all_lmics181920[[Setting]:[Setting]],all_cause_mort[],17,FALSE))*1.05</f>
        <v>1.9841369099999999E-2</v>
      </c>
      <c r="AD78">
        <f>IF(VLOOKUP(all_lmics181920[[Setting]:[Setting]],all_cause_mort[],18,FALSE)="",VLOOKUP(all_lmics181920[[who_choice_region]:[who_choice_region]],missing[],22,FALSE),VLOOKUP(all_lmics181920[[Setting]:[Setting]],all_cause_mort[],18,FALSE))*1.05</f>
        <v>3.2401050149999999E-2</v>
      </c>
      <c r="AE78">
        <f>IF(VLOOKUP(all_lmics181920[[Setting]:[Setting]],all_cause_mort[],19,FALSE)="",VLOOKUP(all_lmics181920[[who_choice_region]:[who_choice_region]],missing[],23,FALSE),VLOOKUP(all_lmics181920[[Setting]:[Setting]],all_cause_mort[],19,FALSE))*1.05</f>
        <v>5.3776390500000007E-2</v>
      </c>
      <c r="AF78">
        <f>IF(VLOOKUP(all_lmics181920[[Setting]:[Setting]],all_cause_mort[],20,FALSE)="",VLOOKUP(all_lmics181920[[who_choice_region]:[who_choice_region]],missing[],24,FALSE),VLOOKUP(all_lmics181920[[Setting]:[Setting]],all_cause_mort[],20,FALSE))*1.05</f>
        <v>8.8991929950000007E-2</v>
      </c>
      <c r="AG78">
        <f>IF(VLOOKUP(all_lmics181920[[Setting]:[Setting]],all_cause_mort[],21,FALSE)="",VLOOKUP(all_lmics181920[[who_choice_region]:[who_choice_region]],missing[],25,FALSE),VLOOKUP(all_lmics181920[[Setting]:[Setting]],all_cause_mort[],21,FALSE))*1.05</f>
        <v>0.14195958</v>
      </c>
      <c r="AH78">
        <f>IF(VLOOKUP(all_lmics181920[[Setting]:[Setting]],all_cause_mort[],22,FALSE)="",VLOOKUP(all_lmics181920[[who_choice_region]:[who_choice_region]],missing[],26,FALSE),VLOOKUP(all_lmics181920[[Setting]:[Setting]],all_cause_mort[],22,FALSE))*1.05</f>
        <v>0.22020197850000001</v>
      </c>
      <c r="AI78">
        <f>IF(VLOOKUP(all_lmics181920[[Setting]:[Setting]],all_cause_mort[],23,FALSE)="",VLOOKUP(all_lmics181920[[who_choice_region]:[who_choice_region]],missing[],27,FALSE),VLOOKUP(all_lmics181920[[Setting]:[Setting]],all_cause_mort[],23,FALSE))*1.05</f>
        <v>0.3187710855</v>
      </c>
      <c r="AJ78">
        <f>IF(VLOOKUP(all_lmics181920[[Setting]:[Setting]],all_cause_mort[],24,FALSE)="",VLOOKUP(all_lmics181920[[who_choice_region]:[who_choice_region]],missing[],28,FALSE),VLOOKUP(all_lmics181920[[Setting]:[Setting]],all_cause_mort[],24,FALSE))*1.05</f>
        <v>0.4423572825</v>
      </c>
      <c r="AK78">
        <f>IF(VLOOKUP(all_lmics181920[[Setting]:[Setting]],all_cause_mort[],25,FALSE)="",VLOOKUP(all_lmics181920[[who_choice_region]:[who_choice_region]],missing[],29,FALSE),VLOOKUP(all_lmics181920[[Setting]:[Setting]],all_cause_mort[],25,FALSE))*1.05</f>
        <v>0.59503320681982907</v>
      </c>
      <c r="AL78">
        <f>VLOOKUP(all_lmics181920[[worldbank_region]:[worldbank_region]],Table13[],2,FALSE)*1.05</f>
        <v>60.229898399999996</v>
      </c>
      <c r="AM78">
        <f>VLOOKUP(all_lmics181920[[worldbank_region]:[worldbank_region]],Table13[],3,FALSE)*1.05</f>
        <v>60.229898399999996</v>
      </c>
      <c r="AN78">
        <f>VLOOKUP(all_lmics181920[[worldbank_region]:[worldbank_region]],Table13[],4,FALSE)*1.05</f>
        <v>110.34520139999999</v>
      </c>
      <c r="AO78">
        <f>VLOOKUP(all_lmics181920[[worldbank_region]:[worldbank_region]],Table13[],5,FALSE)*1.05</f>
        <v>110.34520139999999</v>
      </c>
      <c r="AP78">
        <f>VLOOKUP(all_lmics181920[[worldbank_region]:[worldbank_region]],Table13[],6,FALSE)*1.05</f>
        <v>110.34520139999999</v>
      </c>
      <c r="AQ78">
        <f>VLOOKUP(all_lmics181920[[worldbank_region]:[worldbank_region]],Table14[],2,FALSE)*1.05</f>
        <v>1.0068397500000001</v>
      </c>
      <c r="AR78">
        <f>VLOOKUP(all_lmics181920[[worldbank_region]:[worldbank_region]],Table14[],3,FALSE)*1.05</f>
        <v>1.6552147500000003</v>
      </c>
      <c r="AS78">
        <f>VLOOKUP(all_lmics181920[[worldbank_region]:[worldbank_region]],Table14[],4,FALSE)*1.05</f>
        <v>34.6802043</v>
      </c>
      <c r="AT78">
        <f>VLOOKUP(all_lmics181920[[worldbank_region]:[worldbank_region]],Table14[],5,FALSE)*1.05</f>
        <v>35.328579300000001</v>
      </c>
      <c r="AU78">
        <f>VLOOKUP(all_lmics181920[[worldbank_region]:[worldbank_region]],Table14[],6,FALSE)*1.05</f>
        <v>35.927343900000004</v>
      </c>
      <c r="AV78">
        <f>MIN(IFERROR(VLOOKUP(all_lmics181920[[Setting]:[Setting]],nFacSBA[],4,FALSE),VLOOKUP(all_lmics181920[[who_choice_region]:[who_choice_region]],missing[],30,FALSE))*1.05, 0.9999)</f>
        <v>0.11280360611479168</v>
      </c>
      <c r="AW78">
        <f>VLOOKUP(all_lmics181920[[worldbank_region]:[worldbank_region]],hbe[],4)</f>
        <v>0.5</v>
      </c>
      <c r="AX78">
        <f>VLOOKUP(all_lmics181920[[worldbank_region]:[worldbank_region]],hbe[],7)</f>
        <v>1</v>
      </c>
      <c r="AY78">
        <f>VLOOKUP(all_lmics181920[[worldbank_region]:[worldbank_region]],hbe[],10)</f>
        <v>0.25</v>
      </c>
    </row>
    <row r="79" spans="1:51" x14ac:dyDescent="0.35">
      <c r="A79" s="8" t="s">
        <v>205</v>
      </c>
      <c r="B79" s="10" t="s">
        <v>57</v>
      </c>
      <c r="C79" s="11" t="s">
        <v>58</v>
      </c>
      <c r="D79">
        <f>VLOOKUP(all_lmics181920[[Setting]:[Setting]],populations[],9,FALSE)</f>
        <v>108020</v>
      </c>
      <c r="E79">
        <f>VLOOKUP(all_lmics181920[[Setting]:[Setting]],birthrate[],3,FALSE)</f>
        <v>2.3982E-2</v>
      </c>
      <c r="F79">
        <f>all_lmics181920[[#This Row],[2017_population]]*all_lmics181920[[#This Row],[2016_birthrate]]</f>
        <v>2590.5356400000001</v>
      </c>
      <c r="G79">
        <f>MIN(VLOOKUP(all_lmics181920[[Setting]:[Setting]],birthdose[],4,FALSE)*1.05,0.9999)</f>
        <v>0.92400000000000004</v>
      </c>
      <c r="H79">
        <f>MIN(VLOOKUP(all_lmics181920[[Setting]:[Setting]],fullvax[],4,FALSE)*1.05,0.9999)</f>
        <v>0.85050000000000014</v>
      </c>
      <c r="I79">
        <f>IFERROR(VLOOKUP(all_lmics181920[[Setting]:[Setting]],prev[],3,FALSE),VLOOKUP(all_lmics181920[[who_choice_region]:[who_choice_region]],missing[],2,FALSE))</f>
        <v>6.2014367393849211E-2</v>
      </c>
      <c r="J79">
        <f>IFERROR(VLOOKUP(all_lmics181920[[Setting]:[Setting]],prev[],4,FALSE),VLOOKUP(all_lmics181920[[who_choice_region]:[who_choice_region]],missing[],3,FALSE))</f>
        <v>5.5830551219148553E-2</v>
      </c>
      <c r="K79">
        <f>IFERROR(VLOOKUP(all_lmics181920[[Setting]:[Setting]],prev[],5,FALSE),VLOOKUP(all_lmics181920[[who_choice_region]:[who_choice_region]],missing[],4,FALSE))</f>
        <v>7.0881613218274672E-2</v>
      </c>
      <c r="L79">
        <f>IFERROR(VLOOKUP(all_lmics181920[[Setting]:[Setting]],prev[],7,FALSE),VLOOKUP(all_lmics181920[[who_choice_region]:[who_choice_region]],missing[],5,FALSE))</f>
        <v>4.5241050124619608E-3</v>
      </c>
      <c r="M79">
        <f>IFERROR(VLOOKUP(all_lmics181920[[Setting]:[Setting]],prev[],6,FALSE),0)</f>
        <v>0</v>
      </c>
      <c r="N79">
        <f>MIN(IFERROR(VLOOKUP(all_lmics181920[[Setting]:[Setting]],SBA[],4,FALSE),VLOOKUP(all_lmics181920[[who_choice_region]:[who_choice_region]],missing[],6,FALSE))*1.05, 0.9999)</f>
        <v>0.99990000000000001</v>
      </c>
      <c r="O79">
        <f>MIN(IFERROR(VLOOKUP(all_lmics181920[[Setting]:[Setting]], facility[], 3,FALSE),VLOOKUP(all_lmics181920[[who_choice_region]:[who_choice_region]],missing[],7,FALSE))*1.05, 0.9999)</f>
        <v>0.99990000000000001</v>
      </c>
      <c r="P79">
        <f>IF(VLOOKUP(all_lmics181920[[Setting]:[Setting]],all_cause_mort[],4,FALSE)="",VLOOKUP(all_lmics181920[[who_choice_region]:[who_choice_region]],missing[],8,FALSE),VLOOKUP(all_lmics181920[[Setting]:[Setting]],all_cause_mort[],4,FALSE))*1.05</f>
        <v>1.3295052750000001E-2</v>
      </c>
      <c r="Q79">
        <f>IF(VLOOKUP(all_lmics181920[[Setting]:[Setting]],all_cause_mort[],5,FALSE)="",VLOOKUP(all_lmics181920[[who_choice_region]:[who_choice_region]],missing[],9,FALSE),VLOOKUP(all_lmics181920[[Setting]:[Setting]],all_cause_mort[],5,FALSE))*1.05</f>
        <v>8.2673815350000008E-4</v>
      </c>
      <c r="R79">
        <f>IF(VLOOKUP(all_lmics181920[[Setting]:[Setting]],all_cause_mort[],6,FALSE)="",VLOOKUP(all_lmics181920[[who_choice_region]:[who_choice_region]],missing[],10,FALSE),VLOOKUP(all_lmics181920[[Setting]:[Setting]],all_cause_mort[],6,FALSE))*1.05</f>
        <v>4.1843344200000003E-4</v>
      </c>
      <c r="S79">
        <f>IF(VLOOKUP(all_lmics181920[[Setting]:[Setting]],all_cause_mort[],7,FALSE)="",VLOOKUP(all_lmics181920[[who_choice_region]:[who_choice_region]],missing[],11,FALSE),VLOOKUP(all_lmics181920[[Setting]:[Setting]],all_cause_mort[],7,FALSE))*1.05</f>
        <v>3.9739221900000004E-4</v>
      </c>
      <c r="T79">
        <f>IF(VLOOKUP(all_lmics181920[[Setting]:[Setting]],all_cause_mort[],8,FALSE)="",VLOOKUP(all_lmics181920[[who_choice_region]:[who_choice_region]],missing[],12,FALSE),VLOOKUP(all_lmics181920[[Setting]:[Setting]],all_cause_mort[],8,FALSE))*1.05</f>
        <v>9.9418457250000005E-4</v>
      </c>
      <c r="U79">
        <f>IF(VLOOKUP(all_lmics181920[[Setting]:[Setting]],all_cause_mort[],9,FALSE)="",VLOOKUP(all_lmics181920[[who_choice_region]:[who_choice_region]],missing[],13,FALSE),VLOOKUP(all_lmics181920[[Setting]:[Setting]],all_cause_mort[],9,FALSE))*1.05</f>
        <v>1.4466667950000002E-3</v>
      </c>
      <c r="V79">
        <f>IF(VLOOKUP(all_lmics181920[[Setting]:[Setting]],all_cause_mort[],10,FALSE)="",VLOOKUP(all_lmics181920[[who_choice_region]:[who_choice_region]],missing[],14,FALSE),VLOOKUP(all_lmics181920[[Setting]:[Setting]],all_cause_mort[],10,FALSE))*1.05</f>
        <v>1.5838925550000001E-3</v>
      </c>
      <c r="W79">
        <f>IF(VLOOKUP(all_lmics181920[[Setting]:[Setting]],all_cause_mort[],11,FALSE)="",VLOOKUP(all_lmics181920[[who_choice_region]:[who_choice_region]],missing[],15,FALSE),VLOOKUP(all_lmics181920[[Setting]:[Setting]],all_cause_mort[],11,FALSE))*1.05</f>
        <v>1.8948801900000002E-3</v>
      </c>
      <c r="X79">
        <f>IF(VLOOKUP(all_lmics181920[[Setting]:[Setting]],all_cause_mort[],12,FALSE)="",VLOOKUP(all_lmics181920[[who_choice_region]:[who_choice_region]],missing[],16,FALSE),VLOOKUP(all_lmics181920[[Setting]:[Setting]],all_cause_mort[],12,FALSE))*1.05</f>
        <v>2.5575908399999999E-3</v>
      </c>
      <c r="Y79">
        <f>IF(VLOOKUP(all_lmics181920[[Setting]:[Setting]],all_cause_mort[],13,FALSE)="",VLOOKUP(all_lmics181920[[who_choice_region]:[who_choice_region]],missing[],17,FALSE),VLOOKUP(all_lmics181920[[Setting]:[Setting]],all_cause_mort[],13,FALSE))*1.05</f>
        <v>3.6849252299999999E-3</v>
      </c>
      <c r="Z79">
        <f>IF(VLOOKUP(all_lmics181920[[Setting]:[Setting]],all_cause_mort[],14,FALSE)="",VLOOKUP(all_lmics181920[[who_choice_region]:[who_choice_region]],missing[],18,FALSE),VLOOKUP(all_lmics181920[[Setting]:[Setting]],all_cause_mort[],14,FALSE))*1.05</f>
        <v>5.5614044850000001E-3</v>
      </c>
      <c r="AA79">
        <f>IF(VLOOKUP(all_lmics181920[[Setting]:[Setting]],all_cause_mort[],15,FALSE)="",VLOOKUP(all_lmics181920[[who_choice_region]:[who_choice_region]],missing[],19,FALSE),VLOOKUP(all_lmics181920[[Setting]:[Setting]],all_cause_mort[],15,FALSE))*1.05</f>
        <v>8.4602219100000011E-3</v>
      </c>
      <c r="AB79">
        <f>IF(VLOOKUP(all_lmics181920[[Setting]:[Setting]],all_cause_mort[],16,FALSE)="",VLOOKUP(all_lmics181920[[who_choice_region]:[who_choice_region]],missing[],20,FALSE),VLOOKUP(all_lmics181920[[Setting]:[Setting]],all_cause_mort[],16,FALSE))*1.05</f>
        <v>1.26062706E-2</v>
      </c>
      <c r="AC79">
        <f>IF(VLOOKUP(all_lmics181920[[Setting]:[Setting]],all_cause_mort[],17,FALSE)="",VLOOKUP(all_lmics181920[[who_choice_region]:[who_choice_region]],missing[],21,FALSE),VLOOKUP(all_lmics181920[[Setting]:[Setting]],all_cause_mort[],17,FALSE))*1.05</f>
        <v>2.0335355249999999E-2</v>
      </c>
      <c r="AD79">
        <f>IF(VLOOKUP(all_lmics181920[[Setting]:[Setting]],all_cause_mort[],18,FALSE)="",VLOOKUP(all_lmics181920[[who_choice_region]:[who_choice_region]],missing[],22,FALSE),VLOOKUP(all_lmics181920[[Setting]:[Setting]],all_cause_mort[],18,FALSE))*1.05</f>
        <v>3.3301478700000005E-2</v>
      </c>
      <c r="AE79">
        <f>IF(VLOOKUP(all_lmics181920[[Setting]:[Setting]],all_cause_mort[],19,FALSE)="",VLOOKUP(all_lmics181920[[who_choice_region]:[who_choice_region]],missing[],23,FALSE),VLOOKUP(all_lmics181920[[Setting]:[Setting]],all_cause_mort[],19,FALSE))*1.05</f>
        <v>5.3979482550000006E-2</v>
      </c>
      <c r="AF79">
        <f>IF(VLOOKUP(all_lmics181920[[Setting]:[Setting]],all_cause_mort[],20,FALSE)="",VLOOKUP(all_lmics181920[[who_choice_region]:[who_choice_region]],missing[],24,FALSE),VLOOKUP(all_lmics181920[[Setting]:[Setting]],all_cause_mort[],20,FALSE))*1.05</f>
        <v>8.7052992600000004E-2</v>
      </c>
      <c r="AG79">
        <f>IF(VLOOKUP(all_lmics181920[[Setting]:[Setting]],all_cause_mort[],21,FALSE)="",VLOOKUP(all_lmics181920[[who_choice_region]:[who_choice_region]],missing[],25,FALSE),VLOOKUP(all_lmics181920[[Setting]:[Setting]],all_cause_mort[],21,FALSE))*1.05</f>
        <v>0.14075321400000002</v>
      </c>
      <c r="AH79">
        <f>IF(VLOOKUP(all_lmics181920[[Setting]:[Setting]],all_cause_mort[],22,FALSE)="",VLOOKUP(all_lmics181920[[who_choice_region]:[who_choice_region]],missing[],26,FALSE),VLOOKUP(all_lmics181920[[Setting]:[Setting]],all_cause_mort[],22,FALSE))*1.05</f>
        <v>0.22433245800000001</v>
      </c>
      <c r="AI79">
        <f>IF(VLOOKUP(all_lmics181920[[Setting]:[Setting]],all_cause_mort[],23,FALSE)="",VLOOKUP(all_lmics181920[[who_choice_region]:[who_choice_region]],missing[],27,FALSE),VLOOKUP(all_lmics181920[[Setting]:[Setting]],all_cause_mort[],23,FALSE))*1.05</f>
        <v>0.33982976999999998</v>
      </c>
      <c r="AJ79">
        <f>IF(VLOOKUP(all_lmics181920[[Setting]:[Setting]],all_cause_mort[],24,FALSE)="",VLOOKUP(all_lmics181920[[who_choice_region]:[who_choice_region]],missing[],28,FALSE),VLOOKUP(all_lmics181920[[Setting]:[Setting]],all_cause_mort[],24,FALSE))*1.05</f>
        <v>0.48267109800000008</v>
      </c>
      <c r="AK79">
        <f>IF(VLOOKUP(all_lmics181920[[Setting]:[Setting]],all_cause_mort[],25,FALSE)="",VLOOKUP(all_lmics181920[[who_choice_region]:[who_choice_region]],missing[],29,FALSE),VLOOKUP(all_lmics181920[[Setting]:[Setting]],all_cause_mort[],25,FALSE))*1.05</f>
        <v>0.64075811082295953</v>
      </c>
      <c r="AL79">
        <f>VLOOKUP(all_lmics181920[[worldbank_region]:[worldbank_region]],Table13[],2,FALSE)*1.05</f>
        <v>76.717604249999994</v>
      </c>
      <c r="AM79">
        <f>VLOOKUP(all_lmics181920[[worldbank_region]:[worldbank_region]],Table13[],3,FALSE)*1.05</f>
        <v>76.717604249999994</v>
      </c>
      <c r="AN79">
        <f>VLOOKUP(all_lmics181920[[worldbank_region]:[worldbank_region]],Table13[],4,FALSE)*1.05</f>
        <v>126.83290724999999</v>
      </c>
      <c r="AO79">
        <f>VLOOKUP(all_lmics181920[[worldbank_region]:[worldbank_region]],Table13[],5,FALSE)*1.05</f>
        <v>126.83290724999999</v>
      </c>
      <c r="AP79">
        <f>VLOOKUP(all_lmics181920[[worldbank_region]:[worldbank_region]],Table13[],6,FALSE)*1.05</f>
        <v>126.83290724999999</v>
      </c>
      <c r="AQ79">
        <f>VLOOKUP(all_lmics181920[[worldbank_region]:[worldbank_region]],Table14[],2,FALSE)*1.05</f>
        <v>1.4073045</v>
      </c>
      <c r="AR79">
        <f>VLOOKUP(all_lmics181920[[worldbank_region]:[worldbank_region]],Table14[],3,FALSE)*1.05</f>
        <v>2.0556795000000001</v>
      </c>
      <c r="AS79">
        <f>VLOOKUP(all_lmics181920[[worldbank_region]:[worldbank_region]],Table14[],4,FALSE)*1.05</f>
        <v>2.0709317999999999</v>
      </c>
      <c r="AT79">
        <f>VLOOKUP(all_lmics181920[[worldbank_region]:[worldbank_region]],Table14[],5,FALSE)*1.05</f>
        <v>2.7193068</v>
      </c>
      <c r="AU79">
        <f>VLOOKUP(all_lmics181920[[worldbank_region]:[worldbank_region]],Table14[],6,FALSE)*1.05</f>
        <v>3.3180714</v>
      </c>
      <c r="AV79">
        <f>MIN(IFERROR(VLOOKUP(all_lmics181920[[Setting]:[Setting]],nFacSBA[],4,FALSE),VLOOKUP(all_lmics181920[[who_choice_region]:[who_choice_region]],missing[],30,FALSE))*1.05, 0.9999)</f>
        <v>0.16784953724039575</v>
      </c>
      <c r="AW79">
        <f>VLOOKUP(all_lmics181920[[worldbank_region]:[worldbank_region]],hbe[],4)</f>
        <v>0.5</v>
      </c>
      <c r="AX79">
        <f>VLOOKUP(all_lmics181920[[worldbank_region]:[worldbank_region]],hbe[],7)</f>
        <v>1</v>
      </c>
      <c r="AY79">
        <f>VLOOKUP(all_lmics181920[[worldbank_region]:[worldbank_region]],hbe[],10)</f>
        <v>0.25</v>
      </c>
    </row>
    <row r="80" spans="1:51" x14ac:dyDescent="0.35">
      <c r="A80" s="8" t="s">
        <v>207</v>
      </c>
      <c r="B80" s="10" t="s">
        <v>33</v>
      </c>
      <c r="C80" s="11" t="s">
        <v>7</v>
      </c>
      <c r="D80">
        <f>VLOOKUP(all_lmics181920[[Setting]:[Setting]],populations[],9,FALSE)</f>
        <v>11532127</v>
      </c>
      <c r="E80">
        <f>VLOOKUP(all_lmics181920[[Setting]:[Setting]],birthrate[],3,FALSE)</f>
        <v>1.8295000000000002E-2</v>
      </c>
      <c r="F80">
        <f>all_lmics181920[[#This Row],[2017_population]]*all_lmics181920[[#This Row],[2016_birthrate]]</f>
        <v>210980.26346500003</v>
      </c>
      <c r="G80">
        <f>MIN(VLOOKUP(all_lmics181920[[Setting]:[Setting]],birthdose[],4,FALSE)*1.05,0.9999)</f>
        <v>0.87149999999999994</v>
      </c>
      <c r="H80">
        <f>MIN(VLOOKUP(all_lmics181920[[Setting]:[Setting]],fullvax[],4,FALSE)*1.05,0.9999)</f>
        <v>0.99990000000000001</v>
      </c>
      <c r="I80">
        <f>IFERROR(VLOOKUP(all_lmics181920[[Setting]:[Setting]],prev[],3,FALSE),VLOOKUP(all_lmics181920[[who_choice_region]:[who_choice_region]],missing[],2,FALSE))</f>
        <v>3.9E-2</v>
      </c>
      <c r="J80">
        <f>IFERROR(VLOOKUP(all_lmics181920[[Setting]:[Setting]],prev[],4,FALSE),VLOOKUP(all_lmics181920[[who_choice_region]:[who_choice_region]],missing[],3,FALSE))</f>
        <v>3.5999999999999997E-2</v>
      </c>
      <c r="K80">
        <f>IFERROR(VLOOKUP(all_lmics181920[[Setting]:[Setting]],prev[],5,FALSE),VLOOKUP(all_lmics181920[[who_choice_region]:[who_choice_region]],missing[],4,FALSE))</f>
        <v>4.2000000000000003E-2</v>
      </c>
      <c r="L80">
        <f>IFERROR(VLOOKUP(all_lmics181920[[Setting]:[Setting]],prev[],7,FALSE),VLOOKUP(all_lmics181920[[who_choice_region]:[who_choice_region]],missing[],5,FALSE))</f>
        <v>1.5306122448979606E-3</v>
      </c>
      <c r="M80">
        <f>IFERROR(VLOOKUP(all_lmics181920[[Setting]:[Setting]],prev[],6,FALSE),0)</f>
        <v>11532127</v>
      </c>
      <c r="N80">
        <f>MIN(IFERROR(VLOOKUP(all_lmics181920[[Setting]:[Setting]],SBA[],4,FALSE),VLOOKUP(all_lmics181920[[who_choice_region]:[who_choice_region]],missing[],6,FALSE))*1.05, 0.9999)</f>
        <v>0.77280000000000004</v>
      </c>
      <c r="O80">
        <f>MIN(IFERROR(VLOOKUP(all_lmics181920[[Setting]:[Setting]], facility[], 3,FALSE),VLOOKUP(all_lmics181920[[who_choice_region]:[who_choice_region]],missing[],7,FALSE))*1.05, 0.9999)</f>
        <v>0.99990000000000001</v>
      </c>
      <c r="P80">
        <f>IF(VLOOKUP(all_lmics181920[[Setting]:[Setting]],all_cause_mort[],4,FALSE)="",VLOOKUP(all_lmics181920[[who_choice_region]:[who_choice_region]],missing[],8,FALSE),VLOOKUP(all_lmics181920[[Setting]:[Setting]],all_cause_mort[],4,FALSE))*1.05</f>
        <v>1.34680623E-2</v>
      </c>
      <c r="Q80">
        <f>IF(VLOOKUP(all_lmics181920[[Setting]:[Setting]],all_cause_mort[],5,FALSE)="",VLOOKUP(all_lmics181920[[who_choice_region]:[who_choice_region]],missing[],9,FALSE),VLOOKUP(all_lmics181920[[Setting]:[Setting]],all_cause_mort[],5,FALSE))*1.05</f>
        <v>2.0618924550000001E-4</v>
      </c>
      <c r="R80">
        <f>IF(VLOOKUP(all_lmics181920[[Setting]:[Setting]],all_cause_mort[],6,FALSE)="",VLOOKUP(all_lmics181920[[who_choice_region]:[who_choice_region]],missing[],10,FALSE),VLOOKUP(all_lmics181920[[Setting]:[Setting]],all_cause_mort[],6,FALSE))*1.05</f>
        <v>1.5260574000000002E-4</v>
      </c>
      <c r="S80">
        <f>IF(VLOOKUP(all_lmics181920[[Setting]:[Setting]],all_cause_mort[],7,FALSE)="",VLOOKUP(all_lmics181920[[who_choice_region]:[who_choice_region]],missing[],11,FALSE),VLOOKUP(all_lmics181920[[Setting]:[Setting]],all_cause_mort[],7,FALSE))*1.05</f>
        <v>2.5810729350000001E-4</v>
      </c>
      <c r="T80">
        <f>IF(VLOOKUP(all_lmics181920[[Setting]:[Setting]],all_cause_mort[],8,FALSE)="",VLOOKUP(all_lmics181920[[who_choice_region]:[who_choice_region]],missing[],12,FALSE),VLOOKUP(all_lmics181920[[Setting]:[Setting]],all_cause_mort[],8,FALSE))*1.05</f>
        <v>3.8827180350000002E-4</v>
      </c>
      <c r="U80">
        <f>IF(VLOOKUP(all_lmics181920[[Setting]:[Setting]],all_cause_mort[],9,FALSE)="",VLOOKUP(all_lmics181920[[who_choice_region]:[who_choice_region]],missing[],13,FALSE),VLOOKUP(all_lmics181920[[Setting]:[Setting]],all_cause_mort[],9,FALSE))*1.05</f>
        <v>5.2792937400000003E-4</v>
      </c>
      <c r="V80">
        <f>IF(VLOOKUP(all_lmics181920[[Setting]:[Setting]],all_cause_mort[],10,FALSE)="",VLOOKUP(all_lmics181920[[who_choice_region]:[who_choice_region]],missing[],14,FALSE),VLOOKUP(all_lmics181920[[Setting]:[Setting]],all_cause_mort[],10,FALSE))*1.05</f>
        <v>5.9961802949999999E-4</v>
      </c>
      <c r="W80">
        <f>IF(VLOOKUP(all_lmics181920[[Setting]:[Setting]],all_cause_mort[],11,FALSE)="",VLOOKUP(all_lmics181920[[who_choice_region]:[who_choice_region]],missing[],15,FALSE),VLOOKUP(all_lmics181920[[Setting]:[Setting]],all_cause_mort[],11,FALSE))*1.05</f>
        <v>7.0329063000000005E-4</v>
      </c>
      <c r="X80">
        <f>IF(VLOOKUP(all_lmics181920[[Setting]:[Setting]],all_cause_mort[],12,FALSE)="",VLOOKUP(all_lmics181920[[who_choice_region]:[who_choice_region]],missing[],16,FALSE),VLOOKUP(all_lmics181920[[Setting]:[Setting]],all_cause_mort[],12,FALSE))*1.05</f>
        <v>9.882223470000001E-4</v>
      </c>
      <c r="Y80">
        <f>IF(VLOOKUP(all_lmics181920[[Setting]:[Setting]],all_cause_mort[],13,FALSE)="",VLOOKUP(all_lmics181920[[who_choice_region]:[who_choice_region]],missing[],17,FALSE),VLOOKUP(all_lmics181920[[Setting]:[Setting]],all_cause_mort[],13,FALSE))*1.05</f>
        <v>1.575917175E-3</v>
      </c>
      <c r="Z80">
        <f>IF(VLOOKUP(all_lmics181920[[Setting]:[Setting]],all_cause_mort[],14,FALSE)="",VLOOKUP(all_lmics181920[[who_choice_region]:[who_choice_region]],missing[],18,FALSE),VLOOKUP(all_lmics181920[[Setting]:[Setting]],all_cause_mort[],14,FALSE))*1.05</f>
        <v>2.5955022450000003E-3</v>
      </c>
      <c r="AA80">
        <f>IF(VLOOKUP(all_lmics181920[[Setting]:[Setting]],all_cause_mort[],15,FALSE)="",VLOOKUP(all_lmics181920[[who_choice_region]:[who_choice_region]],missing[],19,FALSE),VLOOKUP(all_lmics181920[[Setting]:[Setting]],all_cause_mort[],15,FALSE))*1.05</f>
        <v>4.4681347200000001E-3</v>
      </c>
      <c r="AB80">
        <f>IF(VLOOKUP(all_lmics181920[[Setting]:[Setting]],all_cause_mort[],16,FALSE)="",VLOOKUP(all_lmics181920[[who_choice_region]:[who_choice_region]],missing[],20,FALSE),VLOOKUP(all_lmics181920[[Setting]:[Setting]],all_cause_mort[],16,FALSE))*1.05</f>
        <v>7.5315088800000001E-3</v>
      </c>
      <c r="AC80">
        <f>IF(VLOOKUP(all_lmics181920[[Setting]:[Setting]],all_cause_mort[],17,FALSE)="",VLOOKUP(all_lmics181920[[who_choice_region]:[who_choice_region]],missing[],21,FALSE),VLOOKUP(all_lmics181920[[Setting]:[Setting]],all_cause_mort[],17,FALSE))*1.05</f>
        <v>1.2292106399999999E-2</v>
      </c>
      <c r="AD80">
        <f>IF(VLOOKUP(all_lmics181920[[Setting]:[Setting]],all_cause_mort[],18,FALSE)="",VLOOKUP(all_lmics181920[[who_choice_region]:[who_choice_region]],missing[],22,FALSE),VLOOKUP(all_lmics181920[[Setting]:[Setting]],all_cause_mort[],18,FALSE))*1.05</f>
        <v>1.976502045E-2</v>
      </c>
      <c r="AE80">
        <f>IF(VLOOKUP(all_lmics181920[[Setting]:[Setting]],all_cause_mort[],19,FALSE)="",VLOOKUP(all_lmics181920[[who_choice_region]:[who_choice_region]],missing[],23,FALSE),VLOOKUP(all_lmics181920[[Setting]:[Setting]],all_cause_mort[],19,FALSE))*1.05</f>
        <v>3.499760985E-2</v>
      </c>
      <c r="AF80">
        <f>IF(VLOOKUP(all_lmics181920[[Setting]:[Setting]],all_cause_mort[],20,FALSE)="",VLOOKUP(all_lmics181920[[who_choice_region]:[who_choice_region]],missing[],24,FALSE),VLOOKUP(all_lmics181920[[Setting]:[Setting]],all_cause_mort[],20,FALSE))*1.05</f>
        <v>6.1826959950000003E-2</v>
      </c>
      <c r="AG80">
        <f>IF(VLOOKUP(all_lmics181920[[Setting]:[Setting]],all_cause_mort[],21,FALSE)="",VLOOKUP(all_lmics181920[[who_choice_region]:[who_choice_region]],missing[],25,FALSE),VLOOKUP(all_lmics181920[[Setting]:[Setting]],all_cause_mort[],21,FALSE))*1.05</f>
        <v>0.1055290005</v>
      </c>
      <c r="AH80">
        <f>IF(VLOOKUP(all_lmics181920[[Setting]:[Setting]],all_cause_mort[],22,FALSE)="",VLOOKUP(all_lmics181920[[who_choice_region]:[who_choice_region]],missing[],26,FALSE),VLOOKUP(all_lmics181920[[Setting]:[Setting]],all_cause_mort[],22,FALSE))*1.05</f>
        <v>0.17114175750000002</v>
      </c>
      <c r="AI80">
        <f>IF(VLOOKUP(all_lmics181920[[Setting]:[Setting]],all_cause_mort[],23,FALSE)="",VLOOKUP(all_lmics181920[[who_choice_region]:[who_choice_region]],missing[],27,FALSE),VLOOKUP(all_lmics181920[[Setting]:[Setting]],all_cause_mort[],23,FALSE))*1.05</f>
        <v>0.25832784600000003</v>
      </c>
      <c r="AJ80">
        <f>IF(VLOOKUP(all_lmics181920[[Setting]:[Setting]],all_cause_mort[],24,FALSE)="",VLOOKUP(all_lmics181920[[who_choice_region]:[who_choice_region]],missing[],28,FALSE),VLOOKUP(all_lmics181920[[Setting]:[Setting]],all_cause_mort[],24,FALSE))*1.05</f>
        <v>0.36084984599999997</v>
      </c>
      <c r="AK80">
        <f>IF(VLOOKUP(all_lmics181920[[Setting]:[Setting]],all_cause_mort[],25,FALSE)="",VLOOKUP(all_lmics181920[[who_choice_region]:[who_choice_region]],missing[],29,FALSE),VLOOKUP(all_lmics181920[[Setting]:[Setting]],all_cause_mort[],25,FALSE))*1.05</f>
        <v>0.51133605243989833</v>
      </c>
      <c r="AL80">
        <f>VLOOKUP(all_lmics181920[[worldbank_region]:[worldbank_region]],Table13[],2,FALSE)*1.05</f>
        <v>60.801990899999993</v>
      </c>
      <c r="AM80">
        <f>VLOOKUP(all_lmics181920[[worldbank_region]:[worldbank_region]],Table13[],3,FALSE)*1.05</f>
        <v>60.801990899999993</v>
      </c>
      <c r="AN80">
        <f>VLOOKUP(all_lmics181920[[worldbank_region]:[worldbank_region]],Table13[],4,FALSE)*1.05</f>
        <v>110.91729389999999</v>
      </c>
      <c r="AO80">
        <f>VLOOKUP(all_lmics181920[[worldbank_region]:[worldbank_region]],Table13[],5,FALSE)*1.05</f>
        <v>110.91729389999999</v>
      </c>
      <c r="AP80">
        <f>VLOOKUP(all_lmics181920[[worldbank_region]:[worldbank_region]],Table13[],6,FALSE)*1.05</f>
        <v>110.91729389999999</v>
      </c>
      <c r="AQ80">
        <f>VLOOKUP(all_lmics181920[[worldbank_region]:[worldbank_region]],Table14[],2,FALSE)*1.05</f>
        <v>1.57893225</v>
      </c>
      <c r="AR80">
        <f>VLOOKUP(all_lmics181920[[worldbank_region]:[worldbank_region]],Table14[],3,FALSE)*1.05</f>
        <v>2.22730725</v>
      </c>
      <c r="AS80">
        <f>VLOOKUP(all_lmics181920[[worldbank_region]:[worldbank_region]],Table14[],4,FALSE)*1.05</f>
        <v>2.0823736500000001</v>
      </c>
      <c r="AT80">
        <f>VLOOKUP(all_lmics181920[[worldbank_region]:[worldbank_region]],Table14[],5,FALSE)*1.05</f>
        <v>2.7307486499999998</v>
      </c>
      <c r="AU80">
        <f>VLOOKUP(all_lmics181920[[worldbank_region]:[worldbank_region]],Table14[],6,FALSE)*1.05</f>
        <v>3.3295132499999998</v>
      </c>
      <c r="AV80">
        <f>MIN(IFERROR(VLOOKUP(all_lmics181920[[Setting]:[Setting]],nFacSBA[],4,FALSE),VLOOKUP(all_lmics181920[[who_choice_region]:[who_choice_region]],missing[],30,FALSE))*1.05, 0.9999)</f>
        <v>8.9259789557805017E-2</v>
      </c>
      <c r="AW80">
        <f>VLOOKUP(all_lmics181920[[worldbank_region]:[worldbank_region]],hbe[],4)</f>
        <v>0.5</v>
      </c>
      <c r="AX80">
        <f>VLOOKUP(all_lmics181920[[worldbank_region]:[worldbank_region]],hbe[],7)</f>
        <v>1</v>
      </c>
      <c r="AY80">
        <f>VLOOKUP(all_lmics181920[[worldbank_region]:[worldbank_region]],hbe[],10)</f>
        <v>0.25</v>
      </c>
    </row>
    <row r="81" spans="1:51" x14ac:dyDescent="0.35">
      <c r="A81" s="12" t="s">
        <v>208</v>
      </c>
      <c r="B81" s="13" t="s">
        <v>10</v>
      </c>
      <c r="C81" s="14" t="s">
        <v>11</v>
      </c>
      <c r="D81">
        <f>VLOOKUP(all_lmics181920[[Setting]:[Setting]],populations[],9,FALSE)</f>
        <v>80745020</v>
      </c>
      <c r="E81">
        <f>VLOOKUP(all_lmics181920[[Setting]:[Setting]],birthrate[],3,FALSE)</f>
        <v>1.6240999999999998E-2</v>
      </c>
      <c r="F81">
        <f>all_lmics181920[[#This Row],[2017_population]]*all_lmics181920[[#This Row],[2016_birthrate]]</f>
        <v>1311379.8698199999</v>
      </c>
      <c r="G81">
        <f>MIN(VLOOKUP(all_lmics181920[[Setting]:[Setting]],birthdose[],4,FALSE)*1.05,0.9999)</f>
        <v>0.99990000000000001</v>
      </c>
      <c r="H81">
        <f>MIN(VLOOKUP(all_lmics181920[[Setting]:[Setting]],fullvax[],4,FALSE)*1.05,0.9999)</f>
        <v>0.99990000000000001</v>
      </c>
      <c r="I81">
        <f>IFERROR(VLOOKUP(all_lmics181920[[Setting]:[Setting]],prev[],3,FALSE),VLOOKUP(all_lmics181920[[who_choice_region]:[who_choice_region]],missing[],2,FALSE))</f>
        <v>2.5999999999999999E-2</v>
      </c>
      <c r="J81">
        <f>IFERROR(VLOOKUP(all_lmics181920[[Setting]:[Setting]],prev[],4,FALSE),VLOOKUP(all_lmics181920[[who_choice_region]:[who_choice_region]],missing[],3,FALSE))</f>
        <v>1.9E-2</v>
      </c>
      <c r="K81">
        <f>IFERROR(VLOOKUP(all_lmics181920[[Setting]:[Setting]],prev[],5,FALSE),VLOOKUP(all_lmics181920[[who_choice_region]:[who_choice_region]],missing[],4,FALSE))</f>
        <v>3.5000000000000003E-2</v>
      </c>
      <c r="L81">
        <f>IFERROR(VLOOKUP(all_lmics181920[[Setting]:[Setting]],prev[],7,FALSE),VLOOKUP(all_lmics181920[[who_choice_region]:[who_choice_region]],missing[],5,FALSE))</f>
        <v>4.5918367346938797E-3</v>
      </c>
      <c r="M81">
        <f>IFERROR(VLOOKUP(all_lmics181920[[Setting]:[Setting]],prev[],6,FALSE),0)</f>
        <v>80745020</v>
      </c>
      <c r="N81">
        <f>MIN(IFERROR(VLOOKUP(all_lmics181920[[Setting]:[Setting]],SBA[],4,FALSE),VLOOKUP(all_lmics181920[[who_choice_region]:[who_choice_region]],missing[],6,FALSE))*1.05, 0.9999)</f>
        <v>0.99990000000000001</v>
      </c>
      <c r="O81">
        <f>MIN(IFERROR(VLOOKUP(all_lmics181920[[Setting]:[Setting]], facility[], 3,FALSE),VLOOKUP(all_lmics181920[[who_choice_region]:[who_choice_region]],missing[],7,FALSE))*1.05, 0.9999)</f>
        <v>0.99990000000000001</v>
      </c>
      <c r="P81">
        <f>IF(VLOOKUP(all_lmics181920[[Setting]:[Setting]],all_cause_mort[],4,FALSE)="",VLOOKUP(all_lmics181920[[who_choice_region]:[who_choice_region]],missing[],8,FALSE),VLOOKUP(all_lmics181920[[Setting]:[Setting]],all_cause_mort[],4,FALSE))*1.05</f>
        <v>9.4246762050000012E-3</v>
      </c>
      <c r="Q81">
        <f>IF(VLOOKUP(all_lmics181920[[Setting]:[Setting]],all_cause_mort[],5,FALSE)="",VLOOKUP(all_lmics181920[[who_choice_region]:[who_choice_region]],missing[],9,FALSE),VLOOKUP(all_lmics181920[[Setting]:[Setting]],all_cause_mort[],5,FALSE))*1.05</f>
        <v>1.1548505849999998E-3</v>
      </c>
      <c r="R81">
        <f>IF(VLOOKUP(all_lmics181920[[Setting]:[Setting]],all_cause_mort[],6,FALSE)="",VLOOKUP(all_lmics181920[[who_choice_region]:[who_choice_region]],missing[],10,FALSE),VLOOKUP(all_lmics181920[[Setting]:[Setting]],all_cause_mort[],6,FALSE))*1.05</f>
        <v>7.1767788750000004E-4</v>
      </c>
      <c r="S81">
        <f>IF(VLOOKUP(all_lmics181920[[Setting]:[Setting]],all_cause_mort[],7,FALSE)="",VLOOKUP(all_lmics181920[[who_choice_region]:[who_choice_region]],missing[],11,FALSE),VLOOKUP(all_lmics181920[[Setting]:[Setting]],all_cause_mort[],7,FALSE))*1.05</f>
        <v>6.1297765200000001E-4</v>
      </c>
      <c r="T81">
        <f>IF(VLOOKUP(all_lmics181920[[Setting]:[Setting]],all_cause_mort[],8,FALSE)="",VLOOKUP(all_lmics181920[[who_choice_region]:[who_choice_region]],missing[],12,FALSE),VLOOKUP(all_lmics181920[[Setting]:[Setting]],all_cause_mort[],8,FALSE))*1.05</f>
        <v>7.2739912350000004E-4</v>
      </c>
      <c r="U81">
        <f>IF(VLOOKUP(all_lmics181920[[Setting]:[Setting]],all_cause_mort[],9,FALSE)="",VLOOKUP(all_lmics181920[[who_choice_region]:[who_choice_region]],missing[],13,FALSE),VLOOKUP(all_lmics181920[[Setting]:[Setting]],all_cause_mort[],9,FALSE))*1.05</f>
        <v>1.0113939780000002E-3</v>
      </c>
      <c r="V81">
        <f>IF(VLOOKUP(all_lmics181920[[Setting]:[Setting]],all_cause_mort[],10,FALSE)="",VLOOKUP(all_lmics181920[[who_choice_region]:[who_choice_region]],missing[],14,FALSE),VLOOKUP(all_lmics181920[[Setting]:[Setting]],all_cause_mort[],10,FALSE))*1.05</f>
        <v>1.236597285E-3</v>
      </c>
      <c r="W81">
        <f>IF(VLOOKUP(all_lmics181920[[Setting]:[Setting]],all_cause_mort[],11,FALSE)="",VLOOKUP(all_lmics181920[[who_choice_region]:[who_choice_region]],missing[],15,FALSE),VLOOKUP(all_lmics181920[[Setting]:[Setting]],all_cause_mort[],11,FALSE))*1.05</f>
        <v>1.4511001050000001E-3</v>
      </c>
      <c r="X81">
        <f>IF(VLOOKUP(all_lmics181920[[Setting]:[Setting]],all_cause_mort[],12,FALSE)="",VLOOKUP(all_lmics181920[[who_choice_region]:[who_choice_region]],missing[],16,FALSE),VLOOKUP(all_lmics181920[[Setting]:[Setting]],all_cause_mort[],12,FALSE))*1.05</f>
        <v>1.7207937600000002E-3</v>
      </c>
      <c r="Y81">
        <f>IF(VLOOKUP(all_lmics181920[[Setting]:[Setting]],all_cause_mort[],13,FALSE)="",VLOOKUP(all_lmics181920[[who_choice_region]:[who_choice_region]],missing[],17,FALSE),VLOOKUP(all_lmics181920[[Setting]:[Setting]],all_cause_mort[],13,FALSE))*1.05</f>
        <v>2.1140348250000001E-3</v>
      </c>
      <c r="Z81">
        <f>IF(VLOOKUP(all_lmics181920[[Setting]:[Setting]],all_cause_mort[],14,FALSE)="",VLOOKUP(all_lmics181920[[who_choice_region]:[who_choice_region]],missing[],18,FALSE),VLOOKUP(all_lmics181920[[Setting]:[Setting]],all_cause_mort[],14,FALSE))*1.05</f>
        <v>2.7369451200000001E-3</v>
      </c>
      <c r="AA81">
        <f>IF(VLOOKUP(all_lmics181920[[Setting]:[Setting]],all_cause_mort[],15,FALSE)="",VLOOKUP(all_lmics181920[[who_choice_region]:[who_choice_region]],missing[],19,FALSE),VLOOKUP(all_lmics181920[[Setting]:[Setting]],all_cause_mort[],15,FALSE))*1.05</f>
        <v>3.7415581350000002E-3</v>
      </c>
      <c r="AB81">
        <f>IF(VLOOKUP(all_lmics181920[[Setting]:[Setting]],all_cause_mort[],16,FALSE)="",VLOOKUP(all_lmics181920[[who_choice_region]:[who_choice_region]],missing[],20,FALSE),VLOOKUP(all_lmics181920[[Setting]:[Setting]],all_cause_mort[],16,FALSE))*1.05</f>
        <v>5.5639175550000006E-3</v>
      </c>
      <c r="AC81">
        <f>IF(VLOOKUP(all_lmics181920[[Setting]:[Setting]],all_cause_mort[],17,FALSE)="",VLOOKUP(all_lmics181920[[who_choice_region]:[who_choice_region]],missing[],21,FALSE),VLOOKUP(all_lmics181920[[Setting]:[Setting]],all_cause_mort[],17,FALSE))*1.05</f>
        <v>8.7128351100000008E-3</v>
      </c>
      <c r="AD81">
        <f>IF(VLOOKUP(all_lmics181920[[Setting]:[Setting]],all_cause_mort[],18,FALSE)="",VLOOKUP(all_lmics181920[[who_choice_region]:[who_choice_region]],missing[],22,FALSE),VLOOKUP(all_lmics181920[[Setting]:[Setting]],all_cause_mort[],18,FALSE))*1.05</f>
        <v>1.43536176E-2</v>
      </c>
      <c r="AE81">
        <f>IF(VLOOKUP(all_lmics181920[[Setting]:[Setting]],all_cause_mort[],19,FALSE)="",VLOOKUP(all_lmics181920[[who_choice_region]:[who_choice_region]],missing[],23,FALSE),VLOOKUP(all_lmics181920[[Setting]:[Setting]],all_cause_mort[],19,FALSE))*1.05</f>
        <v>2.6301667350000002E-2</v>
      </c>
      <c r="AF81">
        <f>IF(VLOOKUP(all_lmics181920[[Setting]:[Setting]],all_cause_mort[],20,FALSE)="",VLOOKUP(all_lmics181920[[who_choice_region]:[who_choice_region]],missing[],24,FALSE),VLOOKUP(all_lmics181920[[Setting]:[Setting]],all_cause_mort[],20,FALSE))*1.05</f>
        <v>4.8811515900000005E-2</v>
      </c>
      <c r="AG81">
        <f>IF(VLOOKUP(all_lmics181920[[Setting]:[Setting]],all_cause_mort[],21,FALSE)="",VLOOKUP(all_lmics181920[[who_choice_region]:[who_choice_region]],missing[],25,FALSE),VLOOKUP(all_lmics181920[[Setting]:[Setting]],all_cause_mort[],21,FALSE))*1.05</f>
        <v>8.7585808800000012E-2</v>
      </c>
      <c r="AH81">
        <f>IF(VLOOKUP(all_lmics181920[[Setting]:[Setting]],all_cause_mort[],22,FALSE)="",VLOOKUP(all_lmics181920[[who_choice_region]:[who_choice_region]],missing[],26,FALSE),VLOOKUP(all_lmics181920[[Setting]:[Setting]],all_cause_mort[],22,FALSE))*1.05</f>
        <v>0.14889899849999999</v>
      </c>
      <c r="AI81">
        <f>IF(VLOOKUP(all_lmics181920[[Setting]:[Setting]],all_cause_mort[],23,FALSE)="",VLOOKUP(all_lmics181920[[who_choice_region]:[who_choice_region]],missing[],27,FALSE),VLOOKUP(all_lmics181920[[Setting]:[Setting]],all_cause_mort[],23,FALSE))*1.05</f>
        <v>0.24008259450000002</v>
      </c>
      <c r="AJ81">
        <f>IF(VLOOKUP(all_lmics181920[[Setting]:[Setting]],all_cause_mort[],24,FALSE)="",VLOOKUP(all_lmics181920[[who_choice_region]:[who_choice_region]],missing[],28,FALSE),VLOOKUP(all_lmics181920[[Setting]:[Setting]],all_cause_mort[],24,FALSE))*1.05</f>
        <v>0.36488595149999997</v>
      </c>
      <c r="AK81">
        <f>IF(VLOOKUP(all_lmics181920[[Setting]:[Setting]],all_cause_mort[],25,FALSE)="",VLOOKUP(all_lmics181920[[who_choice_region]:[who_choice_region]],missing[],29,FALSE),VLOOKUP(all_lmics181920[[Setting]:[Setting]],all_cause_mort[],25,FALSE))*1.05</f>
        <v>0.49857770027189569</v>
      </c>
      <c r="AL81">
        <f>VLOOKUP(all_lmics181920[[worldbank_region]:[worldbank_region]],Table13[],2,FALSE)*1.05</f>
        <v>46.7513991</v>
      </c>
      <c r="AM81">
        <f>VLOOKUP(all_lmics181920[[worldbank_region]:[worldbank_region]],Table13[],3,FALSE)*1.05</f>
        <v>46.7513991</v>
      </c>
      <c r="AN81">
        <f>VLOOKUP(all_lmics181920[[worldbank_region]:[worldbank_region]],Table13[],4,FALSE)*1.05</f>
        <v>96.866702099999983</v>
      </c>
      <c r="AO81">
        <f>VLOOKUP(all_lmics181920[[worldbank_region]:[worldbank_region]],Table13[],5,FALSE)*1.05</f>
        <v>96.866702099999983</v>
      </c>
      <c r="AP81">
        <f>VLOOKUP(all_lmics181920[[worldbank_region]:[worldbank_region]],Table13[],6,FALSE)*1.05</f>
        <v>96.866702099999983</v>
      </c>
      <c r="AQ81">
        <f>VLOOKUP(all_lmics181920[[worldbank_region]:[worldbank_region]],Table14[],2,FALSE)*1.05</f>
        <v>6.7392065999999993</v>
      </c>
      <c r="AR81">
        <f>VLOOKUP(all_lmics181920[[worldbank_region]:[worldbank_region]],Table14[],3,FALSE)*1.05</f>
        <v>7.3875815999999999</v>
      </c>
      <c r="AS81">
        <f>VLOOKUP(all_lmics181920[[worldbank_region]:[worldbank_region]],Table14[],4,FALSE)*1.05</f>
        <v>11.007016649999999</v>
      </c>
      <c r="AT81">
        <f>VLOOKUP(all_lmics181920[[worldbank_region]:[worldbank_region]],Table14[],5,FALSE)*1.05</f>
        <v>11.65539165</v>
      </c>
      <c r="AU81">
        <f>VLOOKUP(all_lmics181920[[worldbank_region]:[worldbank_region]],Table14[],6,FALSE)*1.05</f>
        <v>12.254156249999999</v>
      </c>
      <c r="AV81">
        <f>MIN(IFERROR(VLOOKUP(all_lmics181920[[Setting]:[Setting]],nFacSBA[],4,FALSE),VLOOKUP(all_lmics181920[[who_choice_region]:[who_choice_region]],missing[],30,FALSE))*1.05, 0.9999)</f>
        <v>0.5602570271020012</v>
      </c>
      <c r="AW81">
        <f>VLOOKUP(all_lmics181920[[worldbank_region]:[worldbank_region]],hbe[],4)</f>
        <v>0.5</v>
      </c>
      <c r="AX81">
        <f>VLOOKUP(all_lmics181920[[worldbank_region]:[worldbank_region]],hbe[],7)</f>
        <v>1</v>
      </c>
      <c r="AY81">
        <f>VLOOKUP(all_lmics181920[[worldbank_region]:[worldbank_region]],hbe[],10)</f>
        <v>0.25</v>
      </c>
    </row>
    <row r="82" spans="1:51" x14ac:dyDescent="0.35">
      <c r="A82" s="8" t="s">
        <v>209</v>
      </c>
      <c r="B82" s="10" t="s">
        <v>10</v>
      </c>
      <c r="C82" s="11" t="s">
        <v>11</v>
      </c>
      <c r="D82">
        <f>VLOOKUP(all_lmics181920[[Setting]:[Setting]],populations[],9,FALSE)</f>
        <v>5758075</v>
      </c>
      <c r="E82">
        <f>VLOOKUP(all_lmics181920[[Setting]:[Setting]],birthrate[],3,FALSE)</f>
        <v>2.5373E-2</v>
      </c>
      <c r="F82">
        <f>all_lmics181920[[#This Row],[2017_population]]*all_lmics181920[[#This Row],[2016_birthrate]]</f>
        <v>146099.636975</v>
      </c>
      <c r="G82">
        <f>MIN(VLOOKUP(all_lmics181920[[Setting]:[Setting]],birthdose[],4,FALSE)*1.05,0.9999)</f>
        <v>0.99990000000000001</v>
      </c>
      <c r="H82">
        <f>MIN(VLOOKUP(all_lmics181920[[Setting]:[Setting]],fullvax[],4,FALSE)*1.05,0.9999)</f>
        <v>0.99990000000000001</v>
      </c>
      <c r="I82">
        <f>IFERROR(VLOOKUP(all_lmics181920[[Setting]:[Setting]],prev[],3,FALSE),VLOOKUP(all_lmics181920[[who_choice_region]:[who_choice_region]],missing[],2,FALSE))</f>
        <v>9.5000000000000001E-2</v>
      </c>
      <c r="J82">
        <f>IFERROR(VLOOKUP(all_lmics181920[[Setting]:[Setting]],prev[],4,FALSE),VLOOKUP(all_lmics181920[[who_choice_region]:[who_choice_region]],missing[],3,FALSE))</f>
        <v>8.6999999999999994E-2</v>
      </c>
      <c r="K82">
        <f>IFERROR(VLOOKUP(all_lmics181920[[Setting]:[Setting]],prev[],5,FALSE),VLOOKUP(all_lmics181920[[who_choice_region]:[who_choice_region]],missing[],4,FALSE))</f>
        <v>0.114</v>
      </c>
      <c r="L82">
        <f>IFERROR(VLOOKUP(all_lmics181920[[Setting]:[Setting]],prev[],7,FALSE),VLOOKUP(all_lmics181920[[who_choice_region]:[who_choice_region]],missing[],5,FALSE))</f>
        <v>9.6938775510204099E-3</v>
      </c>
      <c r="M82">
        <f>IFERROR(VLOOKUP(all_lmics181920[[Setting]:[Setting]],prev[],6,FALSE),0)</f>
        <v>5758075</v>
      </c>
      <c r="N82">
        <f>MIN(IFERROR(VLOOKUP(all_lmics181920[[Setting]:[Setting]],SBA[],4,FALSE),VLOOKUP(all_lmics181920[[who_choice_region]:[who_choice_region]],missing[],6,FALSE))*1.05, 0.9999)</f>
        <v>0.99990000000000001</v>
      </c>
      <c r="O82">
        <f>MIN(IFERROR(VLOOKUP(all_lmics181920[[Setting]:[Setting]], facility[], 3,FALSE),VLOOKUP(all_lmics181920[[who_choice_region]:[who_choice_region]],missing[],7,FALSE))*1.05, 0.9999)</f>
        <v>0.99990000000000001</v>
      </c>
      <c r="P82">
        <f>IF(VLOOKUP(all_lmics181920[[Setting]:[Setting]],all_cause_mort[],4,FALSE)="",VLOOKUP(all_lmics181920[[who_choice_region]:[who_choice_region]],missing[],8,FALSE),VLOOKUP(all_lmics181920[[Setting]:[Setting]],all_cause_mort[],4,FALSE))*1.05</f>
        <v>4.7167562400000002E-2</v>
      </c>
      <c r="Q82">
        <f>IF(VLOOKUP(all_lmics181920[[Setting]:[Setting]],all_cause_mort[],5,FALSE)="",VLOOKUP(all_lmics181920[[who_choice_region]:[who_choice_region]],missing[],9,FALSE),VLOOKUP(all_lmics181920[[Setting]:[Setting]],all_cause_mort[],5,FALSE))*1.05</f>
        <v>2.2482643049999999E-3</v>
      </c>
      <c r="R82">
        <f>IF(VLOOKUP(all_lmics181920[[Setting]:[Setting]],all_cause_mort[],6,FALSE)="",VLOOKUP(all_lmics181920[[who_choice_region]:[who_choice_region]],missing[],10,FALSE),VLOOKUP(all_lmics181920[[Setting]:[Setting]],all_cause_mort[],6,FALSE))*1.05</f>
        <v>4.0584634649999999E-4</v>
      </c>
      <c r="S82">
        <f>IF(VLOOKUP(all_lmics181920[[Setting]:[Setting]],all_cause_mort[],7,FALSE)="",VLOOKUP(all_lmics181920[[who_choice_region]:[who_choice_region]],missing[],11,FALSE),VLOOKUP(all_lmics181920[[Setting]:[Setting]],all_cause_mort[],7,FALSE))*1.05</f>
        <v>3.9782926050000003E-4</v>
      </c>
      <c r="T82">
        <f>IF(VLOOKUP(all_lmics181920[[Setting]:[Setting]],all_cause_mort[],8,FALSE)="",VLOOKUP(all_lmics181920[[who_choice_region]:[who_choice_region]],missing[],12,FALSE),VLOOKUP(all_lmics181920[[Setting]:[Setting]],all_cause_mort[],8,FALSE))*1.05</f>
        <v>9.1802995199999999E-4</v>
      </c>
      <c r="U82">
        <f>IF(VLOOKUP(all_lmics181920[[Setting]:[Setting]],all_cause_mort[],9,FALSE)="",VLOOKUP(all_lmics181920[[who_choice_region]:[who_choice_region]],missing[],13,FALSE),VLOOKUP(all_lmics181920[[Setting]:[Setting]],all_cause_mort[],9,FALSE))*1.05</f>
        <v>1.2311087250000002E-3</v>
      </c>
      <c r="V82">
        <f>IF(VLOOKUP(all_lmics181920[[Setting]:[Setting]],all_cause_mort[],10,FALSE)="",VLOOKUP(all_lmics181920[[who_choice_region]:[who_choice_region]],missing[],14,FALSE),VLOOKUP(all_lmics181920[[Setting]:[Setting]],all_cause_mort[],10,FALSE))*1.05</f>
        <v>1.5892836750000001E-3</v>
      </c>
      <c r="W82">
        <f>IF(VLOOKUP(all_lmics181920[[Setting]:[Setting]],all_cause_mort[],11,FALSE)="",VLOOKUP(all_lmics181920[[who_choice_region]:[who_choice_region]],missing[],15,FALSE),VLOOKUP(all_lmics181920[[Setting]:[Setting]],all_cause_mort[],11,FALSE))*1.05</f>
        <v>2.1724019100000003E-3</v>
      </c>
      <c r="X82">
        <f>IF(VLOOKUP(all_lmics181920[[Setting]:[Setting]],all_cause_mort[],12,FALSE)="",VLOOKUP(all_lmics181920[[who_choice_region]:[who_choice_region]],missing[],16,FALSE),VLOOKUP(all_lmics181920[[Setting]:[Setting]],all_cause_mort[],12,FALSE))*1.05</f>
        <v>3.075889005E-3</v>
      </c>
      <c r="Y82">
        <f>IF(VLOOKUP(all_lmics181920[[Setting]:[Setting]],all_cause_mort[],13,FALSE)="",VLOOKUP(all_lmics181920[[who_choice_region]:[who_choice_region]],missing[],17,FALSE),VLOOKUP(all_lmics181920[[Setting]:[Setting]],all_cause_mort[],13,FALSE))*1.05</f>
        <v>4.3527624000000006E-3</v>
      </c>
      <c r="Z82">
        <f>IF(VLOOKUP(all_lmics181920[[Setting]:[Setting]],all_cause_mort[],14,FALSE)="",VLOOKUP(all_lmics181920[[who_choice_region]:[who_choice_region]],missing[],18,FALSE),VLOOKUP(all_lmics181920[[Setting]:[Setting]],all_cause_mort[],14,FALSE))*1.05</f>
        <v>6.0631885650000005E-3</v>
      </c>
      <c r="AA82">
        <f>IF(VLOOKUP(all_lmics181920[[Setting]:[Setting]],all_cause_mort[],15,FALSE)="",VLOOKUP(all_lmics181920[[who_choice_region]:[who_choice_region]],missing[],19,FALSE),VLOOKUP(all_lmics181920[[Setting]:[Setting]],all_cause_mort[],15,FALSE))*1.05</f>
        <v>9.5939905950000008E-3</v>
      </c>
      <c r="AB82">
        <f>IF(VLOOKUP(all_lmics181920[[Setting]:[Setting]],all_cause_mort[],16,FALSE)="",VLOOKUP(all_lmics181920[[who_choice_region]:[who_choice_region]],missing[],20,FALSE),VLOOKUP(all_lmics181920[[Setting]:[Setting]],all_cause_mort[],16,FALSE))*1.05</f>
        <v>1.4238145950000001E-2</v>
      </c>
      <c r="AC82">
        <f>IF(VLOOKUP(all_lmics181920[[Setting]:[Setting]],all_cause_mort[],17,FALSE)="",VLOOKUP(all_lmics181920[[who_choice_region]:[who_choice_region]],missing[],21,FALSE),VLOOKUP(all_lmics181920[[Setting]:[Setting]],all_cause_mort[],17,FALSE))*1.05</f>
        <v>2.3949663150000002E-2</v>
      </c>
      <c r="AD82">
        <f>IF(VLOOKUP(all_lmics181920[[Setting]:[Setting]],all_cause_mort[],18,FALSE)="",VLOOKUP(all_lmics181920[[who_choice_region]:[who_choice_region]],missing[],22,FALSE),VLOOKUP(all_lmics181920[[Setting]:[Setting]],all_cause_mort[],18,FALSE))*1.05</f>
        <v>3.1343245499999998E-2</v>
      </c>
      <c r="AE82">
        <f>IF(VLOOKUP(all_lmics181920[[Setting]:[Setting]],all_cause_mort[],19,FALSE)="",VLOOKUP(all_lmics181920[[who_choice_region]:[who_choice_region]],missing[],23,FALSE),VLOOKUP(all_lmics181920[[Setting]:[Setting]],all_cause_mort[],19,FALSE))*1.05</f>
        <v>6.0179617050000002E-2</v>
      </c>
      <c r="AF82">
        <f>IF(VLOOKUP(all_lmics181920[[Setting]:[Setting]],all_cause_mort[],20,FALSE)="",VLOOKUP(all_lmics181920[[who_choice_region]:[who_choice_region]],missing[],24,FALSE),VLOOKUP(all_lmics181920[[Setting]:[Setting]],all_cause_mort[],20,FALSE))*1.05</f>
        <v>6.6544438800000008E-2</v>
      </c>
      <c r="AG82">
        <f>IF(VLOOKUP(all_lmics181920[[Setting]:[Setting]],all_cause_mort[],21,FALSE)="",VLOOKUP(all_lmics181920[[who_choice_region]:[who_choice_region]],missing[],25,FALSE),VLOOKUP(all_lmics181920[[Setting]:[Setting]],all_cause_mort[],21,FALSE))*1.05</f>
        <v>0.122052378</v>
      </c>
      <c r="AH82">
        <f>IF(VLOOKUP(all_lmics181920[[Setting]:[Setting]],all_cause_mort[],22,FALSE)="",VLOOKUP(all_lmics181920[[who_choice_region]:[who_choice_region]],missing[],26,FALSE),VLOOKUP(all_lmics181920[[Setting]:[Setting]],all_cause_mort[],22,FALSE))*1.05</f>
        <v>0.1840982115</v>
      </c>
      <c r="AI82">
        <f>IF(VLOOKUP(all_lmics181920[[Setting]:[Setting]],all_cause_mort[],23,FALSE)="",VLOOKUP(all_lmics181920[[who_choice_region]:[who_choice_region]],missing[],27,FALSE),VLOOKUP(all_lmics181920[[Setting]:[Setting]],all_cause_mort[],23,FALSE))*1.05</f>
        <v>0.26853840300000004</v>
      </c>
      <c r="AJ82">
        <f>IF(VLOOKUP(all_lmics181920[[Setting]:[Setting]],all_cause_mort[],24,FALSE)="",VLOOKUP(all_lmics181920[[who_choice_region]:[who_choice_region]],missing[],28,FALSE),VLOOKUP(all_lmics181920[[Setting]:[Setting]],all_cause_mort[],24,FALSE))*1.05</f>
        <v>0.37189325249999999</v>
      </c>
      <c r="AK82">
        <f>IF(VLOOKUP(all_lmics181920[[Setting]:[Setting]],all_cause_mort[],25,FALSE)="",VLOOKUP(all_lmics181920[[who_choice_region]:[who_choice_region]],missing[],29,FALSE),VLOOKUP(all_lmics181920[[Setting]:[Setting]],all_cause_mort[],25,FALSE))*1.05</f>
        <v>0.49274995867939597</v>
      </c>
      <c r="AL82">
        <f>VLOOKUP(all_lmics181920[[worldbank_region]:[worldbank_region]],Table13[],2,FALSE)*1.05</f>
        <v>46.7513991</v>
      </c>
      <c r="AM82">
        <f>VLOOKUP(all_lmics181920[[worldbank_region]:[worldbank_region]],Table13[],3,FALSE)*1.05</f>
        <v>46.7513991</v>
      </c>
      <c r="AN82">
        <f>VLOOKUP(all_lmics181920[[worldbank_region]:[worldbank_region]],Table13[],4,FALSE)*1.05</f>
        <v>96.866702099999983</v>
      </c>
      <c r="AO82">
        <f>VLOOKUP(all_lmics181920[[worldbank_region]:[worldbank_region]],Table13[],5,FALSE)*1.05</f>
        <v>96.866702099999983</v>
      </c>
      <c r="AP82">
        <f>VLOOKUP(all_lmics181920[[worldbank_region]:[worldbank_region]],Table13[],6,FALSE)*1.05</f>
        <v>96.866702099999983</v>
      </c>
      <c r="AQ82">
        <f>VLOOKUP(all_lmics181920[[worldbank_region]:[worldbank_region]],Table14[],2,FALSE)*1.05</f>
        <v>6.7392065999999993</v>
      </c>
      <c r="AR82">
        <f>VLOOKUP(all_lmics181920[[worldbank_region]:[worldbank_region]],Table14[],3,FALSE)*1.05</f>
        <v>7.3875815999999999</v>
      </c>
      <c r="AS82">
        <f>VLOOKUP(all_lmics181920[[worldbank_region]:[worldbank_region]],Table14[],4,FALSE)*1.05</f>
        <v>11.007016649999999</v>
      </c>
      <c r="AT82">
        <f>VLOOKUP(all_lmics181920[[worldbank_region]:[worldbank_region]],Table14[],5,FALSE)*1.05</f>
        <v>11.65539165</v>
      </c>
      <c r="AU82">
        <f>VLOOKUP(all_lmics181920[[worldbank_region]:[worldbank_region]],Table14[],6,FALSE)*1.05</f>
        <v>12.254156249999999</v>
      </c>
      <c r="AV82">
        <f>MIN(IFERROR(VLOOKUP(all_lmics181920[[Setting]:[Setting]],nFacSBA[],4,FALSE),VLOOKUP(all_lmics181920[[who_choice_region]:[who_choice_region]],missing[],30,FALSE))*1.05, 0.9999)</f>
        <v>0.5602570271020012</v>
      </c>
      <c r="AW82">
        <f>VLOOKUP(all_lmics181920[[worldbank_region]:[worldbank_region]],hbe[],4)</f>
        <v>0.5</v>
      </c>
      <c r="AX82">
        <f>VLOOKUP(all_lmics181920[[worldbank_region]:[worldbank_region]],hbe[],7)</f>
        <v>1</v>
      </c>
      <c r="AY82">
        <f>VLOOKUP(all_lmics181920[[worldbank_region]:[worldbank_region]],hbe[],10)</f>
        <v>0.25</v>
      </c>
    </row>
    <row r="83" spans="1:51" x14ac:dyDescent="0.35">
      <c r="A83" s="12" t="s">
        <v>210</v>
      </c>
      <c r="B83" s="13" t="s">
        <v>57</v>
      </c>
      <c r="C83" s="14" t="s">
        <v>58</v>
      </c>
      <c r="D83">
        <f>VLOOKUP(all_lmics181920[[Setting]:[Setting]],populations[],9,FALSE)</f>
        <v>11192</v>
      </c>
      <c r="E83">
        <f>VLOOKUP(all_lmics181920[[Setting]:[Setting]],birthrate[],3,FALSE)</f>
        <v>2.3699999999999999E-2</v>
      </c>
      <c r="F83">
        <f>all_lmics181920[[#This Row],[2017_population]]*all_lmics181920[[#This Row],[2016_birthrate]]</f>
        <v>265.25040000000001</v>
      </c>
      <c r="G83">
        <f>MIN(VLOOKUP(all_lmics181920[[Setting]:[Setting]],birthdose[],4,FALSE)*1.05,0.9999)</f>
        <v>0.99990000000000001</v>
      </c>
      <c r="H83">
        <f>MIN(VLOOKUP(all_lmics181920[[Setting]:[Setting]],fullvax[],4,FALSE)*1.05,0.9999)</f>
        <v>0.99990000000000001</v>
      </c>
      <c r="I83">
        <f>IFERROR(VLOOKUP(all_lmics181920[[Setting]:[Setting]],prev[],3,FALSE),VLOOKUP(all_lmics181920[[who_choice_region]:[who_choice_region]],missing[],2,FALSE))</f>
        <v>7.1400000000000005E-2</v>
      </c>
      <c r="J83">
        <f>IFERROR(VLOOKUP(all_lmics181920[[Setting]:[Setting]],prev[],4,FALSE),VLOOKUP(all_lmics181920[[who_choice_region]:[who_choice_region]],missing[],3,FALSE))</f>
        <v>1.7899999999999999E-2</v>
      </c>
      <c r="K83">
        <f>IFERROR(VLOOKUP(all_lmics181920[[Setting]:[Setting]],prev[],5,FALSE),VLOOKUP(all_lmics181920[[who_choice_region]:[who_choice_region]],missing[],4,FALSE))</f>
        <v>0.24479999999999999</v>
      </c>
      <c r="L83">
        <f>IFERROR(VLOOKUP(all_lmics181920[[Setting]:[Setting]],prev[],7,FALSE),VLOOKUP(all_lmics181920[[who_choice_region]:[who_choice_region]],missing[],5,FALSE))</f>
        <v>8.8469387755102047E-2</v>
      </c>
      <c r="M83">
        <f>IFERROR(VLOOKUP(all_lmics181920[[Setting]:[Setting]],prev[],6,FALSE),0)</f>
        <v>10531</v>
      </c>
      <c r="N83">
        <f>MIN(IFERROR(VLOOKUP(all_lmics181920[[Setting]:[Setting]],SBA[],4,FALSE),VLOOKUP(all_lmics181920[[who_choice_region]:[who_choice_region]],missing[],6,FALSE))*1.05, 0.9999)</f>
        <v>0.97755000000000003</v>
      </c>
      <c r="O83">
        <f>MIN(IFERROR(VLOOKUP(all_lmics181920[[Setting]:[Setting]], facility[], 3,FALSE),VLOOKUP(all_lmics181920[[who_choice_region]:[who_choice_region]],missing[],7,FALSE))*1.05, 0.9999)</f>
        <v>0.97650000000000015</v>
      </c>
      <c r="P83">
        <f>IF(VLOOKUP(all_lmics181920[[Setting]:[Setting]],all_cause_mort[],4,FALSE)="",VLOOKUP(all_lmics181920[[who_choice_region]:[who_choice_region]],missing[],8,FALSE),VLOOKUP(all_lmics181920[[Setting]:[Setting]],all_cause_mort[],4,FALSE))*1.05</f>
        <v>1.2780109291645556E-2</v>
      </c>
      <c r="Q83">
        <f>IF(VLOOKUP(all_lmics181920[[Setting]:[Setting]],all_cause_mort[],5,FALSE)="",VLOOKUP(all_lmics181920[[who_choice_region]:[who_choice_region]],missing[],9,FALSE),VLOOKUP(all_lmics181920[[Setting]:[Setting]],all_cause_mort[],5,FALSE))*1.05</f>
        <v>7.1786871319156546E-4</v>
      </c>
      <c r="R83">
        <f>IF(VLOOKUP(all_lmics181920[[Setting]:[Setting]],all_cause_mort[],6,FALSE)="",VLOOKUP(all_lmics181920[[who_choice_region]:[who_choice_region]],missing[],10,FALSE),VLOOKUP(all_lmics181920[[Setting]:[Setting]],all_cause_mort[],6,FALSE))*1.05</f>
        <v>4.0767642011616217E-4</v>
      </c>
      <c r="S83">
        <f>IF(VLOOKUP(all_lmics181920[[Setting]:[Setting]],all_cause_mort[],7,FALSE)="",VLOOKUP(all_lmics181920[[who_choice_region]:[who_choice_region]],missing[],11,FALSE),VLOOKUP(all_lmics181920[[Setting]:[Setting]],all_cause_mort[],7,FALSE))*1.05</f>
        <v>3.2205796455142674E-4</v>
      </c>
      <c r="T83">
        <f>IF(VLOOKUP(all_lmics181920[[Setting]:[Setting]],all_cause_mort[],8,FALSE)="",VLOOKUP(all_lmics181920[[who_choice_region]:[who_choice_region]],missing[],12,FALSE),VLOOKUP(all_lmics181920[[Setting]:[Setting]],all_cause_mort[],8,FALSE))*1.05</f>
        <v>5.1717609361841266E-4</v>
      </c>
      <c r="U83">
        <f>IF(VLOOKUP(all_lmics181920[[Setting]:[Setting]],all_cause_mort[],9,FALSE)="",VLOOKUP(all_lmics181920[[who_choice_region]:[who_choice_region]],missing[],13,FALSE),VLOOKUP(all_lmics181920[[Setting]:[Setting]],all_cause_mort[],9,FALSE))*1.05</f>
        <v>7.2047008642704062E-4</v>
      </c>
      <c r="V83">
        <f>IF(VLOOKUP(all_lmics181920[[Setting]:[Setting]],all_cause_mort[],10,FALSE)="",VLOOKUP(all_lmics181920[[who_choice_region]:[who_choice_region]],missing[],14,FALSE),VLOOKUP(all_lmics181920[[Setting]:[Setting]],all_cause_mort[],10,FALSE))*1.05</f>
        <v>8.9773041914274104E-4</v>
      </c>
      <c r="W83">
        <f>IF(VLOOKUP(all_lmics181920[[Setting]:[Setting]],all_cause_mort[],11,FALSE)="",VLOOKUP(all_lmics181920[[who_choice_region]:[who_choice_region]],missing[],15,FALSE),VLOOKUP(all_lmics181920[[Setting]:[Setting]],all_cause_mort[],11,FALSE))*1.05</f>
        <v>1.117932677212313E-3</v>
      </c>
      <c r="X83">
        <f>IF(VLOOKUP(all_lmics181920[[Setting]:[Setting]],all_cause_mort[],12,FALSE)="",VLOOKUP(all_lmics181920[[who_choice_region]:[who_choice_region]],missing[],16,FALSE),VLOOKUP(all_lmics181920[[Setting]:[Setting]],all_cause_mort[],12,FALSE))*1.05</f>
        <v>1.4391494293269772E-3</v>
      </c>
      <c r="Y83">
        <f>IF(VLOOKUP(all_lmics181920[[Setting]:[Setting]],all_cause_mort[],13,FALSE)="",VLOOKUP(all_lmics181920[[who_choice_region]:[who_choice_region]],missing[],17,FALSE),VLOOKUP(all_lmics181920[[Setting]:[Setting]],all_cause_mort[],13,FALSE))*1.05</f>
        <v>2.030563961456885E-3</v>
      </c>
      <c r="Z83">
        <f>IF(VLOOKUP(all_lmics181920[[Setting]:[Setting]],all_cause_mort[],14,FALSE)="",VLOOKUP(all_lmics181920[[who_choice_region]:[who_choice_region]],missing[],18,FALSE),VLOOKUP(all_lmics181920[[Setting]:[Setting]],all_cause_mort[],14,FALSE))*1.05</f>
        <v>2.98716710615395E-3</v>
      </c>
      <c r="AA83">
        <f>IF(VLOOKUP(all_lmics181920[[Setting]:[Setting]],all_cause_mort[],15,FALSE)="",VLOOKUP(all_lmics181920[[who_choice_region]:[who_choice_region]],missing[],19,FALSE),VLOOKUP(all_lmics181920[[Setting]:[Setting]],all_cause_mort[],15,FALSE))*1.05</f>
        <v>4.7667121398962051E-3</v>
      </c>
      <c r="AB83">
        <f>IF(VLOOKUP(all_lmics181920[[Setting]:[Setting]],all_cause_mort[],16,FALSE)="",VLOOKUP(all_lmics181920[[who_choice_region]:[who_choice_region]],missing[],20,FALSE),VLOOKUP(all_lmics181920[[Setting]:[Setting]],all_cause_mort[],16,FALSE))*1.05</f>
        <v>7.6571256051219394E-3</v>
      </c>
      <c r="AC83">
        <f>IF(VLOOKUP(all_lmics181920[[Setting]:[Setting]],all_cause_mort[],17,FALSE)="",VLOOKUP(all_lmics181920[[who_choice_region]:[who_choice_region]],missing[],21,FALSE),VLOOKUP(all_lmics181920[[Setting]:[Setting]],all_cause_mort[],17,FALSE))*1.05</f>
        <v>1.3051511733110725E-2</v>
      </c>
      <c r="AD83">
        <f>IF(VLOOKUP(all_lmics181920[[Setting]:[Setting]],all_cause_mort[],18,FALSE)="",VLOOKUP(all_lmics181920[[who_choice_region]:[who_choice_region]],missing[],22,FALSE),VLOOKUP(all_lmics181920[[Setting]:[Setting]],all_cause_mort[],18,FALSE))*1.05</f>
        <v>2.2286484744731251E-2</v>
      </c>
      <c r="AE83">
        <f>IF(VLOOKUP(all_lmics181920[[Setting]:[Setting]],all_cause_mort[],19,FALSE)="",VLOOKUP(all_lmics181920[[who_choice_region]:[who_choice_region]],missing[],23,FALSE),VLOOKUP(all_lmics181920[[Setting]:[Setting]],all_cause_mort[],19,FALSE))*1.05</f>
        <v>3.8955943544534181E-2</v>
      </c>
      <c r="AF83">
        <f>IF(VLOOKUP(all_lmics181920[[Setting]:[Setting]],all_cause_mort[],20,FALSE)="",VLOOKUP(all_lmics181920[[who_choice_region]:[who_choice_region]],missing[],24,FALSE),VLOOKUP(all_lmics181920[[Setting]:[Setting]],all_cause_mort[],20,FALSE))*1.05</f>
        <v>6.4581156102482717E-2</v>
      </c>
      <c r="AG83">
        <f>IF(VLOOKUP(all_lmics181920[[Setting]:[Setting]],all_cause_mort[],21,FALSE)="",VLOOKUP(all_lmics181920[[who_choice_region]:[who_choice_region]],missing[],25,FALSE),VLOOKUP(all_lmics181920[[Setting]:[Setting]],all_cause_mort[],21,FALSE))*1.05</f>
        <v>9.9613858280717379E-2</v>
      </c>
      <c r="AH83">
        <f>IF(VLOOKUP(all_lmics181920[[Setting]:[Setting]],all_cause_mort[],22,FALSE)="",VLOOKUP(all_lmics181920[[who_choice_region]:[who_choice_region]],missing[],26,FALSE),VLOOKUP(all_lmics181920[[Setting]:[Setting]],all_cause_mort[],22,FALSE))*1.05</f>
        <v>0.15428315676659168</v>
      </c>
      <c r="AI83">
        <f>IF(VLOOKUP(all_lmics181920[[Setting]:[Setting]],all_cause_mort[],23,FALSE)="",VLOOKUP(all_lmics181920[[who_choice_region]:[who_choice_region]],missing[],27,FALSE),VLOOKUP(all_lmics181920[[Setting]:[Setting]],all_cause_mort[],23,FALSE))*1.05</f>
        <v>0.22106963264277682</v>
      </c>
      <c r="AJ83">
        <f>IF(VLOOKUP(all_lmics181920[[Setting]:[Setting]],all_cause_mort[],24,FALSE)="",VLOOKUP(all_lmics181920[[who_choice_region]:[who_choice_region]],missing[],28,FALSE),VLOOKUP(all_lmics181920[[Setting]:[Setting]],all_cause_mort[],24,FALSE))*1.05</f>
        <v>0.30198726062109904</v>
      </c>
      <c r="AK83">
        <f>IF(VLOOKUP(all_lmics181920[[Setting]:[Setting]],all_cause_mort[],25,FALSE)="",VLOOKUP(all_lmics181920[[who_choice_region]:[who_choice_region]],missing[],29,FALSE),VLOOKUP(all_lmics181920[[Setting]:[Setting]],all_cause_mort[],25,FALSE))*1.05</f>
        <v>0.38020281187174959</v>
      </c>
      <c r="AL83">
        <f>VLOOKUP(all_lmics181920[[worldbank_region]:[worldbank_region]],Table13[],2,FALSE)*1.05</f>
        <v>76.717604249999994</v>
      </c>
      <c r="AM83">
        <f>VLOOKUP(all_lmics181920[[worldbank_region]:[worldbank_region]],Table13[],3,FALSE)*1.05</f>
        <v>76.717604249999994</v>
      </c>
      <c r="AN83">
        <f>VLOOKUP(all_lmics181920[[worldbank_region]:[worldbank_region]],Table13[],4,FALSE)*1.05</f>
        <v>126.83290724999999</v>
      </c>
      <c r="AO83">
        <f>VLOOKUP(all_lmics181920[[worldbank_region]:[worldbank_region]],Table13[],5,FALSE)*1.05</f>
        <v>126.83290724999999</v>
      </c>
      <c r="AP83">
        <f>VLOOKUP(all_lmics181920[[worldbank_region]:[worldbank_region]],Table13[],6,FALSE)*1.05</f>
        <v>126.83290724999999</v>
      </c>
      <c r="AQ83">
        <f>VLOOKUP(all_lmics181920[[worldbank_region]:[worldbank_region]],Table14[],2,FALSE)*1.05</f>
        <v>1.4073045</v>
      </c>
      <c r="AR83">
        <f>VLOOKUP(all_lmics181920[[worldbank_region]:[worldbank_region]],Table14[],3,FALSE)*1.05</f>
        <v>2.0556795000000001</v>
      </c>
      <c r="AS83">
        <f>VLOOKUP(all_lmics181920[[worldbank_region]:[worldbank_region]],Table14[],4,FALSE)*1.05</f>
        <v>2.0709317999999999</v>
      </c>
      <c r="AT83">
        <f>VLOOKUP(all_lmics181920[[worldbank_region]:[worldbank_region]],Table14[],5,FALSE)*1.05</f>
        <v>2.7193068</v>
      </c>
      <c r="AU83">
        <f>VLOOKUP(all_lmics181920[[worldbank_region]:[worldbank_region]],Table14[],6,FALSE)*1.05</f>
        <v>3.3180714</v>
      </c>
      <c r="AV83">
        <f>MIN(IFERROR(VLOOKUP(all_lmics181920[[Setting]:[Setting]],nFacSBA[],4,FALSE),VLOOKUP(all_lmics181920[[who_choice_region]:[who_choice_region]],missing[],30,FALSE))*1.05, 0.9999)</f>
        <v>0.16784953724039575</v>
      </c>
      <c r="AW83">
        <f>VLOOKUP(all_lmics181920[[worldbank_region]:[worldbank_region]],hbe[],4)</f>
        <v>0.5</v>
      </c>
      <c r="AX83">
        <f>VLOOKUP(all_lmics181920[[worldbank_region]:[worldbank_region]],hbe[],7)</f>
        <v>1</v>
      </c>
      <c r="AY83">
        <f>VLOOKUP(all_lmics181920[[worldbank_region]:[worldbank_region]],hbe[],10)</f>
        <v>0.25</v>
      </c>
    </row>
    <row r="84" spans="1:51" x14ac:dyDescent="0.35">
      <c r="A84" s="12" t="s">
        <v>212</v>
      </c>
      <c r="B84" s="13" t="s">
        <v>40</v>
      </c>
      <c r="C84" s="14" t="s">
        <v>11</v>
      </c>
      <c r="D84">
        <f>VLOOKUP(all_lmics181920[[Setting]:[Setting]],populations[],9,FALSE)</f>
        <v>44831159</v>
      </c>
      <c r="E84">
        <f>VLOOKUP(all_lmics181920[[Setting]:[Setting]],birthrate[],3,FALSE)</f>
        <v>1.03E-2</v>
      </c>
      <c r="F84">
        <f>all_lmics181920[[#This Row],[2017_population]]*all_lmics181920[[#This Row],[2016_birthrate]]</f>
        <v>461760.93770000001</v>
      </c>
      <c r="G84">
        <f>MIN(VLOOKUP(all_lmics181920[[Setting]:[Setting]],birthdose[],4,FALSE)*1.05,0.9999)</f>
        <v>0.51449999999999996</v>
      </c>
      <c r="H84">
        <f>MIN(VLOOKUP(all_lmics181920[[Setting]:[Setting]],fullvax[],4,FALSE)*1.05,0.9999)</f>
        <v>0.54600000000000004</v>
      </c>
      <c r="I84">
        <f>IFERROR(VLOOKUP(all_lmics181920[[Setting]:[Setting]],prev[],3,FALSE),VLOOKUP(all_lmics181920[[who_choice_region]:[who_choice_region]],missing[],2,FALSE))</f>
        <v>1.4500000000000001E-2</v>
      </c>
      <c r="J84">
        <f>IFERROR(VLOOKUP(all_lmics181920[[Setting]:[Setting]],prev[],4,FALSE),VLOOKUP(all_lmics181920[[who_choice_region]:[who_choice_region]],missing[],3,FALSE))</f>
        <v>1.0999999999999999E-2</v>
      </c>
      <c r="K84">
        <f>IFERROR(VLOOKUP(all_lmics181920[[Setting]:[Setting]],prev[],5,FALSE),VLOOKUP(all_lmics181920[[who_choice_region]:[who_choice_region]],missing[],4,FALSE))</f>
        <v>1.89E-2</v>
      </c>
      <c r="L84">
        <f>IFERROR(VLOOKUP(all_lmics181920[[Setting]:[Setting]],prev[],7,FALSE),VLOOKUP(all_lmics181920[[who_choice_region]:[who_choice_region]],missing[],5,FALSE))</f>
        <v>2.2448979591836731E-3</v>
      </c>
      <c r="M84">
        <f>IFERROR(VLOOKUP(all_lmics181920[[Setting]:[Setting]],prev[],6,FALSE),0)</f>
        <v>45870700</v>
      </c>
      <c r="N84">
        <f>MIN(IFERROR(VLOOKUP(all_lmics181920[[Setting]:[Setting]],SBA[],4,FALSE),VLOOKUP(all_lmics181920[[who_choice_region]:[who_choice_region]],missing[],6,FALSE))*1.05, 0.9999)</f>
        <v>0.99990000000000001</v>
      </c>
      <c r="O84">
        <f>MIN(IFERROR(VLOOKUP(all_lmics181920[[Setting]:[Setting]], facility[], 3,FALSE),VLOOKUP(all_lmics181920[[who_choice_region]:[who_choice_region]],missing[],7,FALSE))*1.05, 0.9999)</f>
        <v>0.99990000000000001</v>
      </c>
      <c r="P84">
        <f>IF(VLOOKUP(all_lmics181920[[Setting]:[Setting]],all_cause_mort[],4,FALSE)="",VLOOKUP(all_lmics181920[[who_choice_region]:[who_choice_region]],missing[],8,FALSE),VLOOKUP(all_lmics181920[[Setting]:[Setting]],all_cause_mort[],4,FALSE))*1.05</f>
        <v>7.6098612450000002E-3</v>
      </c>
      <c r="Q84">
        <f>IF(VLOOKUP(all_lmics181920[[Setting]:[Setting]],all_cause_mort[],5,FALSE)="",VLOOKUP(all_lmics181920[[who_choice_region]:[who_choice_region]],missing[],9,FALSE),VLOOKUP(all_lmics181920[[Setting]:[Setting]],all_cause_mort[],5,FALSE))*1.05</f>
        <v>3.6366578849999999E-4</v>
      </c>
      <c r="R84">
        <f>IF(VLOOKUP(all_lmics181920[[Setting]:[Setting]],all_cause_mort[],6,FALSE)="",VLOOKUP(all_lmics181920[[who_choice_region]:[who_choice_region]],missing[],10,FALSE),VLOOKUP(all_lmics181920[[Setting]:[Setting]],all_cause_mort[],6,FALSE))*1.05</f>
        <v>2.1417659550000001E-4</v>
      </c>
      <c r="S84">
        <f>IF(VLOOKUP(all_lmics181920[[Setting]:[Setting]],all_cause_mort[],7,FALSE)="",VLOOKUP(all_lmics181920[[who_choice_region]:[who_choice_region]],missing[],11,FALSE),VLOOKUP(all_lmics181920[[Setting]:[Setting]],all_cause_mort[],7,FALSE))*1.05</f>
        <v>2.6259854250000006E-4</v>
      </c>
      <c r="T84">
        <f>IF(VLOOKUP(all_lmics181920[[Setting]:[Setting]],all_cause_mort[],8,FALSE)="",VLOOKUP(all_lmics181920[[who_choice_region]:[who_choice_region]],missing[],12,FALSE),VLOOKUP(all_lmics181920[[Setting]:[Setting]],all_cause_mort[],8,FALSE))*1.05</f>
        <v>5.1951638550000001E-4</v>
      </c>
      <c r="U84">
        <f>IF(VLOOKUP(all_lmics181920[[Setting]:[Setting]],all_cause_mort[],9,FALSE)="",VLOOKUP(all_lmics181920[[who_choice_region]:[who_choice_region]],missing[],13,FALSE),VLOOKUP(all_lmics181920[[Setting]:[Setting]],all_cause_mort[],9,FALSE))*1.05</f>
        <v>9.6149870249999999E-4</v>
      </c>
      <c r="V84">
        <f>IF(VLOOKUP(all_lmics181920[[Setting]:[Setting]],all_cause_mort[],10,FALSE)="",VLOOKUP(all_lmics181920[[who_choice_region]:[who_choice_region]],missing[],14,FALSE),VLOOKUP(all_lmics181920[[Setting]:[Setting]],all_cause_mort[],10,FALSE))*1.05</f>
        <v>1.5631843499999999E-3</v>
      </c>
      <c r="W84">
        <f>IF(VLOOKUP(all_lmics181920[[Setting]:[Setting]],all_cause_mort[],11,FALSE)="",VLOOKUP(all_lmics181920[[who_choice_region]:[who_choice_region]],missing[],15,FALSE),VLOOKUP(all_lmics181920[[Setting]:[Setting]],all_cause_mort[],11,FALSE))*1.05</f>
        <v>2.6802340950000001E-3</v>
      </c>
      <c r="X84">
        <f>IF(VLOOKUP(all_lmics181920[[Setting]:[Setting]],all_cause_mort[],12,FALSE)="",VLOOKUP(all_lmics181920[[who_choice_region]:[who_choice_region]],missing[],16,FALSE),VLOOKUP(all_lmics181920[[Setting]:[Setting]],all_cause_mort[],12,FALSE))*1.05</f>
        <v>3.7303443450000004E-3</v>
      </c>
      <c r="Y84">
        <f>IF(VLOOKUP(all_lmics181920[[Setting]:[Setting]],all_cause_mort[],13,FALSE)="",VLOOKUP(all_lmics181920[[who_choice_region]:[who_choice_region]],missing[],17,FALSE),VLOOKUP(all_lmics181920[[Setting]:[Setting]],all_cause_mort[],13,FALSE))*1.05</f>
        <v>4.8177119550000006E-3</v>
      </c>
      <c r="Z84">
        <f>IF(VLOOKUP(all_lmics181920[[Setting]:[Setting]],all_cause_mort[],14,FALSE)="",VLOOKUP(all_lmics181920[[who_choice_region]:[who_choice_region]],missing[],18,FALSE),VLOOKUP(all_lmics181920[[Setting]:[Setting]],all_cause_mort[],14,FALSE))*1.05</f>
        <v>6.58709268E-3</v>
      </c>
      <c r="AA84">
        <f>IF(VLOOKUP(all_lmics181920[[Setting]:[Setting]],all_cause_mort[],15,FALSE)="",VLOOKUP(all_lmics181920[[who_choice_region]:[who_choice_region]],missing[],19,FALSE),VLOOKUP(all_lmics181920[[Setting]:[Setting]],all_cause_mort[],15,FALSE))*1.05</f>
        <v>9.3661777649999989E-3</v>
      </c>
      <c r="AB84">
        <f>IF(VLOOKUP(all_lmics181920[[Setting]:[Setting]],all_cause_mort[],16,FALSE)="",VLOOKUP(all_lmics181920[[who_choice_region]:[who_choice_region]],missing[],20,FALSE),VLOOKUP(all_lmics181920[[Setting]:[Setting]],all_cause_mort[],16,FALSE))*1.05</f>
        <v>1.3663378049999999E-2</v>
      </c>
      <c r="AC84">
        <f>IF(VLOOKUP(all_lmics181920[[Setting]:[Setting]],all_cause_mort[],17,FALSE)="",VLOOKUP(all_lmics181920[[who_choice_region]:[who_choice_region]],missing[],21,FALSE),VLOOKUP(all_lmics181920[[Setting]:[Setting]],all_cause_mort[],17,FALSE))*1.05</f>
        <v>2.0180141100000003E-2</v>
      </c>
      <c r="AD84">
        <f>IF(VLOOKUP(all_lmics181920[[Setting]:[Setting]],all_cause_mort[],18,FALSE)="",VLOOKUP(all_lmics181920[[who_choice_region]:[who_choice_region]],missing[],22,FALSE),VLOOKUP(all_lmics181920[[Setting]:[Setting]],all_cause_mort[],18,FALSE))*1.05</f>
        <v>2.8010145449999999E-2</v>
      </c>
      <c r="AE84">
        <f>IF(VLOOKUP(all_lmics181920[[Setting]:[Setting]],all_cause_mort[],19,FALSE)="",VLOOKUP(all_lmics181920[[who_choice_region]:[who_choice_region]],missing[],23,FALSE),VLOOKUP(all_lmics181920[[Setting]:[Setting]],all_cause_mort[],19,FALSE))*1.05</f>
        <v>4.4643186000000001E-2</v>
      </c>
      <c r="AF84">
        <f>IF(VLOOKUP(all_lmics181920[[Setting]:[Setting]],all_cause_mort[],20,FALSE)="",VLOOKUP(all_lmics181920[[who_choice_region]:[who_choice_region]],missing[],24,FALSE),VLOOKUP(all_lmics181920[[Setting]:[Setting]],all_cause_mort[],20,FALSE))*1.05</f>
        <v>7.1590102500000016E-2</v>
      </c>
      <c r="AG84">
        <f>IF(VLOOKUP(all_lmics181920[[Setting]:[Setting]],all_cause_mort[],21,FALSE)="",VLOOKUP(all_lmics181920[[who_choice_region]:[who_choice_region]],missing[],25,FALSE),VLOOKUP(all_lmics181920[[Setting]:[Setting]],all_cause_mort[],21,FALSE))*1.05</f>
        <v>0.11387641650000001</v>
      </c>
      <c r="AH84">
        <f>IF(VLOOKUP(all_lmics181920[[Setting]:[Setting]],all_cause_mort[],22,FALSE)="",VLOOKUP(all_lmics181920[[who_choice_region]:[who_choice_region]],missing[],26,FALSE),VLOOKUP(all_lmics181920[[Setting]:[Setting]],all_cause_mort[],22,FALSE))*1.05</f>
        <v>0.17853903900000001</v>
      </c>
      <c r="AI84">
        <f>IF(VLOOKUP(all_lmics181920[[Setting]:[Setting]],all_cause_mort[],23,FALSE)="",VLOOKUP(all_lmics181920[[who_choice_region]:[who_choice_region]],missing[],27,FALSE),VLOOKUP(all_lmics181920[[Setting]:[Setting]],all_cause_mort[],23,FALSE))*1.05</f>
        <v>0.27501705000000004</v>
      </c>
      <c r="AJ84">
        <f>IF(VLOOKUP(all_lmics181920[[Setting]:[Setting]],all_cause_mort[],24,FALSE)="",VLOOKUP(all_lmics181920[[who_choice_region]:[who_choice_region]],missing[],28,FALSE),VLOOKUP(all_lmics181920[[Setting]:[Setting]],all_cause_mort[],24,FALSE))*1.05</f>
        <v>0.39785666550000004</v>
      </c>
      <c r="AK84">
        <f>IF(VLOOKUP(all_lmics181920[[Setting]:[Setting]],all_cause_mort[],25,FALSE)="",VLOOKUP(all_lmics181920[[who_choice_region]:[who_choice_region]],missing[],29,FALSE),VLOOKUP(all_lmics181920[[Setting]:[Setting]],all_cause_mort[],25,FALSE))*1.05</f>
        <v>0.54754999796363579</v>
      </c>
      <c r="AL84">
        <f>VLOOKUP(all_lmics181920[[worldbank_region]:[worldbank_region]],Table13[],2,FALSE)*1.05</f>
        <v>46.7513991</v>
      </c>
      <c r="AM84">
        <f>VLOOKUP(all_lmics181920[[worldbank_region]:[worldbank_region]],Table13[],3,FALSE)*1.05</f>
        <v>46.7513991</v>
      </c>
      <c r="AN84">
        <f>VLOOKUP(all_lmics181920[[worldbank_region]:[worldbank_region]],Table13[],4,FALSE)*1.05</f>
        <v>96.866702099999983</v>
      </c>
      <c r="AO84">
        <f>VLOOKUP(all_lmics181920[[worldbank_region]:[worldbank_region]],Table13[],5,FALSE)*1.05</f>
        <v>96.866702099999983</v>
      </c>
      <c r="AP84">
        <f>VLOOKUP(all_lmics181920[[worldbank_region]:[worldbank_region]],Table13[],6,FALSE)*1.05</f>
        <v>96.866702099999983</v>
      </c>
      <c r="AQ84">
        <f>VLOOKUP(all_lmics181920[[worldbank_region]:[worldbank_region]],Table14[],2,FALSE)*1.05</f>
        <v>6.7392065999999993</v>
      </c>
      <c r="AR84">
        <f>VLOOKUP(all_lmics181920[[worldbank_region]:[worldbank_region]],Table14[],3,FALSE)*1.05</f>
        <v>7.3875815999999999</v>
      </c>
      <c r="AS84">
        <f>VLOOKUP(all_lmics181920[[worldbank_region]:[worldbank_region]],Table14[],4,FALSE)*1.05</f>
        <v>11.007016649999999</v>
      </c>
      <c r="AT84">
        <f>VLOOKUP(all_lmics181920[[worldbank_region]:[worldbank_region]],Table14[],5,FALSE)*1.05</f>
        <v>11.65539165</v>
      </c>
      <c r="AU84">
        <f>VLOOKUP(all_lmics181920[[worldbank_region]:[worldbank_region]],Table14[],6,FALSE)*1.05</f>
        <v>12.254156249999999</v>
      </c>
      <c r="AV84">
        <f>MIN(IFERROR(VLOOKUP(all_lmics181920[[Setting]:[Setting]],nFacSBA[],4,FALSE),VLOOKUP(all_lmics181920[[who_choice_region]:[who_choice_region]],missing[],30,FALSE))*1.05, 0.9999)</f>
        <v>0.15392116681664689</v>
      </c>
      <c r="AW84">
        <f>VLOOKUP(all_lmics181920[[worldbank_region]:[worldbank_region]],hbe[],4)</f>
        <v>0.5</v>
      </c>
      <c r="AX84">
        <f>VLOOKUP(all_lmics181920[[worldbank_region]:[worldbank_region]],hbe[],7)</f>
        <v>1</v>
      </c>
      <c r="AY84">
        <f>VLOOKUP(all_lmics181920[[worldbank_region]:[worldbank_region]],hbe[],10)</f>
        <v>0.25</v>
      </c>
    </row>
    <row r="85" spans="1:51" x14ac:dyDescent="0.35">
      <c r="A85" s="8" t="s">
        <v>213</v>
      </c>
      <c r="B85" s="10" t="s">
        <v>33</v>
      </c>
      <c r="C85" s="11" t="s">
        <v>7</v>
      </c>
      <c r="D85">
        <f>VLOOKUP(all_lmics181920[[Setting]:[Setting]],populations[],9,FALSE)</f>
        <v>9400145</v>
      </c>
      <c r="E85">
        <f>VLOOKUP(all_lmics181920[[Setting]:[Setting]],birthrate[],3,FALSE)</f>
        <v>9.5919999999999998E-3</v>
      </c>
      <c r="F85">
        <f>all_lmics181920[[#This Row],[2017_population]]*all_lmics181920[[#This Row],[2016_birthrate]]</f>
        <v>90166.190839999996</v>
      </c>
      <c r="G85">
        <f>MIN(VLOOKUP(all_lmics181920[[Setting]:[Setting]],birthdose[],4,FALSE)*1.05,0.9999)</f>
        <v>0.99990000000000001</v>
      </c>
      <c r="H85">
        <f>MIN(VLOOKUP(all_lmics181920[[Setting]:[Setting]],fullvax[],4,FALSE)*1.05,0.9999)</f>
        <v>0.99990000000000001</v>
      </c>
      <c r="I85">
        <f>IFERROR(VLOOKUP(all_lmics181920[[Setting]:[Setting]],prev[],3,FALSE),VLOOKUP(all_lmics181920[[who_choice_region]:[who_choice_region]],missing[],2,FALSE))</f>
        <v>0.01</v>
      </c>
      <c r="J85">
        <f>IFERROR(VLOOKUP(all_lmics181920[[Setting]:[Setting]],prev[],4,FALSE),VLOOKUP(all_lmics181920[[who_choice_region]:[who_choice_region]],missing[],3,FALSE))</f>
        <v>5.0000000000000001E-3</v>
      </c>
      <c r="K85">
        <f>IFERROR(VLOOKUP(all_lmics181920[[Setting]:[Setting]],prev[],5,FALSE),VLOOKUP(all_lmics181920[[who_choice_region]:[who_choice_region]],missing[],4,FALSE))</f>
        <v>1.2E-2</v>
      </c>
      <c r="L85">
        <f>IFERROR(VLOOKUP(all_lmics181920[[Setting]:[Setting]],prev[],7,FALSE),VLOOKUP(all_lmics181920[[who_choice_region]:[who_choice_region]],missing[],5,FALSE))</f>
        <v>1.0204081632653062E-3</v>
      </c>
      <c r="M85">
        <f>IFERROR(VLOOKUP(all_lmics181920[[Setting]:[Setting]],prev[],6,FALSE),0)</f>
        <v>9400145</v>
      </c>
      <c r="N85">
        <f>MIN(IFERROR(VLOOKUP(all_lmics181920[[Setting]:[Setting]],SBA[],4,FALSE),VLOOKUP(all_lmics181920[[who_choice_region]:[who_choice_region]],missing[],6,FALSE))*1.05, 0.9999)</f>
        <v>0.99990000000000001</v>
      </c>
      <c r="O85">
        <f>MIN(IFERROR(VLOOKUP(all_lmics181920[[Setting]:[Setting]], facility[], 3,FALSE),VLOOKUP(all_lmics181920[[who_choice_region]:[who_choice_region]],missing[],7,FALSE))*1.05, 0.9999)</f>
        <v>0.99990000000000001</v>
      </c>
      <c r="P85">
        <f>IF(VLOOKUP(all_lmics181920[[Setting]:[Setting]],all_cause_mort[],4,FALSE)="",VLOOKUP(all_lmics181920[[who_choice_region]:[who_choice_region]],missing[],8,FALSE),VLOOKUP(all_lmics181920[[Setting]:[Setting]],all_cause_mort[],4,FALSE))*1.05</f>
        <v>5.8199963850000007E-3</v>
      </c>
      <c r="Q85">
        <f>IF(VLOOKUP(all_lmics181920[[Setting]:[Setting]],all_cause_mort[],5,FALSE)="",VLOOKUP(all_lmics181920[[who_choice_region]:[who_choice_region]],missing[],9,FALSE),VLOOKUP(all_lmics181920[[Setting]:[Setting]],all_cause_mort[],5,FALSE))*1.05</f>
        <v>2.4190129950000001E-4</v>
      </c>
      <c r="R85">
        <f>IF(VLOOKUP(all_lmics181920[[Setting]:[Setting]],all_cause_mort[],6,FALSE)="",VLOOKUP(all_lmics181920[[who_choice_region]:[who_choice_region]],missing[],10,FALSE),VLOOKUP(all_lmics181920[[Setting]:[Setting]],all_cause_mort[],6,FALSE))*1.05</f>
        <v>1.39145643E-4</v>
      </c>
      <c r="S85">
        <f>IF(VLOOKUP(all_lmics181920[[Setting]:[Setting]],all_cause_mort[],7,FALSE)="",VLOOKUP(all_lmics181920[[who_choice_region]:[who_choice_region]],missing[],11,FALSE),VLOOKUP(all_lmics181920[[Setting]:[Setting]],all_cause_mort[],7,FALSE))*1.05</f>
        <v>1.32692553E-4</v>
      </c>
      <c r="T85">
        <f>IF(VLOOKUP(all_lmics181920[[Setting]:[Setting]],all_cause_mort[],8,FALSE)="",VLOOKUP(all_lmics181920[[who_choice_region]:[who_choice_region]],missing[],12,FALSE),VLOOKUP(all_lmics181920[[Setting]:[Setting]],all_cause_mort[],8,FALSE))*1.05</f>
        <v>7.5955791450000004E-4</v>
      </c>
      <c r="U85">
        <f>IF(VLOOKUP(all_lmics181920[[Setting]:[Setting]],all_cause_mort[],9,FALSE)="",VLOOKUP(all_lmics181920[[who_choice_region]:[who_choice_region]],missing[],13,FALSE),VLOOKUP(all_lmics181920[[Setting]:[Setting]],all_cause_mort[],9,FALSE))*1.05</f>
        <v>5.7413252400000006E-4</v>
      </c>
      <c r="V85">
        <f>IF(VLOOKUP(all_lmics181920[[Setting]:[Setting]],all_cause_mort[],10,FALSE)="",VLOOKUP(all_lmics181920[[who_choice_region]:[who_choice_region]],missing[],14,FALSE),VLOOKUP(all_lmics181920[[Setting]:[Setting]],all_cause_mort[],10,FALSE))*1.05</f>
        <v>4.8414258900000005E-4</v>
      </c>
      <c r="W85">
        <f>IF(VLOOKUP(all_lmics181920[[Setting]:[Setting]],all_cause_mort[],11,FALSE)="",VLOOKUP(all_lmics181920[[who_choice_region]:[who_choice_region]],missing[],15,FALSE),VLOOKUP(all_lmics181920[[Setting]:[Setting]],all_cause_mort[],11,FALSE))*1.05</f>
        <v>4.4223871650000003E-4</v>
      </c>
      <c r="X85">
        <f>IF(VLOOKUP(all_lmics181920[[Setting]:[Setting]],all_cause_mort[],12,FALSE)="",VLOOKUP(all_lmics181920[[who_choice_region]:[who_choice_region]],missing[],16,FALSE),VLOOKUP(all_lmics181920[[Setting]:[Setting]],all_cause_mort[],12,FALSE))*1.05</f>
        <v>5.6767651499999992E-4</v>
      </c>
      <c r="Y85">
        <f>IF(VLOOKUP(all_lmics181920[[Setting]:[Setting]],all_cause_mort[],13,FALSE)="",VLOOKUP(all_lmics181920[[who_choice_region]:[who_choice_region]],missing[],17,FALSE),VLOOKUP(all_lmics181920[[Setting]:[Setting]],all_cause_mort[],13,FALSE))*1.05</f>
        <v>8.6414933849999999E-4</v>
      </c>
      <c r="Z85">
        <f>IF(VLOOKUP(all_lmics181920[[Setting]:[Setting]],all_cause_mort[],14,FALSE)="",VLOOKUP(all_lmics181920[[who_choice_region]:[who_choice_region]],missing[],18,FALSE),VLOOKUP(all_lmics181920[[Setting]:[Setting]],all_cause_mort[],14,FALSE))*1.05</f>
        <v>1.7031958650000002E-3</v>
      </c>
      <c r="AA85">
        <f>IF(VLOOKUP(all_lmics181920[[Setting]:[Setting]],all_cause_mort[],15,FALSE)="",VLOOKUP(all_lmics181920[[who_choice_region]:[who_choice_region]],missing[],19,FALSE),VLOOKUP(all_lmics181920[[Setting]:[Setting]],all_cause_mort[],15,FALSE))*1.05</f>
        <v>2.7132194250000003E-3</v>
      </c>
      <c r="AB85">
        <f>IF(VLOOKUP(all_lmics181920[[Setting]:[Setting]],all_cause_mort[],16,FALSE)="",VLOOKUP(all_lmics181920[[who_choice_region]:[who_choice_region]],missing[],20,FALSE),VLOOKUP(all_lmics181920[[Setting]:[Setting]],all_cause_mort[],16,FALSE))*1.05</f>
        <v>5.573000055E-3</v>
      </c>
      <c r="AC85">
        <f>IF(VLOOKUP(all_lmics181920[[Setting]:[Setting]],all_cause_mort[],17,FALSE)="",VLOOKUP(all_lmics181920[[who_choice_region]:[who_choice_region]],missing[],21,FALSE),VLOOKUP(all_lmics181920[[Setting]:[Setting]],all_cause_mort[],17,FALSE))*1.05</f>
        <v>1.5833953800000002E-2</v>
      </c>
      <c r="AD85">
        <f>IF(VLOOKUP(all_lmics181920[[Setting]:[Setting]],all_cause_mort[],18,FALSE)="",VLOOKUP(all_lmics181920[[who_choice_region]:[who_choice_region]],missing[],22,FALSE),VLOOKUP(all_lmics181920[[Setting]:[Setting]],all_cause_mort[],18,FALSE))*1.05</f>
        <v>2.1063273E-2</v>
      </c>
      <c r="AE85">
        <f>IF(VLOOKUP(all_lmics181920[[Setting]:[Setting]],all_cause_mort[],19,FALSE)="",VLOOKUP(all_lmics181920[[who_choice_region]:[who_choice_region]],missing[],23,FALSE),VLOOKUP(all_lmics181920[[Setting]:[Setting]],all_cause_mort[],19,FALSE))*1.05</f>
        <v>3.4237593600000005E-2</v>
      </c>
      <c r="AF85">
        <f>IF(VLOOKUP(all_lmics181920[[Setting]:[Setting]],all_cause_mort[],20,FALSE)="",VLOOKUP(all_lmics181920[[who_choice_region]:[who_choice_region]],missing[],24,FALSE),VLOOKUP(all_lmics181920[[Setting]:[Setting]],all_cause_mort[],20,FALSE))*1.05</f>
        <v>6.1158892200000002E-2</v>
      </c>
      <c r="AG85">
        <f>IF(VLOOKUP(all_lmics181920[[Setting]:[Setting]],all_cause_mort[],21,FALSE)="",VLOOKUP(all_lmics181920[[who_choice_region]:[who_choice_region]],missing[],25,FALSE),VLOOKUP(all_lmics181920[[Setting]:[Setting]],all_cause_mort[],21,FALSE))*1.05</f>
        <v>9.6273080400000002E-2</v>
      </c>
      <c r="AH85">
        <f>IF(VLOOKUP(all_lmics181920[[Setting]:[Setting]],all_cause_mort[],22,FALSE)="",VLOOKUP(all_lmics181920[[who_choice_region]:[who_choice_region]],missing[],26,FALSE),VLOOKUP(all_lmics181920[[Setting]:[Setting]],all_cause_mort[],22,FALSE))*1.05</f>
        <v>0.14671844249999999</v>
      </c>
      <c r="AI85">
        <f>IF(VLOOKUP(all_lmics181920[[Setting]:[Setting]],all_cause_mort[],23,FALSE)="",VLOOKUP(all_lmics181920[[who_choice_region]:[who_choice_region]],missing[],27,FALSE),VLOOKUP(all_lmics181920[[Setting]:[Setting]],all_cause_mort[],23,FALSE))*1.05</f>
        <v>0.21063318149999999</v>
      </c>
      <c r="AJ85">
        <f>IF(VLOOKUP(all_lmics181920[[Setting]:[Setting]],all_cause_mort[],24,FALSE)="",VLOOKUP(all_lmics181920[[who_choice_region]:[who_choice_region]],missing[],28,FALSE),VLOOKUP(all_lmics181920[[Setting]:[Setting]],all_cause_mort[],24,FALSE))*1.05</f>
        <v>0.28603317750000001</v>
      </c>
      <c r="AK85">
        <f>IF(VLOOKUP(all_lmics181920[[Setting]:[Setting]],all_cause_mort[],25,FALSE)="",VLOOKUP(all_lmics181920[[who_choice_region]:[who_choice_region]],missing[],29,FALSE),VLOOKUP(all_lmics181920[[Setting]:[Setting]],all_cause_mort[],25,FALSE))*1.05</f>
        <v>0.38851676177865396</v>
      </c>
      <c r="AL85">
        <f>VLOOKUP(all_lmics181920[[worldbank_region]:[worldbank_region]],Table13[],2,FALSE)*1.05</f>
        <v>60.801990899999993</v>
      </c>
      <c r="AM85">
        <f>VLOOKUP(all_lmics181920[[worldbank_region]:[worldbank_region]],Table13[],3,FALSE)*1.05</f>
        <v>60.801990899999993</v>
      </c>
      <c r="AN85">
        <f>VLOOKUP(all_lmics181920[[worldbank_region]:[worldbank_region]],Table13[],4,FALSE)*1.05</f>
        <v>110.91729389999999</v>
      </c>
      <c r="AO85">
        <f>VLOOKUP(all_lmics181920[[worldbank_region]:[worldbank_region]],Table13[],5,FALSE)*1.05</f>
        <v>110.91729389999999</v>
      </c>
      <c r="AP85">
        <f>VLOOKUP(all_lmics181920[[worldbank_region]:[worldbank_region]],Table13[],6,FALSE)*1.05</f>
        <v>110.91729389999999</v>
      </c>
      <c r="AQ85">
        <f>VLOOKUP(all_lmics181920[[worldbank_region]:[worldbank_region]],Table14[],2,FALSE)*1.05</f>
        <v>1.57893225</v>
      </c>
      <c r="AR85">
        <f>VLOOKUP(all_lmics181920[[worldbank_region]:[worldbank_region]],Table14[],3,FALSE)*1.05</f>
        <v>2.22730725</v>
      </c>
      <c r="AS85">
        <f>VLOOKUP(all_lmics181920[[worldbank_region]:[worldbank_region]],Table14[],4,FALSE)*1.05</f>
        <v>2.0823736500000001</v>
      </c>
      <c r="AT85">
        <f>VLOOKUP(all_lmics181920[[worldbank_region]:[worldbank_region]],Table14[],5,FALSE)*1.05</f>
        <v>2.7307486499999998</v>
      </c>
      <c r="AU85">
        <f>VLOOKUP(all_lmics181920[[worldbank_region]:[worldbank_region]],Table14[],6,FALSE)*1.05</f>
        <v>3.3295132499999998</v>
      </c>
      <c r="AV85">
        <f>MIN(IFERROR(VLOOKUP(all_lmics181920[[Setting]:[Setting]],nFacSBA[],4,FALSE),VLOOKUP(all_lmics181920[[who_choice_region]:[who_choice_region]],missing[],30,FALSE))*1.05, 0.9999)</f>
        <v>0.40722609472787386</v>
      </c>
      <c r="AW85">
        <f>VLOOKUP(all_lmics181920[[worldbank_region]:[worldbank_region]],hbe[],4)</f>
        <v>0.5</v>
      </c>
      <c r="AX85">
        <f>VLOOKUP(all_lmics181920[[worldbank_region]:[worldbank_region]],hbe[],7)</f>
        <v>1</v>
      </c>
      <c r="AY85">
        <f>VLOOKUP(all_lmics181920[[worldbank_region]:[worldbank_region]],hbe[],10)</f>
        <v>0.25</v>
      </c>
    </row>
    <row r="86" spans="1:51" x14ac:dyDescent="0.35">
      <c r="A86" s="12" t="s">
        <v>218</v>
      </c>
      <c r="B86" s="13" t="s">
        <v>10</v>
      </c>
      <c r="C86" s="14" t="s">
        <v>11</v>
      </c>
      <c r="D86">
        <f>VLOOKUP(all_lmics181920[[Setting]:[Setting]],populations[],9,FALSE)</f>
        <v>32387200</v>
      </c>
      <c r="E86">
        <f>VLOOKUP(all_lmics181920[[Setting]:[Setting]],birthrate[],3,FALSE)</f>
        <v>2.2800000000000001E-2</v>
      </c>
      <c r="F86">
        <f>all_lmics181920[[#This Row],[2017_population]]*all_lmics181920[[#This Row],[2016_birthrate]]</f>
        <v>738428.16</v>
      </c>
      <c r="G86">
        <f>MIN(VLOOKUP(all_lmics181920[[Setting]:[Setting]],birthdose[],4,FALSE)*1.05,0.9999)</f>
        <v>0.99990000000000001</v>
      </c>
      <c r="H86">
        <f>MIN(VLOOKUP(all_lmics181920[[Setting]:[Setting]],fullvax[],4,FALSE)*1.05,0.9999)</f>
        <v>0.99990000000000001</v>
      </c>
      <c r="I86">
        <f>IFERROR(VLOOKUP(all_lmics181920[[Setting]:[Setting]],prev[],3,FALSE),VLOOKUP(all_lmics181920[[who_choice_region]:[who_choice_region]],missing[],2,FALSE))</f>
        <v>0.08</v>
      </c>
      <c r="J86">
        <f>IFERROR(VLOOKUP(all_lmics181920[[Setting]:[Setting]],prev[],4,FALSE),VLOOKUP(all_lmics181920[[who_choice_region]:[who_choice_region]],missing[],3,FALSE))</f>
        <v>4.1000000000000002E-2</v>
      </c>
      <c r="K86">
        <f>IFERROR(VLOOKUP(all_lmics181920[[Setting]:[Setting]],prev[],5,FALSE),VLOOKUP(all_lmics181920[[who_choice_region]:[who_choice_region]],missing[],4,FALSE))</f>
        <v>0.11700000000000001</v>
      </c>
      <c r="L86">
        <f>IFERROR(VLOOKUP(all_lmics181920[[Setting]:[Setting]],prev[],7,FALSE),VLOOKUP(all_lmics181920[[who_choice_region]:[who_choice_region]],missing[],5,FALSE))</f>
        <v>1.8877551020408168E-2</v>
      </c>
      <c r="M86">
        <f>IFERROR(VLOOKUP(all_lmics181920[[Setting]:[Setting]],prev[],6,FALSE),0)</f>
        <v>32387200</v>
      </c>
      <c r="N86">
        <f>MIN(IFERROR(VLOOKUP(all_lmics181920[[Setting]:[Setting]],SBA[],4,FALSE),VLOOKUP(all_lmics181920[[who_choice_region]:[who_choice_region]],missing[],6,FALSE))*1.05, 0.9999)</f>
        <v>0.99990000000000001</v>
      </c>
      <c r="O86">
        <f>MIN(IFERROR(VLOOKUP(all_lmics181920[[Setting]:[Setting]], facility[], 3,FALSE),VLOOKUP(all_lmics181920[[who_choice_region]:[who_choice_region]],missing[],7,FALSE))*1.05, 0.9999)</f>
        <v>0.99990000000000001</v>
      </c>
      <c r="P86">
        <f>IF(VLOOKUP(all_lmics181920[[Setting]:[Setting]],all_cause_mort[],4,FALSE)="",VLOOKUP(all_lmics181920[[who_choice_region]:[who_choice_region]],missing[],8,FALSE),VLOOKUP(all_lmics181920[[Setting]:[Setting]],all_cause_mort[],4,FALSE))*1.05</f>
        <v>2.2291873800000001E-2</v>
      </c>
      <c r="Q86">
        <f>IF(VLOOKUP(all_lmics181920[[Setting]:[Setting]],all_cause_mort[],5,FALSE)="",VLOOKUP(all_lmics181920[[who_choice_region]:[who_choice_region]],missing[],9,FALSE),VLOOKUP(all_lmics181920[[Setting]:[Setting]],all_cause_mort[],5,FALSE))*1.05</f>
        <v>1.2871708500000001E-3</v>
      </c>
      <c r="R86">
        <f>IF(VLOOKUP(all_lmics181920[[Setting]:[Setting]],all_cause_mort[],6,FALSE)="",VLOOKUP(all_lmics181920[[who_choice_region]:[who_choice_region]],missing[],10,FALSE),VLOOKUP(all_lmics181920[[Setting]:[Setting]],all_cause_mort[],6,FALSE))*1.05</f>
        <v>3.0219576450000004E-4</v>
      </c>
      <c r="S86">
        <f>IF(VLOOKUP(all_lmics181920[[Setting]:[Setting]],all_cause_mort[],7,FALSE)="",VLOOKUP(all_lmics181920[[who_choice_region]:[who_choice_region]],missing[],11,FALSE),VLOOKUP(all_lmics181920[[Setting]:[Setting]],all_cause_mort[],7,FALSE))*1.05</f>
        <v>3.2201966999999997E-4</v>
      </c>
      <c r="T86">
        <f>IF(VLOOKUP(all_lmics181920[[Setting]:[Setting]],all_cause_mort[],8,FALSE)="",VLOOKUP(all_lmics181920[[who_choice_region]:[who_choice_region]],missing[],12,FALSE),VLOOKUP(all_lmics181920[[Setting]:[Setting]],all_cause_mort[],8,FALSE))*1.05</f>
        <v>5.3031864900000001E-4</v>
      </c>
      <c r="U86">
        <f>IF(VLOOKUP(all_lmics181920[[Setting]:[Setting]],all_cause_mort[],9,FALSE)="",VLOOKUP(all_lmics181920[[who_choice_region]:[who_choice_region]],missing[],13,FALSE),VLOOKUP(all_lmics181920[[Setting]:[Setting]],all_cause_mort[],9,FALSE))*1.05</f>
        <v>7.6199714849999999E-4</v>
      </c>
      <c r="V86">
        <f>IF(VLOOKUP(all_lmics181920[[Setting]:[Setting]],all_cause_mort[],10,FALSE)="",VLOOKUP(all_lmics181920[[who_choice_region]:[who_choice_region]],missing[],14,FALSE),VLOOKUP(all_lmics181920[[Setting]:[Setting]],all_cause_mort[],10,FALSE))*1.05</f>
        <v>1.0245340245E-3</v>
      </c>
      <c r="W86">
        <f>IF(VLOOKUP(all_lmics181920[[Setting]:[Setting]],all_cause_mort[],11,FALSE)="",VLOOKUP(all_lmics181920[[who_choice_region]:[who_choice_region]],missing[],15,FALSE),VLOOKUP(all_lmics181920[[Setting]:[Setting]],all_cause_mort[],11,FALSE))*1.05</f>
        <v>1.3902080849999999E-3</v>
      </c>
      <c r="X86">
        <f>IF(VLOOKUP(all_lmics181920[[Setting]:[Setting]],all_cause_mort[],12,FALSE)="",VLOOKUP(all_lmics181920[[who_choice_region]:[who_choice_region]],missing[],16,FALSE),VLOOKUP(all_lmics181920[[Setting]:[Setting]],all_cause_mort[],12,FALSE))*1.05</f>
        <v>1.940861895E-3</v>
      </c>
      <c r="Y86">
        <f>IF(VLOOKUP(all_lmics181920[[Setting]:[Setting]],all_cause_mort[],13,FALSE)="",VLOOKUP(all_lmics181920[[who_choice_region]:[who_choice_region]],missing[],17,FALSE),VLOOKUP(all_lmics181920[[Setting]:[Setting]],all_cause_mort[],13,FALSE))*1.05</f>
        <v>2.7144371100000001E-3</v>
      </c>
      <c r="Z86">
        <f>IF(VLOOKUP(all_lmics181920[[Setting]:[Setting]],all_cause_mort[],14,FALSE)="",VLOOKUP(all_lmics181920[[who_choice_region]:[who_choice_region]],missing[],18,FALSE),VLOOKUP(all_lmics181920[[Setting]:[Setting]],all_cause_mort[],14,FALSE))*1.05</f>
        <v>4.1287927800000004E-3</v>
      </c>
      <c r="AA86">
        <f>IF(VLOOKUP(all_lmics181920[[Setting]:[Setting]],all_cause_mort[],15,FALSE)="",VLOOKUP(all_lmics181920[[who_choice_region]:[who_choice_region]],missing[],19,FALSE),VLOOKUP(all_lmics181920[[Setting]:[Setting]],all_cause_mort[],15,FALSE))*1.05</f>
        <v>6.6702392400000005E-3</v>
      </c>
      <c r="AB86">
        <f>IF(VLOOKUP(all_lmics181920[[Setting]:[Setting]],all_cause_mort[],16,FALSE)="",VLOOKUP(all_lmics181920[[who_choice_region]:[who_choice_region]],missing[],20,FALSE),VLOOKUP(all_lmics181920[[Setting]:[Setting]],all_cause_mort[],16,FALSE))*1.05</f>
        <v>1.1400364499999999E-2</v>
      </c>
      <c r="AC86">
        <f>IF(VLOOKUP(all_lmics181920[[Setting]:[Setting]],all_cause_mort[],17,FALSE)="",VLOOKUP(all_lmics181920[[who_choice_region]:[who_choice_region]],missing[],21,FALSE),VLOOKUP(all_lmics181920[[Setting]:[Setting]],all_cause_mort[],17,FALSE))*1.05</f>
        <v>1.9909360800000001E-2</v>
      </c>
      <c r="AD86">
        <f>IF(VLOOKUP(all_lmics181920[[Setting]:[Setting]],all_cause_mort[],18,FALSE)="",VLOOKUP(all_lmics181920[[who_choice_region]:[who_choice_region]],missing[],22,FALSE),VLOOKUP(all_lmics181920[[Setting]:[Setting]],all_cause_mort[],18,FALSE))*1.05</f>
        <v>3.2225778900000002E-2</v>
      </c>
      <c r="AE86">
        <f>IF(VLOOKUP(all_lmics181920[[Setting]:[Setting]],all_cause_mort[],19,FALSE)="",VLOOKUP(all_lmics181920[[who_choice_region]:[who_choice_region]],missing[],23,FALSE),VLOOKUP(all_lmics181920[[Setting]:[Setting]],all_cause_mort[],19,FALSE))*1.05</f>
        <v>5.20446003E-2</v>
      </c>
      <c r="AF86">
        <f>IF(VLOOKUP(all_lmics181920[[Setting]:[Setting]],all_cause_mort[],20,FALSE)="",VLOOKUP(all_lmics181920[[who_choice_region]:[who_choice_region]],missing[],24,FALSE),VLOOKUP(all_lmics181920[[Setting]:[Setting]],all_cause_mort[],20,FALSE))*1.05</f>
        <v>8.4220261650000003E-2</v>
      </c>
      <c r="AG86">
        <f>IF(VLOOKUP(all_lmics181920[[Setting]:[Setting]],all_cause_mort[],21,FALSE)="",VLOOKUP(all_lmics181920[[who_choice_region]:[who_choice_region]],missing[],25,FALSE),VLOOKUP(all_lmics181920[[Setting]:[Setting]],all_cause_mort[],21,FALSE))*1.05</f>
        <v>0.13280842050000002</v>
      </c>
      <c r="AH86">
        <f>IF(VLOOKUP(all_lmics181920[[Setting]:[Setting]],all_cause_mort[],22,FALSE)="",VLOOKUP(all_lmics181920[[who_choice_region]:[who_choice_region]],missing[],26,FALSE),VLOOKUP(all_lmics181920[[Setting]:[Setting]],all_cause_mort[],22,FALSE))*1.05</f>
        <v>0.20091537900000001</v>
      </c>
      <c r="AI86">
        <f>IF(VLOOKUP(all_lmics181920[[Setting]:[Setting]],all_cause_mort[],23,FALSE)="",VLOOKUP(all_lmics181920[[who_choice_region]:[who_choice_region]],missing[],27,FALSE),VLOOKUP(all_lmics181920[[Setting]:[Setting]],all_cause_mort[],23,FALSE))*1.05</f>
        <v>0.29344150499999999</v>
      </c>
      <c r="AJ86">
        <f>IF(VLOOKUP(all_lmics181920[[Setting]:[Setting]],all_cause_mort[],24,FALSE)="",VLOOKUP(all_lmics181920[[who_choice_region]:[who_choice_region]],missing[],28,FALSE),VLOOKUP(all_lmics181920[[Setting]:[Setting]],all_cause_mort[],24,FALSE))*1.05</f>
        <v>0.4090277625</v>
      </c>
      <c r="AK86">
        <f>IF(VLOOKUP(all_lmics181920[[Setting]:[Setting]],all_cause_mort[],25,FALSE)="",VLOOKUP(all_lmics181920[[who_choice_region]:[who_choice_region]],missing[],29,FALSE),VLOOKUP(all_lmics181920[[Setting]:[Setting]],all_cause_mort[],25,FALSE))*1.05</f>
        <v>0.52509162848917112</v>
      </c>
      <c r="AL86">
        <f>VLOOKUP(all_lmics181920[[worldbank_region]:[worldbank_region]],Table13[],2,FALSE)*1.05</f>
        <v>46.7513991</v>
      </c>
      <c r="AM86">
        <f>VLOOKUP(all_lmics181920[[worldbank_region]:[worldbank_region]],Table13[],3,FALSE)*1.05</f>
        <v>46.7513991</v>
      </c>
      <c r="AN86">
        <f>VLOOKUP(all_lmics181920[[worldbank_region]:[worldbank_region]],Table13[],4,FALSE)*1.05</f>
        <v>96.866702099999983</v>
      </c>
      <c r="AO86">
        <f>VLOOKUP(all_lmics181920[[worldbank_region]:[worldbank_region]],Table13[],5,FALSE)*1.05</f>
        <v>96.866702099999983</v>
      </c>
      <c r="AP86">
        <f>VLOOKUP(all_lmics181920[[worldbank_region]:[worldbank_region]],Table13[],6,FALSE)*1.05</f>
        <v>96.866702099999983</v>
      </c>
      <c r="AQ86">
        <f>VLOOKUP(all_lmics181920[[worldbank_region]:[worldbank_region]],Table14[],2,FALSE)*1.05</f>
        <v>6.7392065999999993</v>
      </c>
      <c r="AR86">
        <f>VLOOKUP(all_lmics181920[[worldbank_region]:[worldbank_region]],Table14[],3,FALSE)*1.05</f>
        <v>7.3875815999999999</v>
      </c>
      <c r="AS86">
        <f>VLOOKUP(all_lmics181920[[worldbank_region]:[worldbank_region]],Table14[],4,FALSE)*1.05</f>
        <v>11.007016649999999</v>
      </c>
      <c r="AT86">
        <f>VLOOKUP(all_lmics181920[[worldbank_region]:[worldbank_region]],Table14[],5,FALSE)*1.05</f>
        <v>11.65539165</v>
      </c>
      <c r="AU86">
        <f>VLOOKUP(all_lmics181920[[worldbank_region]:[worldbank_region]],Table14[],6,FALSE)*1.05</f>
        <v>12.254156249999999</v>
      </c>
      <c r="AV86">
        <f>MIN(IFERROR(VLOOKUP(all_lmics181920[[Setting]:[Setting]],nFacSBA[],4,FALSE),VLOOKUP(all_lmics181920[[who_choice_region]:[who_choice_region]],missing[],30,FALSE))*1.05, 0.9999)</f>
        <v>0.5602570271020012</v>
      </c>
      <c r="AW86">
        <f>VLOOKUP(all_lmics181920[[worldbank_region]:[worldbank_region]],hbe[],4)</f>
        <v>0.5</v>
      </c>
      <c r="AX86">
        <f>VLOOKUP(all_lmics181920[[worldbank_region]:[worldbank_region]],hbe[],7)</f>
        <v>1</v>
      </c>
      <c r="AY86">
        <f>VLOOKUP(all_lmics181920[[worldbank_region]:[worldbank_region]],hbe[],10)</f>
        <v>0.25</v>
      </c>
    </row>
    <row r="87" spans="1:51" x14ac:dyDescent="0.35">
      <c r="A87" s="12" t="s">
        <v>220</v>
      </c>
      <c r="B87" s="13" t="s">
        <v>22</v>
      </c>
      <c r="C87" s="14" t="s">
        <v>383</v>
      </c>
      <c r="D87">
        <f>VLOOKUP(all_lmics181920[[Setting]:[Setting]],populations[],9,FALSE)</f>
        <v>31977065</v>
      </c>
      <c r="E87">
        <f>VLOOKUP(all_lmics181920[[Setting]:[Setting]],birthrate[],3,FALSE)</f>
        <v>1.9030000000000002E-2</v>
      </c>
      <c r="F87">
        <f>all_lmics181920[[#This Row],[2017_population]]*all_lmics181920[[#This Row],[2016_birthrate]]</f>
        <v>608523.54695000011</v>
      </c>
      <c r="G87">
        <f>MIN(VLOOKUP(all_lmics181920[[Setting]:[Setting]],birthdose[],4,FALSE)*1.05,0.9999)</f>
        <v>0.58800000000000008</v>
      </c>
      <c r="H87">
        <f>MIN(VLOOKUP(all_lmics181920[[Setting]:[Setting]],fullvax[],4,FALSE)*1.05,0.9999)</f>
        <v>0.88200000000000001</v>
      </c>
      <c r="I87">
        <f>IFERROR(VLOOKUP(all_lmics181920[[Setting]:[Setting]],prev[],3,FALSE),VLOOKUP(all_lmics181920[[who_choice_region]:[who_choice_region]],missing[],2,FALSE))</f>
        <v>1.2E-2</v>
      </c>
      <c r="J87">
        <f>IFERROR(VLOOKUP(all_lmics181920[[Setting]:[Setting]],prev[],4,FALSE),VLOOKUP(all_lmics181920[[who_choice_region]:[who_choice_region]],missing[],3,FALSE))</f>
        <v>1.0999999999999999E-2</v>
      </c>
      <c r="K87">
        <f>IFERROR(VLOOKUP(all_lmics181920[[Setting]:[Setting]],prev[],5,FALSE),VLOOKUP(all_lmics181920[[who_choice_region]:[who_choice_region]],missing[],4,FALSE))</f>
        <v>1.7999999999999999E-2</v>
      </c>
      <c r="L87">
        <f>IFERROR(VLOOKUP(all_lmics181920[[Setting]:[Setting]],prev[],7,FALSE),VLOOKUP(all_lmics181920[[who_choice_region]:[who_choice_region]],missing[],5,FALSE))</f>
        <v>3.0612244897959178E-3</v>
      </c>
      <c r="M87">
        <f>IFERROR(VLOOKUP(all_lmics181920[[Setting]:[Setting]],prev[],6,FALSE),0)</f>
        <v>31977065</v>
      </c>
      <c r="N87">
        <f>MIN(IFERROR(VLOOKUP(all_lmics181920[[Setting]:[Setting]],SBA[],4,FALSE),VLOOKUP(all_lmics181920[[who_choice_region]:[who_choice_region]],missing[],6,FALSE))*1.05, 0.9999)</f>
        <v>0.99990000000000001</v>
      </c>
      <c r="O87">
        <f>MIN(IFERROR(VLOOKUP(all_lmics181920[[Setting]:[Setting]], facility[], 3,FALSE),VLOOKUP(all_lmics181920[[who_choice_region]:[who_choice_region]],missing[],7,FALSE))*1.05, 0.9999)</f>
        <v>0.99990000000000001</v>
      </c>
      <c r="P87">
        <f>IF(VLOOKUP(all_lmics181920[[Setting]:[Setting]],all_cause_mort[],4,FALSE)="",VLOOKUP(all_lmics181920[[who_choice_region]:[who_choice_region]],missing[],8,FALSE),VLOOKUP(all_lmics181920[[Setting]:[Setting]],all_cause_mort[],4,FALSE))*1.05</f>
        <v>2.7609403500000001E-2</v>
      </c>
      <c r="Q87">
        <f>IF(VLOOKUP(all_lmics181920[[Setting]:[Setting]],all_cause_mort[],5,FALSE)="",VLOOKUP(all_lmics181920[[who_choice_region]:[who_choice_region]],missing[],9,FALSE),VLOOKUP(all_lmics181920[[Setting]:[Setting]],all_cause_mort[],5,FALSE))*1.05</f>
        <v>1.392867735E-3</v>
      </c>
      <c r="R87">
        <f>IF(VLOOKUP(all_lmics181920[[Setting]:[Setting]],all_cause_mort[],6,FALSE)="",VLOOKUP(all_lmics181920[[who_choice_region]:[who_choice_region]],missing[],10,FALSE),VLOOKUP(all_lmics181920[[Setting]:[Setting]],all_cause_mort[],6,FALSE))*1.05</f>
        <v>2.5292563800000003E-4</v>
      </c>
      <c r="S87">
        <f>IF(VLOOKUP(all_lmics181920[[Setting]:[Setting]],all_cause_mort[],7,FALSE)="",VLOOKUP(all_lmics181920[[who_choice_region]:[who_choice_region]],missing[],11,FALSE),VLOOKUP(all_lmics181920[[Setting]:[Setting]],all_cause_mort[],7,FALSE))*1.05</f>
        <v>3.64765737E-4</v>
      </c>
      <c r="T87">
        <f>IF(VLOOKUP(all_lmics181920[[Setting]:[Setting]],all_cause_mort[],8,FALSE)="",VLOOKUP(all_lmics181920[[who_choice_region]:[who_choice_region]],missing[],12,FALSE),VLOOKUP(all_lmics181920[[Setting]:[Setting]],all_cause_mort[],8,FALSE))*1.05</f>
        <v>1.4938743750000001E-3</v>
      </c>
      <c r="U87">
        <f>IF(VLOOKUP(all_lmics181920[[Setting]:[Setting]],all_cause_mort[],9,FALSE)="",VLOOKUP(all_lmics181920[[who_choice_region]:[who_choice_region]],missing[],13,FALSE),VLOOKUP(all_lmics181920[[Setting]:[Setting]],all_cause_mort[],9,FALSE))*1.05</f>
        <v>2.32587516E-3</v>
      </c>
      <c r="V87">
        <f>IF(VLOOKUP(all_lmics181920[[Setting]:[Setting]],all_cause_mort[],10,FALSE)="",VLOOKUP(all_lmics181920[[who_choice_region]:[who_choice_region]],missing[],14,FALSE),VLOOKUP(all_lmics181920[[Setting]:[Setting]],all_cause_mort[],10,FALSE))*1.05</f>
        <v>2.28611901E-3</v>
      </c>
      <c r="W87">
        <f>IF(VLOOKUP(all_lmics181920[[Setting]:[Setting]],all_cause_mort[],11,FALSE)="",VLOOKUP(all_lmics181920[[who_choice_region]:[who_choice_region]],missing[],15,FALSE),VLOOKUP(all_lmics181920[[Setting]:[Setting]],all_cause_mort[],11,FALSE))*1.05</f>
        <v>2.2470046200000005E-3</v>
      </c>
      <c r="X87">
        <f>IF(VLOOKUP(all_lmics181920[[Setting]:[Setting]],all_cause_mort[],12,FALSE)="",VLOOKUP(all_lmics181920[[who_choice_region]:[who_choice_region]],missing[],16,FALSE),VLOOKUP(all_lmics181920[[Setting]:[Setting]],all_cause_mort[],12,FALSE))*1.05</f>
        <v>2.2129312800000002E-3</v>
      </c>
      <c r="Y87">
        <f>IF(VLOOKUP(all_lmics181920[[Setting]:[Setting]],all_cause_mort[],13,FALSE)="",VLOOKUP(all_lmics181920[[who_choice_region]:[who_choice_region]],missing[],17,FALSE),VLOOKUP(all_lmics181920[[Setting]:[Setting]],all_cause_mort[],13,FALSE))*1.05</f>
        <v>2.7990909450000003E-3</v>
      </c>
      <c r="Z87">
        <f>IF(VLOOKUP(all_lmics181920[[Setting]:[Setting]],all_cause_mort[],14,FALSE)="",VLOOKUP(all_lmics181920[[who_choice_region]:[who_choice_region]],missing[],18,FALSE),VLOOKUP(all_lmics181920[[Setting]:[Setting]],all_cause_mort[],14,FALSE))*1.05</f>
        <v>4.1773964399999999E-3</v>
      </c>
      <c r="AA87">
        <f>IF(VLOOKUP(all_lmics181920[[Setting]:[Setting]],all_cause_mort[],15,FALSE)="",VLOOKUP(all_lmics181920[[who_choice_region]:[who_choice_region]],missing[],19,FALSE),VLOOKUP(all_lmics181920[[Setting]:[Setting]],all_cause_mort[],15,FALSE))*1.05</f>
        <v>6.738514755000001E-3</v>
      </c>
      <c r="AB87">
        <f>IF(VLOOKUP(all_lmics181920[[Setting]:[Setting]],all_cause_mort[],16,FALSE)="",VLOOKUP(all_lmics181920[[who_choice_region]:[who_choice_region]],missing[],20,FALSE),VLOOKUP(all_lmics181920[[Setting]:[Setting]],all_cause_mort[],16,FALSE))*1.05</f>
        <v>1.0283070420000002E-2</v>
      </c>
      <c r="AC87">
        <f>IF(VLOOKUP(all_lmics181920[[Setting]:[Setting]],all_cause_mort[],17,FALSE)="",VLOOKUP(all_lmics181920[[who_choice_region]:[who_choice_region]],missing[],21,FALSE),VLOOKUP(all_lmics181920[[Setting]:[Setting]],all_cause_mort[],17,FALSE))*1.05</f>
        <v>1.6215598349999999E-2</v>
      </c>
      <c r="AD87">
        <f>IF(VLOOKUP(all_lmics181920[[Setting]:[Setting]],all_cause_mort[],18,FALSE)="",VLOOKUP(all_lmics181920[[who_choice_region]:[who_choice_region]],missing[],22,FALSE),VLOOKUP(all_lmics181920[[Setting]:[Setting]],all_cause_mort[],18,FALSE))*1.05</f>
        <v>2.743222545E-2</v>
      </c>
      <c r="AE87">
        <f>IF(VLOOKUP(all_lmics181920[[Setting]:[Setting]],all_cause_mort[],19,FALSE)="",VLOOKUP(all_lmics181920[[who_choice_region]:[who_choice_region]],missing[],23,FALSE),VLOOKUP(all_lmics181920[[Setting]:[Setting]],all_cause_mort[],19,FALSE))*1.05</f>
        <v>4.19076777E-2</v>
      </c>
      <c r="AF87">
        <f>IF(VLOOKUP(all_lmics181920[[Setting]:[Setting]],all_cause_mort[],20,FALSE)="",VLOOKUP(all_lmics181920[[who_choice_region]:[who_choice_region]],missing[],24,FALSE),VLOOKUP(all_lmics181920[[Setting]:[Setting]],all_cause_mort[],20,FALSE))*1.05</f>
        <v>6.2995652999999999E-2</v>
      </c>
      <c r="AG87">
        <f>IF(VLOOKUP(all_lmics181920[[Setting]:[Setting]],all_cause_mort[],21,FALSE)="",VLOOKUP(all_lmics181920[[who_choice_region]:[who_choice_region]],missing[],25,FALSE),VLOOKUP(all_lmics181920[[Setting]:[Setting]],all_cause_mort[],21,FALSE))*1.05</f>
        <v>8.3043281999999996E-2</v>
      </c>
      <c r="AH87">
        <f>IF(VLOOKUP(all_lmics181920[[Setting]:[Setting]],all_cause_mort[],22,FALSE)="",VLOOKUP(all_lmics181920[[who_choice_region]:[who_choice_region]],missing[],26,FALSE),VLOOKUP(all_lmics181920[[Setting]:[Setting]],all_cause_mort[],22,FALSE))*1.05</f>
        <v>0.127663578</v>
      </c>
      <c r="AI87">
        <f>IF(VLOOKUP(all_lmics181920[[Setting]:[Setting]],all_cause_mort[],23,FALSE)="",VLOOKUP(all_lmics181920[[who_choice_region]:[who_choice_region]],missing[],27,FALSE),VLOOKUP(all_lmics181920[[Setting]:[Setting]],all_cause_mort[],23,FALSE))*1.05</f>
        <v>0.1710637425</v>
      </c>
      <c r="AJ87">
        <f>IF(VLOOKUP(all_lmics181920[[Setting]:[Setting]],all_cause_mort[],24,FALSE)="",VLOOKUP(all_lmics181920[[who_choice_region]:[who_choice_region]],missing[],28,FALSE),VLOOKUP(all_lmics181920[[Setting]:[Setting]],all_cause_mort[],24,FALSE))*1.05</f>
        <v>0.26098143750000002</v>
      </c>
      <c r="AK87">
        <f>IF(VLOOKUP(all_lmics181920[[Setting]:[Setting]],all_cause_mort[],25,FALSE)="",VLOOKUP(all_lmics181920[[who_choice_region]:[who_choice_region]],missing[],29,FALSE),VLOOKUP(all_lmics181920[[Setting]:[Setting]],all_cause_mort[],25,FALSE))*1.05</f>
        <v>0.38902601335441095</v>
      </c>
      <c r="AL87">
        <f>VLOOKUP(all_lmics181920[[worldbank_region]:[worldbank_region]],Table13[],2,FALSE)*1.05</f>
        <v>91.202986349999989</v>
      </c>
      <c r="AM87">
        <f>VLOOKUP(all_lmics181920[[worldbank_region]:[worldbank_region]],Table13[],3,FALSE)*1.05</f>
        <v>91.202986349999989</v>
      </c>
      <c r="AN87">
        <f>VLOOKUP(all_lmics181920[[worldbank_region]:[worldbank_region]],Table13[],4,FALSE)*1.05</f>
        <v>141.31828934999999</v>
      </c>
      <c r="AO87">
        <f>VLOOKUP(all_lmics181920[[worldbank_region]:[worldbank_region]],Table13[],5,FALSE)*1.05</f>
        <v>141.31828934999999</v>
      </c>
      <c r="AP87">
        <f>VLOOKUP(all_lmics181920[[worldbank_region]:[worldbank_region]],Table13[],6,FALSE)*1.05</f>
        <v>141.31828934999999</v>
      </c>
      <c r="AQ87">
        <f>VLOOKUP(all_lmics181920[[worldbank_region]:[worldbank_region]],Table14[],2,FALSE)*1.05</f>
        <v>1.5903741</v>
      </c>
      <c r="AR87">
        <f>VLOOKUP(all_lmics181920[[worldbank_region]:[worldbank_region]],Table14[],3,FALSE)*1.05</f>
        <v>2.2387491000000002</v>
      </c>
      <c r="AS87">
        <f>VLOOKUP(all_lmics181920[[worldbank_region]:[worldbank_region]],Table14[],4,FALSE)*1.05</f>
        <v>1.6132578000000002</v>
      </c>
      <c r="AT87">
        <f>VLOOKUP(all_lmics181920[[worldbank_region]:[worldbank_region]],Table14[],5,FALSE)*1.05</f>
        <v>2.2616328000000001</v>
      </c>
      <c r="AU87">
        <f>VLOOKUP(all_lmics181920[[worldbank_region]:[worldbank_region]],Table14[],6,FALSE)*1.05</f>
        <v>2.8603974000000001</v>
      </c>
      <c r="AV87">
        <f>MIN(IFERROR(VLOOKUP(all_lmics181920[[Setting]:[Setting]],nFacSBA[],4,FALSE),VLOOKUP(all_lmics181920[[who_choice_region]:[who_choice_region]],missing[],30,FALSE))*1.05, 0.9999)</f>
        <v>0.21428754022970595</v>
      </c>
      <c r="AW87">
        <f>VLOOKUP(all_lmics181920[[worldbank_region]:[worldbank_region]],hbe[],4)</f>
        <v>0.5</v>
      </c>
      <c r="AX87">
        <f>VLOOKUP(all_lmics181920[[worldbank_region]:[worldbank_region]],hbe[],7)</f>
        <v>1</v>
      </c>
      <c r="AY87">
        <f>VLOOKUP(all_lmics181920[[worldbank_region]:[worldbank_region]],hbe[],10)</f>
        <v>0.25</v>
      </c>
    </row>
    <row r="88" spans="1:51" x14ac:dyDescent="0.35">
      <c r="A88" s="8" t="s">
        <v>221</v>
      </c>
      <c r="B88" s="10" t="s">
        <v>57</v>
      </c>
      <c r="C88" s="11" t="s">
        <v>58</v>
      </c>
      <c r="D88">
        <f>VLOOKUP(all_lmics181920[[Setting]:[Setting]],populations[],9,FALSE)</f>
        <v>95540800</v>
      </c>
      <c r="E88">
        <f>VLOOKUP(all_lmics181920[[Setting]:[Setting]],birthrate[],3,FALSE)</f>
        <v>1.6690999999999998E-2</v>
      </c>
      <c r="F88">
        <f>all_lmics181920[[#This Row],[2017_population]]*all_lmics181920[[#This Row],[2016_birthrate]]</f>
        <v>1594671.4927999997</v>
      </c>
      <c r="G88">
        <f>MIN(VLOOKUP(all_lmics181920[[Setting]:[Setting]],birthdose[],4,FALSE)*1.05,0.9999)</f>
        <v>0.80850000000000011</v>
      </c>
      <c r="H88">
        <f>MIN(VLOOKUP(all_lmics181920[[Setting]:[Setting]],fullvax[],4,FALSE)*1.05,0.9999)</f>
        <v>0.98699999999999999</v>
      </c>
      <c r="I88">
        <f>IFERROR(VLOOKUP(all_lmics181920[[Setting]:[Setting]],prev[],3,FALSE),VLOOKUP(all_lmics181920[[who_choice_region]:[who_choice_region]],missing[],2,FALSE))</f>
        <v>8.2000000000000003E-2</v>
      </c>
      <c r="J88">
        <f>IFERROR(VLOOKUP(all_lmics181920[[Setting]:[Setting]],prev[],4,FALSE),VLOOKUP(all_lmics181920[[who_choice_region]:[who_choice_region]],missing[],3,FALSE))</f>
        <v>7.2999999999999995E-2</v>
      </c>
      <c r="K88">
        <f>IFERROR(VLOOKUP(all_lmics181920[[Setting]:[Setting]],prev[],5,FALSE),VLOOKUP(all_lmics181920[[who_choice_region]:[who_choice_region]],missing[],4,FALSE))</f>
        <v>0.10299999999999999</v>
      </c>
      <c r="L88">
        <f>IFERROR(VLOOKUP(all_lmics181920[[Setting]:[Setting]],prev[],7,FALSE),VLOOKUP(all_lmics181920[[who_choice_region]:[who_choice_region]],missing[],5,FALSE))</f>
        <v>1.0714285714285709E-2</v>
      </c>
      <c r="M88">
        <f>IFERROR(VLOOKUP(all_lmics181920[[Setting]:[Setting]],prev[],6,FALSE),0)</f>
        <v>95540800</v>
      </c>
      <c r="N88">
        <f>MIN(IFERROR(VLOOKUP(all_lmics181920[[Setting]:[Setting]],SBA[],4,FALSE),VLOOKUP(all_lmics181920[[who_choice_region]:[who_choice_region]],missing[],6,FALSE))*1.05, 0.9999)</f>
        <v>0.9849</v>
      </c>
      <c r="O88">
        <f>MIN(IFERROR(VLOOKUP(all_lmics181920[[Setting]:[Setting]], facility[], 3,FALSE),VLOOKUP(all_lmics181920[[who_choice_region]:[who_choice_region]],missing[],7,FALSE))*1.05, 0.9999)</f>
        <v>0.98280000000000001</v>
      </c>
      <c r="P88">
        <f>IF(VLOOKUP(all_lmics181920[[Setting]:[Setting]],all_cause_mort[],4,FALSE)="",VLOOKUP(all_lmics181920[[who_choice_region]:[who_choice_region]],missing[],8,FALSE),VLOOKUP(all_lmics181920[[Setting]:[Setting]],all_cause_mort[],4,FALSE))*1.05</f>
        <v>1.7825637900000003E-2</v>
      </c>
      <c r="Q88">
        <f>IF(VLOOKUP(all_lmics181920[[Setting]:[Setting]],all_cause_mort[],5,FALSE)="",VLOOKUP(all_lmics181920[[who_choice_region]:[who_choice_region]],missing[],9,FALSE),VLOOKUP(all_lmics181920[[Setting]:[Setting]],all_cause_mort[],5,FALSE))*1.05</f>
        <v>1.13067864E-3</v>
      </c>
      <c r="R88">
        <f>IF(VLOOKUP(all_lmics181920[[Setting]:[Setting]],all_cause_mort[],6,FALSE)="",VLOOKUP(all_lmics181920[[who_choice_region]:[who_choice_region]],missing[],10,FALSE),VLOOKUP(all_lmics181920[[Setting]:[Setting]],all_cause_mort[],6,FALSE))*1.05</f>
        <v>5.4656347199999998E-4</v>
      </c>
      <c r="S88">
        <f>IF(VLOOKUP(all_lmics181920[[Setting]:[Setting]],all_cause_mort[],7,FALSE)="",VLOOKUP(all_lmics181920[[who_choice_region]:[who_choice_region]],missing[],11,FALSE),VLOOKUP(all_lmics181920[[Setting]:[Setting]],all_cause_mort[],7,FALSE))*1.05</f>
        <v>4.8801906300000004E-4</v>
      </c>
      <c r="T88">
        <f>IF(VLOOKUP(all_lmics181920[[Setting]:[Setting]],all_cause_mort[],8,FALSE)="",VLOOKUP(all_lmics181920[[who_choice_region]:[who_choice_region]],missing[],12,FALSE),VLOOKUP(all_lmics181920[[Setting]:[Setting]],all_cause_mort[],8,FALSE))*1.05</f>
        <v>7.8581104350000002E-4</v>
      </c>
      <c r="U88">
        <f>IF(VLOOKUP(all_lmics181920[[Setting]:[Setting]],all_cause_mort[],9,FALSE)="",VLOOKUP(all_lmics181920[[who_choice_region]:[who_choice_region]],missing[],13,FALSE),VLOOKUP(all_lmics181920[[Setting]:[Setting]],all_cause_mort[],9,FALSE))*1.05</f>
        <v>1.1527290600000001E-3</v>
      </c>
      <c r="V88">
        <f>IF(VLOOKUP(all_lmics181920[[Setting]:[Setting]],all_cause_mort[],10,FALSE)="",VLOOKUP(all_lmics181920[[who_choice_region]:[who_choice_region]],missing[],14,FALSE),VLOOKUP(all_lmics181920[[Setting]:[Setting]],all_cause_mort[],10,FALSE))*1.05</f>
        <v>1.41993054E-3</v>
      </c>
      <c r="W88">
        <f>IF(VLOOKUP(all_lmics181920[[Setting]:[Setting]],all_cause_mort[],11,FALSE)="",VLOOKUP(all_lmics181920[[who_choice_region]:[who_choice_region]],missing[],15,FALSE),VLOOKUP(all_lmics181920[[Setting]:[Setting]],all_cause_mort[],11,FALSE))*1.05</f>
        <v>1.6591080450000001E-3</v>
      </c>
      <c r="X88">
        <f>IF(VLOOKUP(all_lmics181920[[Setting]:[Setting]],all_cause_mort[],12,FALSE)="",VLOOKUP(all_lmics181920[[who_choice_region]:[who_choice_region]],missing[],16,FALSE),VLOOKUP(all_lmics181920[[Setting]:[Setting]],all_cause_mort[],12,FALSE))*1.05</f>
        <v>2.0537946449999999E-3</v>
      </c>
      <c r="Y88">
        <f>IF(VLOOKUP(all_lmics181920[[Setting]:[Setting]],all_cause_mort[],13,FALSE)="",VLOOKUP(all_lmics181920[[who_choice_region]:[who_choice_region]],missing[],17,FALSE),VLOOKUP(all_lmics181920[[Setting]:[Setting]],all_cause_mort[],13,FALSE))*1.05</f>
        <v>2.9027252100000001E-3</v>
      </c>
      <c r="Z88">
        <f>IF(VLOOKUP(all_lmics181920[[Setting]:[Setting]],all_cause_mort[],14,FALSE)="",VLOOKUP(all_lmics181920[[who_choice_region]:[who_choice_region]],missing[],18,FALSE),VLOOKUP(all_lmics181920[[Setting]:[Setting]],all_cause_mort[],14,FALSE))*1.05</f>
        <v>4.0757099250000005E-3</v>
      </c>
      <c r="AA88">
        <f>IF(VLOOKUP(all_lmics181920[[Setting]:[Setting]],all_cause_mort[],15,FALSE)="",VLOOKUP(all_lmics181920[[who_choice_region]:[who_choice_region]],missing[],19,FALSE),VLOOKUP(all_lmics181920[[Setting]:[Setting]],all_cause_mort[],15,FALSE))*1.05</f>
        <v>6.4937475750000001E-3</v>
      </c>
      <c r="AB88">
        <f>IF(VLOOKUP(all_lmics181920[[Setting]:[Setting]],all_cause_mort[],16,FALSE)="",VLOOKUP(all_lmics181920[[who_choice_region]:[who_choice_region]],missing[],20,FALSE),VLOOKUP(all_lmics181920[[Setting]:[Setting]],all_cause_mort[],16,FALSE))*1.05</f>
        <v>9.7580898449999998E-3</v>
      </c>
      <c r="AC88">
        <f>IF(VLOOKUP(all_lmics181920[[Setting]:[Setting]],all_cause_mort[],17,FALSE)="",VLOOKUP(all_lmics181920[[who_choice_region]:[who_choice_region]],missing[],21,FALSE),VLOOKUP(all_lmics181920[[Setting]:[Setting]],all_cause_mort[],17,FALSE))*1.05</f>
        <v>1.33792449E-2</v>
      </c>
      <c r="AD88">
        <f>IF(VLOOKUP(all_lmics181920[[Setting]:[Setting]],all_cause_mort[],18,FALSE)="",VLOOKUP(all_lmics181920[[who_choice_region]:[who_choice_region]],missing[],22,FALSE),VLOOKUP(all_lmics181920[[Setting]:[Setting]],all_cause_mort[],18,FALSE))*1.05</f>
        <v>2.16549459E-2</v>
      </c>
      <c r="AE88">
        <f>IF(VLOOKUP(all_lmics181920[[Setting]:[Setting]],all_cause_mort[],19,FALSE)="",VLOOKUP(all_lmics181920[[who_choice_region]:[who_choice_region]],missing[],23,FALSE),VLOOKUP(all_lmics181920[[Setting]:[Setting]],all_cause_mort[],19,FALSE))*1.05</f>
        <v>3.2207545650000002E-2</v>
      </c>
      <c r="AF88">
        <f>IF(VLOOKUP(all_lmics181920[[Setting]:[Setting]],all_cause_mort[],20,FALSE)="",VLOOKUP(all_lmics181920[[who_choice_region]:[who_choice_region]],missing[],24,FALSE),VLOOKUP(all_lmics181920[[Setting]:[Setting]],all_cause_mort[],20,FALSE))*1.05</f>
        <v>4.8272239050000006E-2</v>
      </c>
      <c r="AG88">
        <f>IF(VLOOKUP(all_lmics181920[[Setting]:[Setting]],all_cause_mort[],21,FALSE)="",VLOOKUP(all_lmics181920[[who_choice_region]:[who_choice_region]],missing[],25,FALSE),VLOOKUP(all_lmics181920[[Setting]:[Setting]],all_cause_mort[],21,FALSE))*1.05</f>
        <v>7.2272558400000006E-2</v>
      </c>
      <c r="AH88">
        <f>IF(VLOOKUP(all_lmics181920[[Setting]:[Setting]],all_cause_mort[],22,FALSE)="",VLOOKUP(all_lmics181920[[who_choice_region]:[who_choice_region]],missing[],26,FALSE),VLOOKUP(all_lmics181920[[Setting]:[Setting]],all_cause_mort[],22,FALSE))*1.05</f>
        <v>0.10753492050000001</v>
      </c>
      <c r="AI88">
        <f>IF(VLOOKUP(all_lmics181920[[Setting]:[Setting]],all_cause_mort[],23,FALSE)="",VLOOKUP(all_lmics181920[[who_choice_region]:[who_choice_region]],missing[],27,FALSE),VLOOKUP(all_lmics181920[[Setting]:[Setting]],all_cause_mort[],23,FALSE))*1.05</f>
        <v>0.15802663800000002</v>
      </c>
      <c r="AJ88">
        <f>IF(VLOOKUP(all_lmics181920[[Setting]:[Setting]],all_cause_mort[],24,FALSE)="",VLOOKUP(all_lmics181920[[who_choice_region]:[who_choice_region]],missing[],28,FALSE),VLOOKUP(all_lmics181920[[Setting]:[Setting]],all_cause_mort[],24,FALSE))*1.05</f>
        <v>0.22728747299999999</v>
      </c>
      <c r="AK88">
        <f>IF(VLOOKUP(all_lmics181920[[Setting]:[Setting]],all_cause_mort[],25,FALSE)="",VLOOKUP(all_lmics181920[[who_choice_region]:[who_choice_region]],missing[],29,FALSE),VLOOKUP(all_lmics181920[[Setting]:[Setting]],all_cause_mort[],25,FALSE))*1.05</f>
        <v>0.33256822581724566</v>
      </c>
      <c r="AL88">
        <f>VLOOKUP(all_lmics181920[[worldbank_region]:[worldbank_region]],Table13[],2,FALSE)*1.05</f>
        <v>76.717604249999994</v>
      </c>
      <c r="AM88">
        <f>VLOOKUP(all_lmics181920[[worldbank_region]:[worldbank_region]],Table13[],3,FALSE)*1.05</f>
        <v>76.717604249999994</v>
      </c>
      <c r="AN88">
        <f>VLOOKUP(all_lmics181920[[worldbank_region]:[worldbank_region]],Table13[],4,FALSE)*1.05</f>
        <v>126.83290724999999</v>
      </c>
      <c r="AO88">
        <f>VLOOKUP(all_lmics181920[[worldbank_region]:[worldbank_region]],Table13[],5,FALSE)*1.05</f>
        <v>126.83290724999999</v>
      </c>
      <c r="AP88">
        <f>VLOOKUP(all_lmics181920[[worldbank_region]:[worldbank_region]],Table13[],6,FALSE)*1.05</f>
        <v>126.83290724999999</v>
      </c>
      <c r="AQ88">
        <f>VLOOKUP(all_lmics181920[[worldbank_region]:[worldbank_region]],Table14[],2,FALSE)*1.05</f>
        <v>1.4073045</v>
      </c>
      <c r="AR88">
        <f>VLOOKUP(all_lmics181920[[worldbank_region]:[worldbank_region]],Table14[],3,FALSE)*1.05</f>
        <v>2.0556795000000001</v>
      </c>
      <c r="AS88">
        <f>VLOOKUP(all_lmics181920[[worldbank_region]:[worldbank_region]],Table14[],4,FALSE)*1.05</f>
        <v>2.0709317999999999</v>
      </c>
      <c r="AT88">
        <f>VLOOKUP(all_lmics181920[[worldbank_region]:[worldbank_region]],Table14[],5,FALSE)*1.05</f>
        <v>2.7193068</v>
      </c>
      <c r="AU88">
        <f>VLOOKUP(all_lmics181920[[worldbank_region]:[worldbank_region]],Table14[],6,FALSE)*1.05</f>
        <v>3.3180714</v>
      </c>
      <c r="AV88">
        <f>MIN(IFERROR(VLOOKUP(all_lmics181920[[Setting]:[Setting]],nFacSBA[],4,FALSE),VLOOKUP(all_lmics181920[[who_choice_region]:[who_choice_region]],missing[],30,FALSE))*1.05, 0.9999)</f>
        <v>0.11758441854463569</v>
      </c>
      <c r="AW88">
        <f>VLOOKUP(all_lmics181920[[worldbank_region]:[worldbank_region]],hbe[],4)</f>
        <v>0.5</v>
      </c>
      <c r="AX88">
        <f>VLOOKUP(all_lmics181920[[worldbank_region]:[worldbank_region]],hbe[],7)</f>
        <v>1</v>
      </c>
      <c r="AY88">
        <f>VLOOKUP(all_lmics181920[[worldbank_region]:[worldbank_region]],hbe[],10)</f>
        <v>0.25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Y8"/>
  <sheetViews>
    <sheetView topLeftCell="AF1" workbookViewId="0">
      <selection activeCell="AV8" sqref="AV8"/>
    </sheetView>
  </sheetViews>
  <sheetFormatPr defaultRowHeight="14.5" x14ac:dyDescent="0.35"/>
  <cols>
    <col min="1" max="1" width="41.54296875" customWidth="1"/>
    <col min="2" max="2" width="19" customWidth="1"/>
    <col min="3" max="3" width="18.08984375" customWidth="1"/>
    <col min="4" max="4" width="17" customWidth="1"/>
    <col min="5" max="5" width="15.36328125" customWidth="1"/>
    <col min="6" max="6" width="12.7265625" customWidth="1"/>
    <col min="7" max="7" width="11.90625" customWidth="1"/>
    <col min="10" max="10" width="9.08984375" customWidth="1"/>
    <col min="11" max="11" width="9.7265625" customWidth="1"/>
    <col min="13" max="13" width="10.81640625" customWidth="1"/>
    <col min="19" max="36" width="10.54296875" customWidth="1"/>
    <col min="37" max="37" width="9.54296875" customWidth="1"/>
    <col min="45" max="45" width="9" customWidth="1"/>
    <col min="46" max="46" width="9.7265625" customWidth="1"/>
    <col min="47" max="47" width="11.36328125" customWidth="1"/>
    <col min="48" max="48" width="12.453125" customWidth="1"/>
    <col min="49" max="49" width="10.7265625" customWidth="1"/>
    <col min="50" max="50" width="10" customWidth="1"/>
    <col min="51" max="51" width="12.08984375" customWidth="1"/>
  </cols>
  <sheetData>
    <row r="1" spans="1:51" x14ac:dyDescent="0.35">
      <c r="A1" t="s">
        <v>441</v>
      </c>
      <c r="B1" t="s">
        <v>442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240</v>
      </c>
      <c r="J1" t="s">
        <v>450</v>
      </c>
      <c r="K1" t="s">
        <v>451</v>
      </c>
      <c r="L1" t="s">
        <v>244</v>
      </c>
      <c r="M1" t="s">
        <v>452</v>
      </c>
      <c r="N1" t="s">
        <v>453</v>
      </c>
      <c r="O1" t="s">
        <v>454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455</v>
      </c>
      <c r="AW1" t="s">
        <v>374</v>
      </c>
      <c r="AX1" t="s">
        <v>377</v>
      </c>
      <c r="AY1" t="s">
        <v>456</v>
      </c>
    </row>
    <row r="2" spans="1:51" x14ac:dyDescent="0.35">
      <c r="A2" s="14" t="s">
        <v>11</v>
      </c>
      <c r="D2">
        <f>SUMPRODUCT((all_lmics[[worldbank_region]:[worldbank_region]]=Table20[[#This Row],[Setting]])*(all_lmics[[2017_population]:[2017_population]]))</f>
        <v>465351556</v>
      </c>
      <c r="F2" s="41">
        <f>SUMPRODUCT((all_lmics[[worldbank_region]:[worldbank_region]]=Table20[[#This Row],[Setting]])*(all_lmics[[2017_births]:[2017_births]]))</f>
        <v>6695467.8521889988</v>
      </c>
      <c r="G2">
        <f>SUMPRODUCT((all_lmics[worldbank_region]=$A2)*(LEN(all_lmics[birth_dose])&gt;0)*(all_lmics[birth_dose])*(all_lmics[2017_births]))/SUMPRODUCT((all_lmics[worldbank_region]=$A2)*(LEN(all_lmics[birth_dose])&gt;0)*(all_lmics[2017_births]))</f>
        <v>0.63509226586552192</v>
      </c>
      <c r="H2">
        <f>SUMPRODUCT((all_lmics[worldbank_region]=$A2)*(LEN(all_lmics[HBV3])&gt;0)*(all_lmics[HBV3])*(all_lmics[2017_births]))/SUMPRODUCT((all_lmics[worldbank_region]=$A2)*(LEN(all_lmics[HBV3])&gt;0)*(all_lmics[2017_births]))</f>
        <v>0.9197667135256935</v>
      </c>
      <c r="I2">
        <f>SUMPRODUCT((all_lmics[[worldbank_region]:[worldbank_region]]=$A2)*(LEN(all_lmics[prev])&gt;1)*(all_lmics[prev])*(all_lmics[[2017_population]:[2017_population]]))/SUMPRODUCT((all_lmics[[worldbank_region]:[worldbank_region]]=$A2)*(LEN(all_lmics[prev])&gt;1)*(all_lmics[[2017_population]:[2017_population]]))</f>
        <v>2.6627910862122694E-2</v>
      </c>
      <c r="J2">
        <f>SUMPRODUCT((all_lmics[[worldbank_region]:[worldbank_region]]=$A2)*(LEN(all_lmics[prev_lb])&gt;1)*(all_lmics[prev_lb])*(all_lmics[[2017_population]:[2017_population]]))/SUMPRODUCT((all_lmics[[worldbank_region]:[worldbank_region]]=$A2)*(LEN(all_lmics[prev_lb])&gt;1)*(all_lmics[[2017_population]:[2017_population]]))</f>
        <v>1.7978947126464931E-2</v>
      </c>
      <c r="K2">
        <f>SUMPRODUCT((all_lmics[[worldbank_region]:[worldbank_region]]=$A2)*(LEN(all_lmics[prev_ub])&gt;1)*(all_lmics[prev_ub])*(all_lmics[[2017_population]:[2017_population]]))/SUMPRODUCT((all_lmics[[worldbank_region]:[worldbank_region]]=$A2)*(LEN(all_lmics[prev_ub])&gt;1)*(all_lmics[[2017_population]:[2017_population]]))</f>
        <v>3.4613649020426379E-2</v>
      </c>
      <c r="L2">
        <f>SUMPRODUCT((all_lmics[[worldbank_region]:[worldbank_region]]=$A2)*(LEN(all_lmics[sigma])&gt;1)*(all_lmics[sigma])*(all_lmics[[2017_population]:[2017_population]]))/SUMPRODUCT((all_lmics[[worldbank_region]:[worldbank_region]]=$A2)*(LEN(all_lmics[sigma])&gt;1)*(all_lmics[[2017_population]:[2017_population]]))</f>
        <v>4.0743562032161717E-3</v>
      </c>
      <c r="N2">
        <f>SUMPRODUCT((all_lmics[[worldbank_region]:[worldbank_region]]=$A2)*(LEN(all_lmics[SBA])&gt;0)*(all_lmics[SBA])*(all_lmics[[2017_births]:[2017_births]]))/SUMPRODUCT((all_lmics[[worldbank_region]:[worldbank_region]]=$A2)*(LEN(all_lmics[SBA])&gt;0)*(all_lmics[[2017_births]:[2017_births]]))</f>
        <v>0.98760979229178036</v>
      </c>
      <c r="O2">
        <f>SUMPRODUCT((all_lmics[[worldbank_region]:[worldbank_region]]=$A2)*(LEN(all_lmics[Facility])&gt;0)*(all_lmics[Facility])*(all_lmics[[2017_births]:[2017_births]]))/SUMPRODUCT((all_lmics[[worldbank_region]:[worldbank_region]]=$A2)*(LEN(all_lmics[Facility])&gt;0)*(all_lmics[[2017_births]:[2017_births]]))</f>
        <v>0.94814552693583742</v>
      </c>
      <c r="P2">
        <f>SUMPRODUCT((all_lmics[[worldbank_region]:[worldbank_region]]=$A2)*(LEN(all_lmics[mu_01])&gt;0)*(all_lmics[mu_01])*(all_lmics[[2017_births]:[2017_births]]))/SUMPRODUCT((all_lmics[[worldbank_region]:[worldbank_region]]=$A2)*(LEN(all_lmics[mu_01])&gt;0)*(all_lmics[[2017_births]:[2017_births]]))</f>
        <v>1.0636257753381225E-2</v>
      </c>
      <c r="Q2">
        <f>SUMPRODUCT((all_lmics[[worldbank_region]:[worldbank_region]]=$A2)*(LEN(all_lmics[mu_14])&gt;0)*(all_lmics[mu_14])*(all_lmics[[2017_births]:[2017_births]]))/SUMPRODUCT((all_lmics[[worldbank_region]:[worldbank_region]]=$A2)*(LEN(all_lmics[mu_14])&gt;0)*(all_lmics[[2017_births]:[2017_births]]))</f>
        <v>6.6899523830674156E-4</v>
      </c>
      <c r="R2">
        <f>SUMPRODUCT((all_lmics[[worldbank_region]:[worldbank_region]]=$A2)*(LEN(all_lmics[mu_59])&gt;0)*(all_lmics[mu_59])*(all_lmics[[2017_births]:[2017_births]]))/SUMPRODUCT((all_lmics[[worldbank_region]:[worldbank_region]]=$A2)*(LEN(all_lmics[mu_59])&gt;0)*(all_lmics[[2017_births]:[2017_births]]))</f>
        <v>3.0485531225714737E-4</v>
      </c>
      <c r="S2">
        <f>SUMPRODUCT((all_lmics[[worldbank_region]:[worldbank_region]]=$A2)*(LEN(all_lmics[mu_1014])&gt;0)*(all_lmics[mu_1014])*(all_lmics[[2017_births]:[2017_births]]))/SUMPRODUCT((all_lmics[[worldbank_region]:[worldbank_region]]=$A2)*(LEN(all_lmics[mu_1014])&gt;0)*(all_lmics[[2017_births]:[2017_births]]))</f>
        <v>3.1563035274386408E-4</v>
      </c>
      <c r="T2">
        <f>SUMPRODUCT((all_lmics[[worldbank_region]:[worldbank_region]]=$A2)*(LEN(all_lmics[mu_1519])&gt;0)*(all_lmics[mu_1519])*(all_lmics[[2017_births]:[2017_births]]))/SUMPRODUCT((all_lmics[[worldbank_region]:[worldbank_region]]=$A2)*(LEN(all_lmics[mu_1519])&gt;0)*(all_lmics[[2017_births]:[2017_births]]))</f>
        <v>5.6191867467982558E-4</v>
      </c>
      <c r="U2">
        <f>SUMPRODUCT((all_lmics[[worldbank_region]:[worldbank_region]]=$A2)*(LEN(all_lmics[mu_2024])&gt;0)*(all_lmics[mu_2024])*(all_lmics[[2017_births]:[2017_births]]))/SUMPRODUCT((all_lmics[[worldbank_region]:[worldbank_region]]=$A2)*(LEN(all_lmics[mu_2024])&gt;0)*(all_lmics[[2017_births]:[2017_births]]))</f>
        <v>8.7256383860361767E-4</v>
      </c>
      <c r="V2">
        <f>SUMPRODUCT((all_lmics[[worldbank_region]:[worldbank_region]]=$A2)*(LEN(all_lmics[mu_2529])&gt;0)*(all_lmics[mu_2529])*(all_lmics[[2017_births]:[2017_births]]))/SUMPRODUCT((all_lmics[[worldbank_region]:[worldbank_region]]=$A2)*(LEN(all_lmics[mu_2529])&gt;0)*(all_lmics[[2017_births]:[2017_births]]))</f>
        <v>1.2366100734948933E-3</v>
      </c>
      <c r="W2">
        <f>SUMPRODUCT((all_lmics[[worldbank_region]:[worldbank_region]]=$A2)*(LEN(all_lmics[mu_3034])&gt;0)*(all_lmics[mu_3034])*(all_lmics[[2017_births]:[2017_births]]))/SUMPRODUCT((all_lmics[[worldbank_region]:[worldbank_region]]=$A2)*(LEN(all_lmics[mu_3034])&gt;0)*(all_lmics[[2017_births]:[2017_births]]))</f>
        <v>1.8582005051545317E-3</v>
      </c>
      <c r="X2">
        <f>SUMPRODUCT((all_lmics[[worldbank_region]:[worldbank_region]]=$A2)*(LEN(all_lmics[mu_3539])&gt;0)*(all_lmics[mu_3539])*(all_lmics[[2017_births]:[2017_births]]))/SUMPRODUCT((all_lmics[[worldbank_region]:[worldbank_region]]=$A2)*(LEN(all_lmics[mu_3539])&gt;0)*(all_lmics[[2017_births]:[2017_births]]))</f>
        <v>2.6555420661846822E-3</v>
      </c>
      <c r="Y2">
        <f>SUMPRODUCT((all_lmics[[worldbank_region]:[worldbank_region]]=$A2)*(LEN(all_lmics[mu_4044])&gt;0)*(all_lmics[mu_4044])*(all_lmics[[2017_births]:[2017_births]]))/SUMPRODUCT((all_lmics[[worldbank_region]:[worldbank_region]]=$A2)*(LEN(all_lmics[mu_4044])&gt;0)*(all_lmics[[2017_births]:[2017_births]]))</f>
        <v>3.4458001043374794E-3</v>
      </c>
      <c r="Z2">
        <f>SUMPRODUCT((all_lmics[[worldbank_region]:[worldbank_region]]=$A2)*(LEN(all_lmics[mu_4549])&gt;0)*(all_lmics[mu_4549])*(all_lmics[[2017_births]:[2017_births]]))/SUMPRODUCT((all_lmics[[worldbank_region]:[worldbank_region]]=$A2)*(LEN(all_lmics[mu_4549])&gt;0)*(all_lmics[[2017_births]:[2017_births]]))</f>
        <v>4.6640584873455333E-3</v>
      </c>
      <c r="AA2">
        <f>SUMPRODUCT((all_lmics[[worldbank_region]:[worldbank_region]]=$A2)*(LEN(all_lmics[mu_5054])&gt;0)*(all_lmics[mu_5054])*(all_lmics[[2017_births]:[2017_births]]))/SUMPRODUCT((all_lmics[[worldbank_region]:[worldbank_region]]=$A2)*(LEN(all_lmics[mu_5054])&gt;0)*(all_lmics[[2017_births]:[2017_births]]))</f>
        <v>6.8243638629510821E-3</v>
      </c>
      <c r="AB2">
        <f>SUMPRODUCT((all_lmics[[worldbank_region]:[worldbank_region]]=$A2)*(LEN(all_lmics[mu_5559])&gt;0)*(all_lmics[mu_5559])*(all_lmics[[2017_births]:[2017_births]]))/SUMPRODUCT((all_lmics[[worldbank_region]:[worldbank_region]]=$A2)*(LEN(all_lmics[mu_5559])&gt;0)*(all_lmics[[2017_births]:[2017_births]]))</f>
        <v>1.02863624253906E-2</v>
      </c>
      <c r="AC2">
        <f>SUMPRODUCT((all_lmics[[worldbank_region]:[worldbank_region]]=$A2)*(LEN(all_lmics[mu_6064])&gt;0)*(all_lmics[mu_6064])*(all_lmics[[2017_births]:[2017_births]]))/SUMPRODUCT((all_lmics[[worldbank_region]:[worldbank_region]]=$A2)*(LEN(all_lmics[mu_6064])&gt;0)*(all_lmics[[2017_births]:[2017_births]]))</f>
        <v>1.5894655805331479E-2</v>
      </c>
      <c r="AD2">
        <f>SUMPRODUCT((all_lmics[[worldbank_region]:[worldbank_region]]=$A2)*(LEN(all_lmics[mu_6569])&gt;0)*(all_lmics[mu_6569])*(all_lmics[[2017_births]:[2017_births]]))/SUMPRODUCT((all_lmics[[worldbank_region]:[worldbank_region]]=$A2)*(LEN(all_lmics[mu_6569])&gt;0)*(all_lmics[[2017_births]:[2017_births]]))</f>
        <v>2.3321433144442728E-2</v>
      </c>
      <c r="AE2">
        <f>SUMPRODUCT((all_lmics[[worldbank_region]:[worldbank_region]]=$A2)*(LEN(all_lmics[mu_7074])&gt;0)*(all_lmics[mu_7074])*(all_lmics[[2017_births]:[2017_births]]))/SUMPRODUCT((all_lmics[[worldbank_region]:[worldbank_region]]=$A2)*(LEN(all_lmics[mu_7074])&gt;0)*(all_lmics[[2017_births]:[2017_births]]))</f>
        <v>3.670808841272092E-2</v>
      </c>
      <c r="AF2">
        <f>SUMPRODUCT((all_lmics[[worldbank_region]:[worldbank_region]]=$A2)*(LEN(all_lmics[mu_7579])&gt;0)*(all_lmics[mu_7579])*(all_lmics[[2017_births]:[2017_births]]))/SUMPRODUCT((all_lmics[[worldbank_region]:[worldbank_region]]=$A2)*(LEN(all_lmics[mu_7579])&gt;0)*(all_lmics[[2017_births]:[2017_births]]))</f>
        <v>6.0050563925061688E-2</v>
      </c>
      <c r="AG2">
        <f>SUMPRODUCT((all_lmics[[worldbank_region]:[worldbank_region]]=$A2)*(LEN(all_lmics[mu_8084])&gt;0)*(all_lmics[mu_8084])*(all_lmics[[2017_births]:[2017_births]]))/SUMPRODUCT((all_lmics[[worldbank_region]:[worldbank_region]]=$A2)*(LEN(all_lmics[mu_8084])&gt;0)*(all_lmics[[2017_births]:[2017_births]]))</f>
        <v>9.8937702866329497E-2</v>
      </c>
      <c r="AH2">
        <f>SUMPRODUCT((all_lmics[[worldbank_region]:[worldbank_region]]=$A2)*(LEN(all_lmics[mu_8589])&gt;0)*(all_lmics[mu_8589])*(all_lmics[[2017_births]:[2017_births]]))/SUMPRODUCT((all_lmics[[worldbank_region]:[worldbank_region]]=$A2)*(LEN(all_lmics[mu_8589])&gt;0)*(all_lmics[[2017_births]:[2017_births]]))</f>
        <v>0.15464510887615221</v>
      </c>
      <c r="AI2">
        <f>SUMPRODUCT((all_lmics[[worldbank_region]:[worldbank_region]]=$A2)*(LEN(all_lmics[mu_9094])&gt;0)*(all_lmics[mu_9094])*(all_lmics[[2017_births]:[2017_births]]))/SUMPRODUCT((all_lmics[[worldbank_region]:[worldbank_region]]=$A2)*(LEN(all_lmics[mu_9094])&gt;0)*(all_lmics[[2017_births]:[2017_births]]))</f>
        <v>0.23575111155887157</v>
      </c>
      <c r="AJ2">
        <f>SUMPRODUCT((all_lmics[[worldbank_region]:[worldbank_region]]=$A2)*(LEN(all_lmics[mu_9599])&gt;0)*(all_lmics[mu_9599])*(all_lmics[[2017_births]:[2017_births]]))/SUMPRODUCT((all_lmics[[worldbank_region]:[worldbank_region]]=$A2)*(LEN(all_lmics[mu_9599])&gt;0)*(all_lmics[[2017_births]:[2017_births]]))</f>
        <v>0.34184269115124905</v>
      </c>
      <c r="AK2">
        <f>SUMPRODUCT((all_lmics[[worldbank_region]:[worldbank_region]]=$A2)*(LEN(all_lmics[mu_100])&gt;0)*(all_lmics[mu_100])*(all_lmics[[2017_births]:[2017_births]]))/SUMPRODUCT((all_lmics[[worldbank_region]:[worldbank_region]]=$A2)*(LEN(all_lmics[mu_100])&gt;0)*(all_lmics[[2017_births]:[2017_births]]))</f>
        <v>0.47246165353228931</v>
      </c>
      <c r="AL2">
        <f>SUMPRODUCT((all_lmics[[worldbank_region]:[worldbank_region]]=$A2)*(LEN(all_lmics[c_A])&gt;0)*(all_lmics[c_A])*(all_lmics[[2017_births]:[2017_births]]))/SUMPRODUCT((all_lmics[[worldbank_region]:[worldbank_region]]=$A2)*(LEN(all_lmics[c_A])&gt;0)*(all_lmics[[2017_births]:[2017_births]]))</f>
        <v>44.525142000000002</v>
      </c>
      <c r="AM2">
        <f>SUMPRODUCT((all_lmics[[worldbank_region]:[worldbank_region]]=$A2)*(LEN(all_lmics[c_C])&gt;0)*(all_lmics[c_C])*(all_lmics[[2017_births]:[2017_births]]))/SUMPRODUCT((all_lmics[[worldbank_region]:[worldbank_region]]=$A2)*(LEN(all_lmics[c_C])&gt;0)*(all_lmics[[2017_births]:[2017_births]]))</f>
        <v>44.525142000000002</v>
      </c>
      <c r="AN2">
        <f>SUMPRODUCT((all_lmics[[worldbank_region]:[worldbank_region]]=$A2)*(LEN(all_lmics[c_CC])&gt;0)*(all_lmics[c_CC])*(all_lmics[[2017_births]:[2017_births]]))/SUMPRODUCT((all_lmics[[worldbank_region]:[worldbank_region]]=$A2)*(LEN(all_lmics[c_CC])&gt;0)*(all_lmics[[2017_births]:[2017_births]]))</f>
        <v>92.254002</v>
      </c>
      <c r="AO2">
        <f>SUMPRODUCT((all_lmics[[worldbank_region]:[worldbank_region]]=$A2)*(LEN(all_lmics[c_DC])&gt;0)*(all_lmics[c_DC])*(all_lmics[[2017_births]:[2017_births]]))/SUMPRODUCT((all_lmics[[worldbank_region]:[worldbank_region]]=$A2)*(LEN(all_lmics[c_DC])&gt;0)*(all_lmics[[2017_births]:[2017_births]]))</f>
        <v>92.254002</v>
      </c>
      <c r="AP2">
        <f>SUMPRODUCT((all_lmics[[worldbank_region]:[worldbank_region]]=$A2)*(LEN(all_lmics[c_HCC])&gt;0)*(all_lmics[c_HCC])*(all_lmics[[2017_births]:[2017_births]]))/SUMPRODUCT((all_lmics[[worldbank_region]:[worldbank_region]]=$A2)*(LEN(all_lmics[c_HCC])&gt;0)*(all_lmics[[2017_births]:[2017_births]]))</f>
        <v>92.254002</v>
      </c>
      <c r="AQ2">
        <f>SUMPRODUCT((all_lmics[[worldbank_region]:[worldbank_region]]=$A2)*(LEN(all_lmics[fac_cc])&gt;0)*(all_lmics[fac_cc])*(all_lmics[[2017_births]:[2017_births]]))/SUMPRODUCT((all_lmics[[worldbank_region]:[worldbank_region]]=$A2)*(LEN(all_lmics[fac_cc])&gt;0)*(all_lmics[[2017_births]:[2017_births]]))</f>
        <v>6.418292000000001</v>
      </c>
      <c r="AR2">
        <f>SUMPRODUCT((all_lmics[[worldbank_region]:[worldbank_region]]=$A2)*(LEN(all_lmics[fac_ctc])&gt;0)*(all_lmics[fac_ctc])*(all_lmics[[2017_births]:[2017_births]]))/SUMPRODUCT((all_lmics[[worldbank_region]:[worldbank_region]]=$A2)*(LEN(all_lmics[fac_ctc])&gt;0)*(all_lmics[[2017_births]:[2017_births]]))</f>
        <v>7.0357920000000016</v>
      </c>
      <c r="AS2">
        <f>SUMPRODUCT((all_lmics[[worldbank_region]:[worldbank_region]]=$A2)*(LEN(all_lmics[com_cc])&gt;0)*(all_lmics[com_cc])*(all_lmics[[2017_births]:[2017_births]]))/SUMPRODUCT((all_lmics[[worldbank_region]:[worldbank_region]]=$A2)*(LEN(all_lmics[com_cc])&gt;0)*(all_lmics[[2017_births]:[2017_births]]))</f>
        <v>10.482872999999998</v>
      </c>
      <c r="AT2">
        <f>SUMPRODUCT((all_lmics[[worldbank_region]:[worldbank_region]]=$A2)*(LEN(all_lmics[com_ctc])&gt;0)*(all_lmics[com_ctc])*(all_lmics[[2017_births]:[2017_births]]))/SUMPRODUCT((all_lmics[[worldbank_region]:[worldbank_region]]=$A2)*(LEN(all_lmics[com_ctc])&gt;0)*(all_lmics[[2017_births]:[2017_births]]))</f>
        <v>11.100372999999999</v>
      </c>
      <c r="AU2">
        <f>SUMPRODUCT((all_lmics[[worldbank_region]:[worldbank_region]]=$A2)*(LEN(all_lmics[com_cpad])&gt;0)*(all_lmics[com_cpad])*(all_lmics[[2017_births]:[2017_births]]))/SUMPRODUCT((all_lmics[[worldbank_region]:[worldbank_region]]=$A2)*(LEN(all_lmics[com_cpad])&gt;0)*(all_lmics[[2017_births]:[2017_births]]))</f>
        <v>11.670625000000001</v>
      </c>
      <c r="AV2">
        <f>SUMPRODUCT((all_lmics[[worldbank_region]:[worldbank_region]]=$A2)*(LEN(all_lmics[SBA_nfac])&gt;1)*(all_lmics[SBA_nfac])*(all_lmics[[2017_births]:[2017_births]]))/SUMPRODUCT((all_lmics[[worldbank_region]:[worldbank_region]]=$A2)*(LEN(all_lmics[SBA_nfac])&gt;1)*(all_lmics[[2017_births]:[2017_births]]))</f>
        <v>0.43472420329699168</v>
      </c>
      <c r="AW2">
        <f>VLOOKUP($A2, hbe[],2,FALSE)</f>
        <v>0.3</v>
      </c>
      <c r="AX2">
        <f>VLOOKUP($A2, hbe[], 5, FALSE)</f>
        <v>0.875</v>
      </c>
      <c r="AY2">
        <f>VLOOKUP($A2, hbe[], 8, FALSE)</f>
        <v>0.15</v>
      </c>
    </row>
    <row r="3" spans="1:51" x14ac:dyDescent="0.35">
      <c r="A3" t="s">
        <v>58</v>
      </c>
      <c r="D3">
        <f>SUMPRODUCT((all_lmics[[worldbank_region]:[worldbank_region]]=Table20[[#This Row],[Setting]])*(all_lmics[[2017_population]:[2017_population]]))</f>
        <v>2061045828</v>
      </c>
      <c r="F3" s="41">
        <f>SUMPRODUCT((all_lmics[[worldbank_region]:[worldbank_region]]=Table20[[#This Row],[Setting]])*(all_lmics[[2017_births]:[2017_births]]))</f>
        <v>28561621.330693997</v>
      </c>
      <c r="G3">
        <f>SUMPRODUCT((all_lmics[worldbank_region]=$A3)*(LEN(all_lmics[birth_dose])&gt;0)*(all_lmics[birth_dose])*(all_lmics[2017_births]))/SUMPRODUCT((all_lmics[worldbank_region]=$A3)*(LEN(all_lmics[birth_dose])&gt;0)*(all_lmics[2017_births]))</f>
        <v>0.78957902203085895</v>
      </c>
      <c r="H3">
        <f>SUMPRODUCT((all_lmics[worldbank_region]=$A3)*(LEN(all_lmics[HBV3])&gt;0)*(all_lmics[HBV3])*(all_lmics[2017_births]))/SUMPRODUCT((all_lmics[worldbank_region]=$A3)*(LEN(all_lmics[HBV3])&gt;0)*(all_lmics[2017_births]))</f>
        <v>0.9372553720356297</v>
      </c>
      <c r="I3">
        <f>SUMPRODUCT((all_lmics[[worldbank_region]:[worldbank_region]]=$A3)*(LEN(all_lmics[prev])&gt;1)*(all_lmics[prev])*(all_lmics[[2017_population]:[2017_population]]))/SUMPRODUCT((all_lmics[[worldbank_region]:[worldbank_region]]=$A3)*(LEN(all_lmics[prev])&gt;1)*(all_lmics[[2017_population]:[2017_population]]))</f>
        <v>6.1492053108410077E-2</v>
      </c>
      <c r="J3">
        <f>SUMPRODUCT((all_lmics[[worldbank_region]:[worldbank_region]]=$A3)*(LEN(all_lmics[prev_lb])&gt;1)*(all_lmics[prev_lb])*(all_lmics[[2017_population]:[2017_population]]))/SUMPRODUCT((all_lmics[[worldbank_region]:[worldbank_region]]=$A3)*(LEN(all_lmics[prev_lb])&gt;1)*(all_lmics[[2017_population]:[2017_population]]))</f>
        <v>5.5031425358848182E-2</v>
      </c>
      <c r="K3">
        <f>SUMPRODUCT((all_lmics[[worldbank_region]:[worldbank_region]]=$A3)*(LEN(all_lmics[prev_ub])&gt;1)*(all_lmics[prev_ub])*(all_lmics[[2017_population]:[2017_population]]))/SUMPRODUCT((all_lmics[[worldbank_region]:[worldbank_region]]=$A3)*(LEN(all_lmics[prev_ub])&gt;1)*(all_lmics[[2017_population]:[2017_population]]))</f>
        <v>7.0878206742383237E-2</v>
      </c>
      <c r="L3">
        <f>SUMPRODUCT((all_lmics[[worldbank_region]:[worldbank_region]]=$A3)*(LEN(all_lmics[sigma])&gt;1)*(all_lmics[sigma])*(all_lmics[[2017_population]:[2017_population]]))/SUMPRODUCT((all_lmics[[worldbank_region]:[worldbank_region]]=$A3)*(LEN(all_lmics[sigma])&gt;1)*(all_lmics[[2017_population]:[2017_population]]))</f>
        <v>4.7888538948842648E-3</v>
      </c>
      <c r="N3">
        <f>SUMPRODUCT((all_lmics[[worldbank_region]:[worldbank_region]]=$A3)*(LEN(all_lmics[SBA])&gt;0)*(all_lmics[SBA])*(all_lmics[[2017_births]:[2017_births]]))/SUMPRODUCT((all_lmics[[worldbank_region]:[worldbank_region]]=$A3)*(LEN(all_lmics[SBA])&gt;0)*(all_lmics[[2017_births]:[2017_births]]))</f>
        <v>0.94944624548525025</v>
      </c>
      <c r="O3">
        <f>SUMPRODUCT((all_lmics[[worldbank_region]:[worldbank_region]]=$A3)*(LEN(all_lmics[Facility])&gt;0)*(all_lmics[Facility])*(all_lmics[[2017_births]:[2017_births]]))/SUMPRODUCT((all_lmics[[worldbank_region]:[worldbank_region]]=$A3)*(LEN(all_lmics[Facility])&gt;0)*(all_lmics[[2017_births]:[2017_births]]))</f>
        <v>0.91471342495058361</v>
      </c>
      <c r="P3">
        <f>SUMPRODUCT((all_lmics[[worldbank_region]:[worldbank_region]]=$A3)*(LEN(all_lmics[mu_01])&gt;0)*(all_lmics[mu_01])*(all_lmics[[2017_births]:[2017_births]]))/SUMPRODUCT((all_lmics[[worldbank_region]:[worldbank_region]]=$A3)*(LEN(all_lmics[mu_01])&gt;0)*(all_lmics[[2017_births]:[2017_births]]))</f>
        <v>1.3252629038559361E-2</v>
      </c>
      <c r="Q3">
        <f>SUMPRODUCT((all_lmics[[worldbank_region]:[worldbank_region]]=$A3)*(LEN(all_lmics[mu_14])&gt;0)*(all_lmics[mu_14])*(all_lmics[[2017_births]:[2017_births]]))/SUMPRODUCT((all_lmics[[worldbank_region]:[worldbank_region]]=$A3)*(LEN(all_lmics[mu_14])&gt;0)*(all_lmics[[2017_births]:[2017_births]]))</f>
        <v>8.1770692536873636E-4</v>
      </c>
      <c r="R3">
        <f>SUMPRODUCT((all_lmics[[worldbank_region]:[worldbank_region]]=$A3)*(LEN(all_lmics[mu_59])&gt;0)*(all_lmics[mu_59])*(all_lmics[[2017_births]:[2017_births]]))/SUMPRODUCT((all_lmics[[worldbank_region]:[worldbank_region]]=$A3)*(LEN(all_lmics[mu_59])&gt;0)*(all_lmics[[2017_births]:[2017_births]]))</f>
        <v>4.0499891126446498E-4</v>
      </c>
      <c r="S3">
        <f>SUMPRODUCT((all_lmics[[worldbank_region]:[worldbank_region]]=$A3)*(LEN(all_lmics[mu_1014])&gt;0)*(all_lmics[mu_1014])*(all_lmics[[2017_births]:[2017_births]]))/SUMPRODUCT((all_lmics[[worldbank_region]:[worldbank_region]]=$A3)*(LEN(all_lmics[mu_1014])&gt;0)*(all_lmics[[2017_births]:[2017_births]]))</f>
        <v>3.3398892953700462E-4</v>
      </c>
      <c r="T3">
        <f>SUMPRODUCT((all_lmics[[worldbank_region]:[worldbank_region]]=$A3)*(LEN(all_lmics[mu_1519])&gt;0)*(all_lmics[mu_1519])*(all_lmics[[2017_births]:[2017_births]]))/SUMPRODUCT((all_lmics[[worldbank_region]:[worldbank_region]]=$A3)*(LEN(all_lmics[mu_1519])&gt;0)*(all_lmics[[2017_births]:[2017_births]]))</f>
        <v>5.8648546723206649E-4</v>
      </c>
      <c r="U3">
        <f>SUMPRODUCT((all_lmics[[worldbank_region]:[worldbank_region]]=$A3)*(LEN(all_lmics[mu_2024])&gt;0)*(all_lmics[mu_2024])*(all_lmics[[2017_births]:[2017_births]]))/SUMPRODUCT((all_lmics[[worldbank_region]:[worldbank_region]]=$A3)*(LEN(all_lmics[mu_2024])&gt;0)*(all_lmics[[2017_births]:[2017_births]]))</f>
        <v>7.9262526127514836E-4</v>
      </c>
      <c r="V3">
        <f>SUMPRODUCT((all_lmics[[worldbank_region]:[worldbank_region]]=$A3)*(LEN(all_lmics[mu_2529])&gt;0)*(all_lmics[mu_2529])*(all_lmics[[2017_births]:[2017_births]]))/SUMPRODUCT((all_lmics[[worldbank_region]:[worldbank_region]]=$A3)*(LEN(all_lmics[mu_2529])&gt;0)*(all_lmics[[2017_births]:[2017_births]]))</f>
        <v>9.4204255769518824E-4</v>
      </c>
      <c r="W3">
        <f>SUMPRODUCT((all_lmics[[worldbank_region]:[worldbank_region]]=$A3)*(LEN(all_lmics[mu_3034])&gt;0)*(all_lmics[mu_3034])*(all_lmics[[2017_births]:[2017_births]]))/SUMPRODUCT((all_lmics[[worldbank_region]:[worldbank_region]]=$A3)*(LEN(all_lmics[mu_3034])&gt;0)*(all_lmics[[2017_births]:[2017_births]]))</f>
        <v>1.1645181924874934E-3</v>
      </c>
      <c r="X3">
        <f>SUMPRODUCT((all_lmics[[worldbank_region]:[worldbank_region]]=$A3)*(LEN(all_lmics[mu_3539])&gt;0)*(all_lmics[mu_3539])*(all_lmics[[2017_births]:[2017_births]]))/SUMPRODUCT((all_lmics[[worldbank_region]:[worldbank_region]]=$A3)*(LEN(all_lmics[mu_3539])&gt;0)*(all_lmics[[2017_births]:[2017_births]]))</f>
        <v>1.5266674744538727E-3</v>
      </c>
      <c r="Y3">
        <f>SUMPRODUCT((all_lmics[[worldbank_region]:[worldbank_region]]=$A3)*(LEN(all_lmics[mu_4044])&gt;0)*(all_lmics[mu_4044])*(all_lmics[[2017_births]:[2017_births]]))/SUMPRODUCT((all_lmics[[worldbank_region]:[worldbank_region]]=$A3)*(LEN(all_lmics[mu_4044])&gt;0)*(all_lmics[[2017_births]:[2017_births]]))</f>
        <v>2.1623639340414493E-3</v>
      </c>
      <c r="Z3">
        <f>SUMPRODUCT((all_lmics[[worldbank_region]:[worldbank_region]]=$A3)*(LEN(all_lmics[mu_4549])&gt;0)*(all_lmics[mu_4549])*(all_lmics[[2017_births]:[2017_births]]))/SUMPRODUCT((all_lmics[[worldbank_region]:[worldbank_region]]=$A3)*(LEN(all_lmics[mu_4549])&gt;0)*(all_lmics[[2017_births]:[2017_births]]))</f>
        <v>3.2044488743419599E-3</v>
      </c>
      <c r="AA3">
        <f>SUMPRODUCT((all_lmics[[worldbank_region]:[worldbank_region]]=$A3)*(LEN(all_lmics[mu_5054])&gt;0)*(all_lmics[mu_5054])*(all_lmics[[2017_births]:[2017_births]]))/SUMPRODUCT((all_lmics[[worldbank_region]:[worldbank_region]]=$A3)*(LEN(all_lmics[mu_5054])&gt;0)*(all_lmics[[2017_births]:[2017_births]]))</f>
        <v>5.0486530358055106E-3</v>
      </c>
      <c r="AB3">
        <f>SUMPRODUCT((all_lmics[[worldbank_region]:[worldbank_region]]=$A3)*(LEN(all_lmics[mu_5559])&gt;0)*(all_lmics[mu_5559])*(all_lmics[[2017_births]:[2017_births]]))/SUMPRODUCT((all_lmics[[worldbank_region]:[worldbank_region]]=$A3)*(LEN(all_lmics[mu_5559])&gt;0)*(all_lmics[[2017_births]:[2017_births]]))</f>
        <v>8.0124133777771944E-3</v>
      </c>
      <c r="AC3">
        <f>SUMPRODUCT((all_lmics[[worldbank_region]:[worldbank_region]]=$A3)*(LEN(all_lmics[mu_6064])&gt;0)*(all_lmics[mu_6064])*(all_lmics[[2017_births]:[2017_births]]))/SUMPRODUCT((all_lmics[[worldbank_region]:[worldbank_region]]=$A3)*(LEN(all_lmics[mu_6064])&gt;0)*(all_lmics[[2017_births]:[2017_births]]))</f>
        <v>1.3308397284347028E-2</v>
      </c>
      <c r="AD3">
        <f>SUMPRODUCT((all_lmics[[worldbank_region]:[worldbank_region]]=$A3)*(LEN(all_lmics[mu_6569])&gt;0)*(all_lmics[mu_6569])*(all_lmics[[2017_births]:[2017_births]]))/SUMPRODUCT((all_lmics[[worldbank_region]:[worldbank_region]]=$A3)*(LEN(all_lmics[mu_6569])&gt;0)*(all_lmics[[2017_births]:[2017_births]]))</f>
        <v>2.2159141202722429E-2</v>
      </c>
      <c r="AE3">
        <f>SUMPRODUCT((all_lmics[[worldbank_region]:[worldbank_region]]=$A3)*(LEN(all_lmics[mu_7074])&gt;0)*(all_lmics[mu_7074])*(all_lmics[[2017_births]:[2017_births]]))/SUMPRODUCT((all_lmics[[worldbank_region]:[worldbank_region]]=$A3)*(LEN(all_lmics[mu_7074])&gt;0)*(all_lmics[[2017_births]:[2017_births]]))</f>
        <v>3.7918169181190897E-2</v>
      </c>
      <c r="AF3">
        <f>SUMPRODUCT((all_lmics[[worldbank_region]:[worldbank_region]]=$A3)*(LEN(all_lmics[mu_7579])&gt;0)*(all_lmics[mu_7579])*(all_lmics[[2017_births]:[2017_births]]))/SUMPRODUCT((all_lmics[[worldbank_region]:[worldbank_region]]=$A3)*(LEN(all_lmics[mu_7579])&gt;0)*(all_lmics[[2017_births]:[2017_births]]))</f>
        <v>6.2656539382450943E-2</v>
      </c>
      <c r="AG3">
        <f>SUMPRODUCT((all_lmics[[worldbank_region]:[worldbank_region]]=$A3)*(LEN(all_lmics[mu_8084])&gt;0)*(all_lmics[mu_8084])*(all_lmics[[2017_births]:[2017_births]]))/SUMPRODUCT((all_lmics[[worldbank_region]:[worldbank_region]]=$A3)*(LEN(all_lmics[mu_8084])&gt;0)*(all_lmics[[2017_births]:[2017_births]]))</f>
        <v>9.7739118595328037E-2</v>
      </c>
      <c r="AH3">
        <f>SUMPRODUCT((all_lmics[[worldbank_region]:[worldbank_region]]=$A3)*(LEN(all_lmics[mu_8589])&gt;0)*(all_lmics[mu_8589])*(all_lmics[[2017_births]:[2017_births]]))/SUMPRODUCT((all_lmics[[worldbank_region]:[worldbank_region]]=$A3)*(LEN(all_lmics[mu_8589])&gt;0)*(all_lmics[[2017_births]:[2017_births]]))</f>
        <v>0.15243430557497087</v>
      </c>
      <c r="AI3">
        <f>SUMPRODUCT((all_lmics[[worldbank_region]:[worldbank_region]]=$A3)*(LEN(all_lmics[mu_9094])&gt;0)*(all_lmics[mu_9094])*(all_lmics[[2017_births]:[2017_births]]))/SUMPRODUCT((all_lmics[[worldbank_region]:[worldbank_region]]=$A3)*(LEN(all_lmics[mu_9094])&gt;0)*(all_lmics[[2017_births]:[2017_births]]))</f>
        <v>0.22081869016681208</v>
      </c>
      <c r="AJ3">
        <f>SUMPRODUCT((all_lmics[[worldbank_region]:[worldbank_region]]=$A3)*(LEN(all_lmics[mu_9599])&gt;0)*(all_lmics[mu_9599])*(all_lmics[[2017_births]:[2017_births]]))/SUMPRODUCT((all_lmics[[worldbank_region]:[worldbank_region]]=$A3)*(LEN(all_lmics[mu_9599])&gt;0)*(all_lmics[[2017_births]:[2017_births]]))</f>
        <v>0.30503390432915628</v>
      </c>
      <c r="AK3">
        <f>SUMPRODUCT((all_lmics[[worldbank_region]:[worldbank_region]]=$A3)*(LEN(all_lmics[mu_100])&gt;0)*(all_lmics[mu_100])*(all_lmics[[2017_births]:[2017_births]]))/SUMPRODUCT((all_lmics[[worldbank_region]:[worldbank_region]]=$A3)*(LEN(all_lmics[mu_100])&gt;0)*(all_lmics[[2017_births]:[2017_births]]))</f>
        <v>0.39191854449069646</v>
      </c>
      <c r="AL3">
        <f>SUMPRODUCT((all_lmics[[worldbank_region]:[worldbank_region]]=$A3)*(LEN(all_lmics[c_A])&gt;0)*(all_lmics[c_A])*(all_lmics[[2017_births]:[2017_births]]))/SUMPRODUCT((all_lmics[[worldbank_region]:[worldbank_region]]=$A3)*(LEN(all_lmics[c_A])&gt;0)*(all_lmics[[2017_births]:[2017_births]]))</f>
        <v>73.064385000000001</v>
      </c>
      <c r="AM3">
        <f>SUMPRODUCT((all_lmics[[worldbank_region]:[worldbank_region]]=$A3)*(LEN(all_lmics[c_C])&gt;0)*(all_lmics[c_C])*(all_lmics[[2017_births]:[2017_births]]))/SUMPRODUCT((all_lmics[[worldbank_region]:[worldbank_region]]=$A3)*(LEN(all_lmics[c_C])&gt;0)*(all_lmics[[2017_births]:[2017_births]]))</f>
        <v>73.064385000000001</v>
      </c>
      <c r="AN3">
        <f>SUMPRODUCT((all_lmics[[worldbank_region]:[worldbank_region]]=$A3)*(LEN(all_lmics[c_CC])&gt;0)*(all_lmics[c_CC])*(all_lmics[[2017_births]:[2017_births]]))/SUMPRODUCT((all_lmics[[worldbank_region]:[worldbank_region]]=$A3)*(LEN(all_lmics[c_CC])&gt;0)*(all_lmics[[2017_births]:[2017_births]]))</f>
        <v>120.79324500000001</v>
      </c>
      <c r="AO3">
        <f>SUMPRODUCT((all_lmics[[worldbank_region]:[worldbank_region]]=$A3)*(LEN(all_lmics[c_DC])&gt;0)*(all_lmics[c_DC])*(all_lmics[[2017_births]:[2017_births]]))/SUMPRODUCT((all_lmics[[worldbank_region]:[worldbank_region]]=$A3)*(LEN(all_lmics[c_DC])&gt;0)*(all_lmics[[2017_births]:[2017_births]]))</f>
        <v>120.79324500000001</v>
      </c>
      <c r="AP3">
        <f>SUMPRODUCT((all_lmics[[worldbank_region]:[worldbank_region]]=$A3)*(LEN(all_lmics[c_HCC])&gt;0)*(all_lmics[c_HCC])*(all_lmics[[2017_births]:[2017_births]]))/SUMPRODUCT((all_lmics[[worldbank_region]:[worldbank_region]]=$A3)*(LEN(all_lmics[c_HCC])&gt;0)*(all_lmics[[2017_births]:[2017_births]]))</f>
        <v>120.79324500000001</v>
      </c>
      <c r="AQ3">
        <f>SUMPRODUCT((all_lmics[[worldbank_region]:[worldbank_region]]=$A3)*(LEN(all_lmics[fac_cc])&gt;0)*(all_lmics[fac_cc])*(all_lmics[[2017_births]:[2017_births]]))/SUMPRODUCT((all_lmics[[worldbank_region]:[worldbank_region]]=$A3)*(LEN(all_lmics[fac_cc])&gt;0)*(all_lmics[[2017_births]:[2017_births]]))</f>
        <v>1.3402899999999998</v>
      </c>
      <c r="AR3">
        <f>SUMPRODUCT((all_lmics[[worldbank_region]:[worldbank_region]]=$A3)*(LEN(all_lmics[fac_ctc])&gt;0)*(all_lmics[fac_ctc])*(all_lmics[[2017_births]:[2017_births]]))/SUMPRODUCT((all_lmics[[worldbank_region]:[worldbank_region]]=$A3)*(LEN(all_lmics[fac_ctc])&gt;0)*(all_lmics[[2017_births]:[2017_births]]))</f>
        <v>1.9577900000000006</v>
      </c>
      <c r="AS3">
        <f>SUMPRODUCT((all_lmics[[worldbank_region]:[worldbank_region]]=$A3)*(LEN(all_lmics[com_cc])&gt;0)*(all_lmics[com_cc])*(all_lmics[[2017_births]:[2017_births]]))/SUMPRODUCT((all_lmics[[worldbank_region]:[worldbank_region]]=$A3)*(LEN(all_lmics[com_cc])&gt;0)*(all_lmics[[2017_births]:[2017_births]]))</f>
        <v>1.9723160000000002</v>
      </c>
      <c r="AT3">
        <f>SUMPRODUCT((all_lmics[[worldbank_region]:[worldbank_region]]=$A3)*(LEN(all_lmics[com_ctc])&gt;0)*(all_lmics[com_ctc])*(all_lmics[[2017_births]:[2017_births]]))/SUMPRODUCT((all_lmics[[worldbank_region]:[worldbank_region]]=$A3)*(LEN(all_lmics[com_ctc])&gt;0)*(all_lmics[[2017_births]:[2017_births]]))</f>
        <v>2.5898159999999995</v>
      </c>
      <c r="AU3">
        <f>SUMPRODUCT((all_lmics[[worldbank_region]:[worldbank_region]]=$A3)*(LEN(all_lmics[com_cpad])&gt;0)*(all_lmics[com_cpad])*(all_lmics[[2017_births]:[2017_births]]))/SUMPRODUCT((all_lmics[[worldbank_region]:[worldbank_region]]=$A3)*(LEN(all_lmics[com_cpad])&gt;0)*(all_lmics[[2017_births]:[2017_births]]))</f>
        <v>3.1600680000000003</v>
      </c>
      <c r="AV3">
        <f>SUMPRODUCT((all_lmics[[worldbank_region]:[worldbank_region]]=$A3)*(LEN(all_lmics[SBA_nfac])&gt;1)*(all_lmics[SBA_nfac])*(all_lmics[[2017_births]:[2017_births]]))/SUMPRODUCT((all_lmics[[worldbank_region]:[worldbank_region]]=$A3)*(LEN(all_lmics[SBA_nfac])&gt;1)*(all_lmics[[2017_births]:[2017_births]]))</f>
        <v>0.43630788979424934</v>
      </c>
      <c r="AW3">
        <f>VLOOKUP($A3, hbe[],2,FALSE)</f>
        <v>0.3</v>
      </c>
      <c r="AX3">
        <f>VLOOKUP($A3, hbe[], 5, FALSE)</f>
        <v>0.875</v>
      </c>
      <c r="AY3">
        <f>VLOOKUP($A3, hbe[], 8, FALSE)</f>
        <v>0.15</v>
      </c>
    </row>
    <row r="4" spans="1:51" x14ac:dyDescent="0.35">
      <c r="A4" t="s">
        <v>383</v>
      </c>
      <c r="D4">
        <f>SUMPRODUCT((all_lmics[[worldbank_region]:[worldbank_region]]=Table20[[#This Row],[Setting]])*(all_lmics[[2017_population]:[2017_population]]))</f>
        <v>628740872</v>
      </c>
      <c r="F4" s="41">
        <f>SUMPRODUCT((all_lmics[[worldbank_region]:[worldbank_region]]=Table20[[#This Row],[Setting]])*(all_lmics[[2017_births]:[2017_births]]))</f>
        <v>10690279.573499</v>
      </c>
      <c r="G4">
        <f>SUMPRODUCT((all_lmics[worldbank_region]=$A4)*(LEN(all_lmics[birth_dose])&gt;0)*(all_lmics[birth_dose])*(all_lmics[2017_births]))/SUMPRODUCT((all_lmics[worldbank_region]=$A4)*(LEN(all_lmics[birth_dose])&gt;0)*(all_lmics[2017_births]))</f>
        <v>0.72502304536726025</v>
      </c>
      <c r="H4">
        <f>SUMPRODUCT((all_lmics[worldbank_region]=$A4)*(LEN(all_lmics[HBV3])&gt;0)*(all_lmics[HBV3])*(all_lmics[2017_births]))/SUMPRODUCT((all_lmics[worldbank_region]=$A4)*(LEN(all_lmics[HBV3])&gt;0)*(all_lmics[2017_births]))</f>
        <v>0.89209078994944757</v>
      </c>
      <c r="I4">
        <f>SUMPRODUCT((all_lmics[[worldbank_region]:[worldbank_region]]=$A4)*(LEN(all_lmics[prev])&gt;1)*(all_lmics[prev])*(all_lmics[[2017_population]:[2017_population]]))/SUMPRODUCT((all_lmics[[worldbank_region]:[worldbank_region]]=$A4)*(LEN(all_lmics[prev])&gt;1)*(all_lmics[[2017_population]:[2017_population]]))</f>
        <v>5.0774217375026661E-3</v>
      </c>
      <c r="J4">
        <f>SUMPRODUCT((all_lmics[[worldbank_region]:[worldbank_region]]=$A4)*(LEN(all_lmics[prev_lb])&gt;1)*(all_lmics[prev_lb])*(all_lmics[[2017_population]:[2017_population]]))/SUMPRODUCT((all_lmics[[worldbank_region]:[worldbank_region]]=$A4)*(LEN(all_lmics[prev_lb])&gt;1)*(all_lmics[[2017_population]:[2017_population]]))</f>
        <v>3.3602627132557658E-3</v>
      </c>
      <c r="K4">
        <f>SUMPRODUCT((all_lmics[[worldbank_region]:[worldbank_region]]=$A4)*(LEN(all_lmics[prev_ub])&gt;1)*(all_lmics[prev_ub])*(all_lmics[[2017_population]:[2017_population]]))/SUMPRODUCT((all_lmics[[worldbank_region]:[worldbank_region]]=$A4)*(LEN(all_lmics[prev_ub])&gt;1)*(all_lmics[[2017_population]:[2017_population]]))</f>
        <v>8.9215754971632005E-3</v>
      </c>
      <c r="L4">
        <f>SUMPRODUCT((all_lmics[[worldbank_region]:[worldbank_region]]=$A4)*(LEN(all_lmics[sigma])&gt;1)*(all_lmics[sigma])*(all_lmics[[2017_population]:[2017_population]]))/SUMPRODUCT((all_lmics[[worldbank_region]:[worldbank_region]]=$A4)*(LEN(all_lmics[sigma])&gt;1)*(all_lmics[[2017_population]:[2017_population]]))</f>
        <v>1.9617236112760531E-3</v>
      </c>
      <c r="N4">
        <f>SUMPRODUCT((all_lmics[[worldbank_region]:[worldbank_region]]=$A4)*(LEN(all_lmics[SBA])&gt;0)*(all_lmics[SBA])*(all_lmics[[2017_births]:[2017_births]]))/SUMPRODUCT((all_lmics[[worldbank_region]:[worldbank_region]]=$A4)*(LEN(all_lmics[SBA])&gt;0)*(all_lmics[[2017_births]:[2017_births]]))</f>
        <v>0.94406496869940482</v>
      </c>
      <c r="O4">
        <f>SUMPRODUCT((all_lmics[[worldbank_region]:[worldbank_region]]=$A4)*(LEN(all_lmics[Facility])&gt;0)*(all_lmics[Facility])*(all_lmics[[2017_births]:[2017_births]]))/SUMPRODUCT((all_lmics[[worldbank_region]:[worldbank_region]]=$A4)*(LEN(all_lmics[Facility])&gt;0)*(all_lmics[[2017_births]:[2017_births]]))</f>
        <v>0.93510600846669412</v>
      </c>
      <c r="P4">
        <f>SUMPRODUCT((all_lmics[[worldbank_region]:[worldbank_region]]=$A4)*(LEN(all_lmics[mu_01])&gt;0)*(all_lmics[mu_01])*(all_lmics[[2017_births]:[2017_births]]))/SUMPRODUCT((all_lmics[[worldbank_region]:[worldbank_region]]=$A4)*(LEN(all_lmics[mu_01])&gt;0)*(all_lmics[[2017_births]:[2017_births]]))</f>
        <v>1.5910474421197016E-2</v>
      </c>
      <c r="Q4">
        <f>SUMPRODUCT((all_lmics[[worldbank_region]:[worldbank_region]]=$A4)*(LEN(all_lmics[mu_14])&gt;0)*(all_lmics[mu_14])*(all_lmics[[2017_births]:[2017_births]]))/SUMPRODUCT((all_lmics[[worldbank_region]:[worldbank_region]]=$A4)*(LEN(all_lmics[mu_14])&gt;0)*(all_lmics[[2017_births]:[2017_births]]))</f>
        <v>9.3826660546401182E-4</v>
      </c>
      <c r="R4">
        <f>SUMPRODUCT((all_lmics[[worldbank_region]:[worldbank_region]]=$A4)*(LEN(all_lmics[mu_59])&gt;0)*(all_lmics[mu_59])*(all_lmics[[2017_births]:[2017_births]]))/SUMPRODUCT((all_lmics[[worldbank_region]:[worldbank_region]]=$A4)*(LEN(all_lmics[mu_59])&gt;0)*(all_lmics[[2017_births]:[2017_births]]))</f>
        <v>3.7681466991667449E-4</v>
      </c>
      <c r="S4">
        <f>SUMPRODUCT((all_lmics[[worldbank_region]:[worldbank_region]]=$A4)*(LEN(all_lmics[mu_1014])&gt;0)*(all_lmics[mu_1014])*(all_lmics[[2017_births]:[2017_births]]))/SUMPRODUCT((all_lmics[[worldbank_region]:[worldbank_region]]=$A4)*(LEN(all_lmics[mu_1014])&gt;0)*(all_lmics[[2017_births]:[2017_births]]))</f>
        <v>4.0680925545166698E-4</v>
      </c>
      <c r="T4">
        <f>SUMPRODUCT((all_lmics[[worldbank_region]:[worldbank_region]]=$A4)*(LEN(all_lmics[mu_1519])&gt;0)*(all_lmics[mu_1519])*(all_lmics[[2017_births]:[2017_births]]))/SUMPRODUCT((all_lmics[[worldbank_region]:[worldbank_region]]=$A4)*(LEN(all_lmics[mu_1519])&gt;0)*(all_lmics[[2017_births]:[2017_births]]))</f>
        <v>1.0093314960468126E-3</v>
      </c>
      <c r="U4">
        <f>SUMPRODUCT((all_lmics[[worldbank_region]:[worldbank_region]]=$A4)*(LEN(all_lmics[mu_2024])&gt;0)*(all_lmics[mu_2024])*(all_lmics[[2017_births]:[2017_births]]))/SUMPRODUCT((all_lmics[[worldbank_region]:[worldbank_region]]=$A4)*(LEN(all_lmics[mu_2024])&gt;0)*(all_lmics[[2017_births]:[2017_births]]))</f>
        <v>1.5674345814735136E-3</v>
      </c>
      <c r="V4">
        <f>SUMPRODUCT((all_lmics[[worldbank_region]:[worldbank_region]]=$A4)*(LEN(all_lmics[mu_2529])&gt;0)*(all_lmics[mu_2529])*(all_lmics[[2017_births]:[2017_births]]))/SUMPRODUCT((all_lmics[[worldbank_region]:[worldbank_region]]=$A4)*(LEN(all_lmics[mu_2529])&gt;0)*(all_lmics[[2017_births]:[2017_births]]))</f>
        <v>1.7369236996325952E-3</v>
      </c>
      <c r="W4">
        <f>SUMPRODUCT((all_lmics[[worldbank_region]:[worldbank_region]]=$A4)*(LEN(all_lmics[mu_3034])&gt;0)*(all_lmics[mu_3034])*(all_lmics[[2017_births]:[2017_births]]))/SUMPRODUCT((all_lmics[[worldbank_region]:[worldbank_region]]=$A4)*(LEN(all_lmics[mu_3034])&gt;0)*(all_lmics[[2017_births]:[2017_births]]))</f>
        <v>1.9425623355111968E-3</v>
      </c>
      <c r="X4">
        <f>SUMPRODUCT((all_lmics[[worldbank_region]:[worldbank_region]]=$A4)*(LEN(all_lmics[mu_3539])&gt;0)*(all_lmics[mu_3539])*(all_lmics[[2017_births]:[2017_births]]))/SUMPRODUCT((all_lmics[[worldbank_region]:[worldbank_region]]=$A4)*(LEN(all_lmics[mu_3539])&gt;0)*(all_lmics[[2017_births]:[2017_births]]))</f>
        <v>2.297596315652425E-3</v>
      </c>
      <c r="Y4">
        <f>SUMPRODUCT((all_lmics[[worldbank_region]:[worldbank_region]]=$A4)*(LEN(all_lmics[mu_4044])&gt;0)*(all_lmics[mu_4044])*(all_lmics[[2017_births]:[2017_births]]))/SUMPRODUCT((all_lmics[[worldbank_region]:[worldbank_region]]=$A4)*(LEN(all_lmics[mu_4044])&gt;0)*(all_lmics[[2017_births]:[2017_births]]))</f>
        <v>2.9113026215549964E-3</v>
      </c>
      <c r="Z4">
        <f>SUMPRODUCT((all_lmics[[worldbank_region]:[worldbank_region]]=$A4)*(LEN(all_lmics[mu_4549])&gt;0)*(all_lmics[mu_4549])*(all_lmics[[2017_births]:[2017_births]]))/SUMPRODUCT((all_lmics[[worldbank_region]:[worldbank_region]]=$A4)*(LEN(all_lmics[mu_4549])&gt;0)*(all_lmics[[2017_births]:[2017_births]]))</f>
        <v>4.0556200536212249E-3</v>
      </c>
      <c r="AA4">
        <f>SUMPRODUCT((all_lmics[[worldbank_region]:[worldbank_region]]=$A4)*(LEN(all_lmics[mu_5054])&gt;0)*(all_lmics[mu_5054])*(all_lmics[[2017_births]:[2017_births]]))/SUMPRODUCT((all_lmics[[worldbank_region]:[worldbank_region]]=$A4)*(LEN(all_lmics[mu_5054])&gt;0)*(all_lmics[[2017_births]:[2017_births]]))</f>
        <v>5.8888163617456741E-3</v>
      </c>
      <c r="AB4">
        <f>SUMPRODUCT((all_lmics[[worldbank_region]:[worldbank_region]]=$A4)*(LEN(all_lmics[mu_5559])&gt;0)*(all_lmics[mu_5559])*(all_lmics[[2017_births]:[2017_births]]))/SUMPRODUCT((all_lmics[[worldbank_region]:[worldbank_region]]=$A4)*(LEN(all_lmics[mu_5559])&gt;0)*(all_lmics[[2017_births]:[2017_births]]))</f>
        <v>8.628004440386812E-3</v>
      </c>
      <c r="AC4">
        <f>SUMPRODUCT((all_lmics[[worldbank_region]:[worldbank_region]]=$A4)*(LEN(all_lmics[mu_6064])&gt;0)*(all_lmics[mu_6064])*(all_lmics[[2017_births]:[2017_births]]))/SUMPRODUCT((all_lmics[[worldbank_region]:[worldbank_region]]=$A4)*(LEN(all_lmics[mu_6064])&gt;0)*(all_lmics[[2017_births]:[2017_births]]))</f>
        <v>1.3021904313673217E-2</v>
      </c>
      <c r="AD4">
        <f>SUMPRODUCT((all_lmics[[worldbank_region]:[worldbank_region]]=$A4)*(LEN(all_lmics[mu_6569])&gt;0)*(all_lmics[mu_6569])*(all_lmics[[2017_births]:[2017_births]]))/SUMPRODUCT((all_lmics[[worldbank_region]:[worldbank_region]]=$A4)*(LEN(all_lmics[mu_6569])&gt;0)*(all_lmics[[2017_births]:[2017_births]]))</f>
        <v>1.9716085692660319E-2</v>
      </c>
      <c r="AE4">
        <f>SUMPRODUCT((all_lmics[[worldbank_region]:[worldbank_region]]=$A4)*(LEN(all_lmics[mu_7074])&gt;0)*(all_lmics[mu_7074])*(all_lmics[[2017_births]:[2017_births]]))/SUMPRODUCT((all_lmics[[worldbank_region]:[worldbank_region]]=$A4)*(LEN(all_lmics[mu_7074])&gt;0)*(all_lmics[[2017_births]:[2017_births]]))</f>
        <v>2.973588697702376E-2</v>
      </c>
      <c r="AF4">
        <f>SUMPRODUCT((all_lmics[[worldbank_region]:[worldbank_region]]=$A4)*(LEN(all_lmics[mu_7579])&gt;0)*(all_lmics[mu_7579])*(all_lmics[[2017_births]:[2017_births]]))/SUMPRODUCT((all_lmics[[worldbank_region]:[worldbank_region]]=$A4)*(LEN(all_lmics[mu_7579])&gt;0)*(all_lmics[[2017_births]:[2017_births]]))</f>
        <v>4.6131416243490084E-2</v>
      </c>
      <c r="AG4">
        <f>SUMPRODUCT((all_lmics[[worldbank_region]:[worldbank_region]]=$A4)*(LEN(all_lmics[mu_8084])&gt;0)*(all_lmics[mu_8084])*(all_lmics[[2017_births]:[2017_births]]))/SUMPRODUCT((all_lmics[[worldbank_region]:[worldbank_region]]=$A4)*(LEN(all_lmics[mu_8084])&gt;0)*(all_lmics[[2017_births]:[2017_births]]))</f>
        <v>7.1687154197687356E-2</v>
      </c>
      <c r="AH4">
        <f>SUMPRODUCT((all_lmics[[worldbank_region]:[worldbank_region]]=$A4)*(LEN(all_lmics[mu_8589])&gt;0)*(all_lmics[mu_8589])*(all_lmics[[2017_births]:[2017_births]]))/SUMPRODUCT((all_lmics[[worldbank_region]:[worldbank_region]]=$A4)*(LEN(all_lmics[mu_8589])&gt;0)*(all_lmics[[2017_births]:[2017_births]]))</f>
        <v>0.11156496195725799</v>
      </c>
      <c r="AI4">
        <f>SUMPRODUCT((all_lmics[[worldbank_region]:[worldbank_region]]=$A4)*(LEN(all_lmics[mu_9094])&gt;0)*(all_lmics[mu_9094])*(all_lmics[[2017_births]:[2017_births]]))/SUMPRODUCT((all_lmics[[worldbank_region]:[worldbank_region]]=$A4)*(LEN(all_lmics[mu_9094])&gt;0)*(all_lmics[[2017_births]:[2017_births]]))</f>
        <v>0.16432585432893188</v>
      </c>
      <c r="AJ4">
        <f>SUMPRODUCT((all_lmics[[worldbank_region]:[worldbank_region]]=$A4)*(LEN(all_lmics[mu_9599])&gt;0)*(all_lmics[mu_9599])*(all_lmics[[2017_births]:[2017_births]]))/SUMPRODUCT((all_lmics[[worldbank_region]:[worldbank_region]]=$A4)*(LEN(all_lmics[mu_9599])&gt;0)*(all_lmics[[2017_births]:[2017_births]]))</f>
        <v>0.25078136837558157</v>
      </c>
      <c r="AK4">
        <f>SUMPRODUCT((all_lmics[[worldbank_region]:[worldbank_region]]=$A4)*(LEN(all_lmics[mu_100])&gt;0)*(all_lmics[mu_100])*(all_lmics[[2017_births]:[2017_births]]))/SUMPRODUCT((all_lmics[[worldbank_region]:[worldbank_region]]=$A4)*(LEN(all_lmics[mu_100])&gt;0)*(all_lmics[[2017_births]:[2017_births]]))</f>
        <v>0.37998170672148729</v>
      </c>
      <c r="AL4">
        <f>SUMPRODUCT((all_lmics[[worldbank_region]:[worldbank_region]]=$A4)*(LEN(all_lmics[c_A])&gt;0)*(all_lmics[c_A])*(all_lmics[[2017_births]:[2017_births]]))/SUMPRODUCT((all_lmics[[worldbank_region]:[worldbank_region]]=$A4)*(LEN(all_lmics[c_A])&gt;0)*(all_lmics[[2017_births]:[2017_births]]))</f>
        <v>86.859986999999975</v>
      </c>
      <c r="AM4">
        <f>SUMPRODUCT((all_lmics[[worldbank_region]:[worldbank_region]]=$A4)*(LEN(all_lmics[c_C])&gt;0)*(all_lmics[c_C])*(all_lmics[[2017_births]:[2017_births]]))/SUMPRODUCT((all_lmics[[worldbank_region]:[worldbank_region]]=$A4)*(LEN(all_lmics[c_C])&gt;0)*(all_lmics[[2017_births]:[2017_births]]))</f>
        <v>86.859986999999975</v>
      </c>
      <c r="AN4">
        <f>SUMPRODUCT((all_lmics[[worldbank_region]:[worldbank_region]]=$A4)*(LEN(all_lmics[c_CC])&gt;0)*(all_lmics[c_CC])*(all_lmics[[2017_births]:[2017_births]]))/SUMPRODUCT((all_lmics[[worldbank_region]:[worldbank_region]]=$A4)*(LEN(all_lmics[c_CC])&gt;0)*(all_lmics[[2017_births]:[2017_births]]))</f>
        <v>134.58884699999999</v>
      </c>
      <c r="AO4">
        <f>SUMPRODUCT((all_lmics[[worldbank_region]:[worldbank_region]]=$A4)*(LEN(all_lmics[c_DC])&gt;0)*(all_lmics[c_DC])*(all_lmics[[2017_births]:[2017_births]]))/SUMPRODUCT((all_lmics[[worldbank_region]:[worldbank_region]]=$A4)*(LEN(all_lmics[c_DC])&gt;0)*(all_lmics[[2017_births]:[2017_births]]))</f>
        <v>134.58884699999999</v>
      </c>
      <c r="AP4">
        <f>SUMPRODUCT((all_lmics[[worldbank_region]:[worldbank_region]]=$A4)*(LEN(all_lmics[c_HCC])&gt;0)*(all_lmics[c_HCC])*(all_lmics[[2017_births]:[2017_births]]))/SUMPRODUCT((all_lmics[[worldbank_region]:[worldbank_region]]=$A4)*(LEN(all_lmics[c_HCC])&gt;0)*(all_lmics[[2017_births]:[2017_births]]))</f>
        <v>134.58884699999999</v>
      </c>
      <c r="AQ4">
        <f>SUMPRODUCT((all_lmics[[worldbank_region]:[worldbank_region]]=$A4)*(LEN(all_lmics[fac_cc])&gt;0)*(all_lmics[fac_cc])*(all_lmics[[2017_births]:[2017_births]]))/SUMPRODUCT((all_lmics[[worldbank_region]:[worldbank_region]]=$A4)*(LEN(all_lmics[fac_cc])&gt;0)*(all_lmics[[2017_births]:[2017_births]]))</f>
        <v>1.514642</v>
      </c>
      <c r="AR4">
        <f>SUMPRODUCT((all_lmics[[worldbank_region]:[worldbank_region]]=$A4)*(LEN(all_lmics[fac_ctc])&gt;0)*(all_lmics[fac_ctc])*(all_lmics[[2017_births]:[2017_births]]))/SUMPRODUCT((all_lmics[[worldbank_region]:[worldbank_region]]=$A4)*(LEN(all_lmics[fac_ctc])&gt;0)*(all_lmics[[2017_births]:[2017_births]]))</f>
        <v>2.1321420000000004</v>
      </c>
      <c r="AS4">
        <f>SUMPRODUCT((all_lmics[[worldbank_region]:[worldbank_region]]=$A4)*(LEN(all_lmics[com_cc])&gt;0)*(all_lmics[com_cc])*(all_lmics[[2017_births]:[2017_births]]))/SUMPRODUCT((all_lmics[[worldbank_region]:[worldbank_region]]=$A4)*(LEN(all_lmics[com_cc])&gt;0)*(all_lmics[[2017_births]:[2017_births]]))</f>
        <v>1.5364360000000004</v>
      </c>
      <c r="AT4">
        <f>SUMPRODUCT((all_lmics[[worldbank_region]:[worldbank_region]]=$A4)*(LEN(all_lmics[com_ctc])&gt;0)*(all_lmics[com_ctc])*(all_lmics[[2017_births]:[2017_births]]))/SUMPRODUCT((all_lmics[[worldbank_region]:[worldbank_region]]=$A4)*(LEN(all_lmics[com_ctc])&gt;0)*(all_lmics[[2017_births]:[2017_births]]))</f>
        <v>2.153935999999999</v>
      </c>
      <c r="AU4">
        <f>SUMPRODUCT((all_lmics[[worldbank_region]:[worldbank_region]]=$A4)*(LEN(all_lmics[com_cpad])&gt;0)*(all_lmics[com_cpad])*(all_lmics[[2017_births]:[2017_births]]))/SUMPRODUCT((all_lmics[[worldbank_region]:[worldbank_region]]=$A4)*(LEN(all_lmics[com_cpad])&gt;0)*(all_lmics[[2017_births]:[2017_births]]))</f>
        <v>2.7241880000000007</v>
      </c>
      <c r="AV4">
        <f>SUMPRODUCT((all_lmics[[worldbank_region]:[worldbank_region]]=$A4)*(LEN(all_lmics[SBA_nfac])&gt;1)*(all_lmics[SBA_nfac])*(all_lmics[[2017_births]:[2017_births]]))/SUMPRODUCT((all_lmics[[worldbank_region]:[worldbank_region]]=$A4)*(LEN(all_lmics[SBA_nfac])&gt;1)*(all_lmics[[2017_births]:[2017_births]]))</f>
        <v>0.17468331180599486</v>
      </c>
      <c r="AW4">
        <f>VLOOKUP($A4, hbe[],2,FALSE)</f>
        <v>0.3</v>
      </c>
      <c r="AX4">
        <f>VLOOKUP($A4, hbe[], 5, FALSE)</f>
        <v>0.875</v>
      </c>
      <c r="AY4">
        <f>VLOOKUP($A4, hbe[], 8, FALSE)</f>
        <v>0.15</v>
      </c>
    </row>
    <row r="5" spans="1:51" x14ac:dyDescent="0.35">
      <c r="A5" t="s">
        <v>7</v>
      </c>
      <c r="D5">
        <f>SUMPRODUCT((all_lmics[[worldbank_region]:[worldbank_region]]=Table20[[#This Row],[Setting]])*(all_lmics[[2017_population]:[2017_population]]))</f>
        <v>676963695</v>
      </c>
      <c r="F5" s="41">
        <f>SUMPRODUCT((all_lmics[[worldbank_region]:[worldbank_region]]=Table20[[#This Row],[Setting]])*(all_lmics[[2017_births]:[2017_births]]))</f>
        <v>17561556.567988999</v>
      </c>
      <c r="G5">
        <f>SUMPRODUCT((all_lmics[worldbank_region]=$A5)*(LEN(all_lmics[birth_dose])&gt;0)*(all_lmics[birth_dose])*(all_lmics[2017_births]))/SUMPRODUCT((all_lmics[worldbank_region]=$A5)*(LEN(all_lmics[birth_dose])&gt;0)*(all_lmics[2017_births]))</f>
        <v>0.33822780896665389</v>
      </c>
      <c r="H5">
        <f>SUMPRODUCT((all_lmics[worldbank_region]=$A5)*(LEN(all_lmics[HBV3])&gt;0)*(all_lmics[HBV3])*(all_lmics[2017_births]))/SUMPRODUCT((all_lmics[worldbank_region]=$A5)*(LEN(all_lmics[HBV3])&gt;0)*(all_lmics[2017_births]))</f>
        <v>0.80535036621150957</v>
      </c>
      <c r="I5">
        <f>SUMPRODUCT((all_lmics[[worldbank_region]:[worldbank_region]]=$A5)*(LEN(all_lmics[prev])&gt;1)*(all_lmics[prev])*(all_lmics[[2017_population]:[2017_population]]))/SUMPRODUCT((all_lmics[[worldbank_region]:[worldbank_region]]=$A5)*(LEN(all_lmics[prev])&gt;1)*(all_lmics[[2017_population]:[2017_population]]))</f>
        <v>2.4824149407185619E-2</v>
      </c>
      <c r="J5">
        <f>SUMPRODUCT((all_lmics[[worldbank_region]:[worldbank_region]]=$A5)*(LEN(all_lmics[prev_lb])&gt;1)*(all_lmics[prev_lb])*(all_lmics[[2017_population]:[2017_population]]))/SUMPRODUCT((all_lmics[[worldbank_region]:[worldbank_region]]=$A5)*(LEN(all_lmics[prev_lb])&gt;1)*(all_lmics[[2017_population]:[2017_population]]))</f>
        <v>2.087906907906284E-2</v>
      </c>
      <c r="K5">
        <f>SUMPRODUCT((all_lmics[[worldbank_region]:[worldbank_region]]=$A5)*(LEN(all_lmics[prev_ub])&gt;1)*(all_lmics[prev_ub])*(all_lmics[[2017_population]:[2017_population]]))/SUMPRODUCT((all_lmics[[worldbank_region]:[worldbank_region]]=$A5)*(LEN(all_lmics[prev_ub])&gt;1)*(all_lmics[[2017_population]:[2017_population]]))</f>
        <v>3.219088912667746E-2</v>
      </c>
      <c r="L5">
        <f>SUMPRODUCT((all_lmics[[worldbank_region]:[worldbank_region]]=$A5)*(LEN(all_lmics[sigma])&gt;1)*(all_lmics[sigma])*(all_lmics[[2017_population]:[2017_population]]))/SUMPRODUCT((all_lmics[[worldbank_region]:[worldbank_region]]=$A5)*(LEN(all_lmics[sigma])&gt;1)*(all_lmics[[2017_population]:[2017_population]]))</f>
        <v>3.7585406732101216E-3</v>
      </c>
      <c r="N5">
        <f>SUMPRODUCT((all_lmics[[worldbank_region]:[worldbank_region]]=$A5)*(LEN(all_lmics[SBA])&gt;0)*(all_lmics[SBA])*(all_lmics[[2017_births]:[2017_births]]))/SUMPRODUCT((all_lmics[[worldbank_region]:[worldbank_region]]=$A5)*(LEN(all_lmics[SBA])&gt;0)*(all_lmics[[2017_births]:[2017_births]]))</f>
        <v>0.69034886899491121</v>
      </c>
      <c r="O5">
        <f>SUMPRODUCT((all_lmics[[worldbank_region]:[worldbank_region]]=$A5)*(LEN(all_lmics[Facility])&gt;0)*(all_lmics[Facility])*(all_lmics[[2017_births]:[2017_births]]))/SUMPRODUCT((all_lmics[[worldbank_region]:[worldbank_region]]=$A5)*(LEN(all_lmics[Facility])&gt;0)*(all_lmics[[2017_births]:[2017_births]]))</f>
        <v>0.61611918758538509</v>
      </c>
      <c r="P5">
        <f>SUMPRODUCT((all_lmics[[worldbank_region]:[worldbank_region]]=$A5)*(LEN(all_lmics[mu_01])&gt;0)*(all_lmics[mu_01])*(all_lmics[[2017_births]:[2017_births]]))/SUMPRODUCT((all_lmics[[worldbank_region]:[worldbank_region]]=$A5)*(LEN(all_lmics[mu_01])&gt;0)*(all_lmics[[2017_births]:[2017_births]]))</f>
        <v>3.9503846706165947E-2</v>
      </c>
      <c r="Q5">
        <f>SUMPRODUCT((all_lmics[[worldbank_region]:[worldbank_region]]=$A5)*(LEN(all_lmics[mu_14])&gt;0)*(all_lmics[mu_14])*(all_lmics[[2017_births]:[2017_births]]))/SUMPRODUCT((all_lmics[[worldbank_region]:[worldbank_region]]=$A5)*(LEN(all_lmics[mu_14])&gt;0)*(all_lmics[[2017_births]:[2017_births]]))</f>
        <v>2.8626807599134263E-3</v>
      </c>
      <c r="R5">
        <f>SUMPRODUCT((all_lmics[[worldbank_region]:[worldbank_region]]=$A5)*(LEN(all_lmics[mu_59])&gt;0)*(all_lmics[mu_59])*(all_lmics[[2017_births]:[2017_births]]))/SUMPRODUCT((all_lmics[[worldbank_region]:[worldbank_region]]=$A5)*(LEN(all_lmics[mu_59])&gt;0)*(all_lmics[[2017_births]:[2017_births]]))</f>
        <v>9.7824685425282071E-4</v>
      </c>
      <c r="S5">
        <f>SUMPRODUCT((all_lmics[[worldbank_region]:[worldbank_region]]=$A5)*(LEN(all_lmics[mu_1014])&gt;0)*(all_lmics[mu_1014])*(all_lmics[[2017_births]:[2017_births]]))/SUMPRODUCT((all_lmics[[worldbank_region]:[worldbank_region]]=$A5)*(LEN(all_lmics[mu_1014])&gt;0)*(all_lmics[[2017_births]:[2017_births]]))</f>
        <v>7.1950610260296071E-4</v>
      </c>
      <c r="T5">
        <f>SUMPRODUCT((all_lmics[[worldbank_region]:[worldbank_region]]=$A5)*(LEN(all_lmics[mu_1519])&gt;0)*(all_lmics[mu_1519])*(all_lmics[[2017_births]:[2017_births]]))/SUMPRODUCT((all_lmics[[worldbank_region]:[worldbank_region]]=$A5)*(LEN(all_lmics[mu_1519])&gt;0)*(all_lmics[[2017_births]:[2017_births]]))</f>
        <v>1.0402937549374247E-3</v>
      </c>
      <c r="U5">
        <f>SUMPRODUCT((all_lmics[[worldbank_region]:[worldbank_region]]=$A5)*(LEN(all_lmics[mu_2024])&gt;0)*(all_lmics[mu_2024])*(all_lmics[[2017_births]:[2017_births]]))/SUMPRODUCT((all_lmics[[worldbank_region]:[worldbank_region]]=$A5)*(LEN(all_lmics[mu_2024])&gt;0)*(all_lmics[[2017_births]:[2017_births]]))</f>
        <v>1.426351702276678E-3</v>
      </c>
      <c r="V5">
        <f>SUMPRODUCT((all_lmics[[worldbank_region]:[worldbank_region]]=$A5)*(LEN(all_lmics[mu_2529])&gt;0)*(all_lmics[mu_2529])*(all_lmics[[2017_births]:[2017_births]]))/SUMPRODUCT((all_lmics[[worldbank_region]:[worldbank_region]]=$A5)*(LEN(all_lmics[mu_2529])&gt;0)*(all_lmics[[2017_births]:[2017_births]]))</f>
        <v>1.6070800848958624E-3</v>
      </c>
      <c r="W5">
        <f>SUMPRODUCT((all_lmics[[worldbank_region]:[worldbank_region]]=$A5)*(LEN(all_lmics[mu_3034])&gt;0)*(all_lmics[mu_3034])*(all_lmics[[2017_births]:[2017_births]]))/SUMPRODUCT((all_lmics[[worldbank_region]:[worldbank_region]]=$A5)*(LEN(all_lmics[mu_3034])&gt;0)*(all_lmics[[2017_births]:[2017_births]]))</f>
        <v>1.884486965854196E-3</v>
      </c>
      <c r="X5">
        <f>SUMPRODUCT((all_lmics[[worldbank_region]:[worldbank_region]]=$A5)*(LEN(all_lmics[mu_3539])&gt;0)*(all_lmics[mu_3539])*(all_lmics[[2017_births]:[2017_births]]))/SUMPRODUCT((all_lmics[[worldbank_region]:[worldbank_region]]=$A5)*(LEN(all_lmics[mu_3539])&gt;0)*(all_lmics[[2017_births]:[2017_births]]))</f>
        <v>2.3565125242727093E-3</v>
      </c>
      <c r="Y5">
        <f>SUMPRODUCT((all_lmics[[worldbank_region]:[worldbank_region]]=$A5)*(LEN(all_lmics[mu_4044])&gt;0)*(all_lmics[mu_4044])*(all_lmics[[2017_births]:[2017_births]]))/SUMPRODUCT((all_lmics[[worldbank_region]:[worldbank_region]]=$A5)*(LEN(all_lmics[mu_4044])&gt;0)*(all_lmics[[2017_births]:[2017_births]]))</f>
        <v>3.1683965635497606E-3</v>
      </c>
      <c r="Z5">
        <f>SUMPRODUCT((all_lmics[[worldbank_region]:[worldbank_region]]=$A5)*(LEN(all_lmics[mu_4549])&gt;0)*(all_lmics[mu_4549])*(all_lmics[[2017_births]:[2017_births]]))/SUMPRODUCT((all_lmics[[worldbank_region]:[worldbank_region]]=$A5)*(LEN(all_lmics[mu_4549])&gt;0)*(all_lmics[[2017_births]:[2017_births]]))</f>
        <v>4.672870442080662E-3</v>
      </c>
      <c r="AA5">
        <f>SUMPRODUCT((all_lmics[[worldbank_region]:[worldbank_region]]=$A5)*(LEN(all_lmics[mu_5054])&gt;0)*(all_lmics[mu_5054])*(all_lmics[[2017_births]:[2017_births]]))/SUMPRODUCT((all_lmics[[worldbank_region]:[worldbank_region]]=$A5)*(LEN(all_lmics[mu_5054])&gt;0)*(all_lmics[[2017_births]:[2017_births]]))</f>
        <v>7.2329835425795587E-3</v>
      </c>
      <c r="AB5">
        <f>SUMPRODUCT((all_lmics[[worldbank_region]:[worldbank_region]]=$A5)*(LEN(all_lmics[mu_5559])&gt;0)*(all_lmics[mu_5559])*(all_lmics[[2017_births]:[2017_births]]))/SUMPRODUCT((all_lmics[[worldbank_region]:[worldbank_region]]=$A5)*(LEN(all_lmics[mu_5559])&gt;0)*(all_lmics[[2017_births]:[2017_births]]))</f>
        <v>1.0756950854423415E-2</v>
      </c>
      <c r="AC5">
        <f>SUMPRODUCT((all_lmics[[worldbank_region]:[worldbank_region]]=$A5)*(LEN(all_lmics[mu_6064])&gt;0)*(all_lmics[mu_6064])*(all_lmics[[2017_births]:[2017_births]]))/SUMPRODUCT((all_lmics[[worldbank_region]:[worldbank_region]]=$A5)*(LEN(all_lmics[mu_6064])&gt;0)*(all_lmics[[2017_births]:[2017_births]]))</f>
        <v>1.7530589429132517E-2</v>
      </c>
      <c r="AD5">
        <f>SUMPRODUCT((all_lmics[[worldbank_region]:[worldbank_region]]=$A5)*(LEN(all_lmics[mu_6569])&gt;0)*(all_lmics[mu_6569])*(all_lmics[[2017_births]:[2017_births]]))/SUMPRODUCT((all_lmics[[worldbank_region]:[worldbank_region]]=$A5)*(LEN(all_lmics[mu_6569])&gt;0)*(all_lmics[[2017_births]:[2017_births]]))</f>
        <v>2.8098017222488111E-2</v>
      </c>
      <c r="AE5">
        <f>SUMPRODUCT((all_lmics[[worldbank_region]:[worldbank_region]]=$A5)*(LEN(all_lmics[mu_7074])&gt;0)*(all_lmics[mu_7074])*(all_lmics[[2017_births]:[2017_births]]))/SUMPRODUCT((all_lmics[[worldbank_region]:[worldbank_region]]=$A5)*(LEN(all_lmics[mu_7074])&gt;0)*(all_lmics[[2017_births]:[2017_births]]))</f>
        <v>4.6540513185329549E-2</v>
      </c>
      <c r="AF5">
        <f>SUMPRODUCT((all_lmics[[worldbank_region]:[worldbank_region]]=$A5)*(LEN(all_lmics[mu_7579])&gt;0)*(all_lmics[mu_7579])*(all_lmics[[2017_births]:[2017_births]]))/SUMPRODUCT((all_lmics[[worldbank_region]:[worldbank_region]]=$A5)*(LEN(all_lmics[mu_7579])&gt;0)*(all_lmics[[2017_births]:[2017_births]]))</f>
        <v>7.6633124246046014E-2</v>
      </c>
      <c r="AG5">
        <f>SUMPRODUCT((all_lmics[[worldbank_region]:[worldbank_region]]=$A5)*(LEN(all_lmics[mu_8084])&gt;0)*(all_lmics[mu_8084])*(all_lmics[[2017_births]:[2017_births]]))/SUMPRODUCT((all_lmics[[worldbank_region]:[worldbank_region]]=$A5)*(LEN(all_lmics[mu_8084])&gt;0)*(all_lmics[[2017_births]:[2017_births]]))</f>
        <v>0.1250516419592248</v>
      </c>
      <c r="AH5">
        <f>SUMPRODUCT((all_lmics[[worldbank_region]:[worldbank_region]]=$A5)*(LEN(all_lmics[mu_8589])&gt;0)*(all_lmics[mu_8589])*(all_lmics[[2017_births]:[2017_births]]))/SUMPRODUCT((all_lmics[[worldbank_region]:[worldbank_region]]=$A5)*(LEN(all_lmics[mu_8589])&gt;0)*(all_lmics[[2017_births]:[2017_births]]))</f>
        <v>0.19872871215679863</v>
      </c>
      <c r="AI5">
        <f>SUMPRODUCT((all_lmics[[worldbank_region]:[worldbank_region]]=$A5)*(LEN(all_lmics[mu_9094])&gt;0)*(all_lmics[mu_9094])*(all_lmics[[2017_births]:[2017_births]]))/SUMPRODUCT((all_lmics[[worldbank_region]:[worldbank_region]]=$A5)*(LEN(all_lmics[mu_9094])&gt;0)*(all_lmics[[2017_births]:[2017_births]]))</f>
        <v>0.29819892907831197</v>
      </c>
      <c r="AJ5">
        <f>SUMPRODUCT((all_lmics[[worldbank_region]:[worldbank_region]]=$A5)*(LEN(all_lmics[mu_9599])&gt;0)*(all_lmics[mu_9599])*(all_lmics[[2017_births]:[2017_births]]))/SUMPRODUCT((all_lmics[[worldbank_region]:[worldbank_region]]=$A5)*(LEN(all_lmics[mu_9599])&gt;0)*(all_lmics[[2017_births]:[2017_births]]))</f>
        <v>0.41682645114241895</v>
      </c>
      <c r="AK5">
        <f>SUMPRODUCT((all_lmics[[worldbank_region]:[worldbank_region]]=$A5)*(LEN(all_lmics[mu_100])&gt;0)*(all_lmics[mu_100])*(all_lmics[[2017_births]:[2017_births]]))/SUMPRODUCT((all_lmics[[worldbank_region]:[worldbank_region]]=$A5)*(LEN(all_lmics[mu_100])&gt;0)*(all_lmics[[2017_births]:[2017_births]]))</f>
        <v>0.53684789364576035</v>
      </c>
      <c r="AL5">
        <f>SUMPRODUCT((all_lmics[[worldbank_region]:[worldbank_region]]=$A5)*(LEN(all_lmics[c_A])&gt;0)*(all_lmics[c_A])*(all_lmics[[2017_births]:[2017_births]]))/SUMPRODUCT((all_lmics[[worldbank_region]:[worldbank_region]]=$A5)*(LEN(all_lmics[c_A])&gt;0)*(all_lmics[[2017_births]:[2017_births]]))</f>
        <v>57.906658000000007</v>
      </c>
      <c r="AM5">
        <f>SUMPRODUCT((all_lmics[[worldbank_region]:[worldbank_region]]=$A5)*(LEN(all_lmics[c_C])&gt;0)*(all_lmics[c_C])*(all_lmics[[2017_births]:[2017_births]]))/SUMPRODUCT((all_lmics[[worldbank_region]:[worldbank_region]]=$A5)*(LEN(all_lmics[c_C])&gt;0)*(all_lmics[[2017_births]:[2017_births]]))</f>
        <v>57.906658000000007</v>
      </c>
      <c r="AN5">
        <f>SUMPRODUCT((all_lmics[[worldbank_region]:[worldbank_region]]=$A5)*(LEN(all_lmics[c_CC])&gt;0)*(all_lmics[c_CC])*(all_lmics[[2017_births]:[2017_births]]))/SUMPRODUCT((all_lmics[[worldbank_region]:[worldbank_region]]=$A5)*(LEN(all_lmics[c_CC])&gt;0)*(all_lmics[[2017_births]:[2017_births]]))</f>
        <v>105.63551799999999</v>
      </c>
      <c r="AO5">
        <f>SUMPRODUCT((all_lmics[[worldbank_region]:[worldbank_region]]=$A5)*(LEN(all_lmics[c_DC])&gt;0)*(all_lmics[c_DC])*(all_lmics[[2017_births]:[2017_births]]))/SUMPRODUCT((all_lmics[[worldbank_region]:[worldbank_region]]=$A5)*(LEN(all_lmics[c_DC])&gt;0)*(all_lmics[[2017_births]:[2017_births]]))</f>
        <v>105.63551799999999</v>
      </c>
      <c r="AP5">
        <f>SUMPRODUCT((all_lmics[[worldbank_region]:[worldbank_region]]=$A5)*(LEN(all_lmics[c_HCC])&gt;0)*(all_lmics[c_HCC])*(all_lmics[[2017_births]:[2017_births]]))/SUMPRODUCT((all_lmics[[worldbank_region]:[worldbank_region]]=$A5)*(LEN(all_lmics[c_HCC])&gt;0)*(all_lmics[[2017_births]:[2017_births]]))</f>
        <v>105.63551799999999</v>
      </c>
      <c r="AQ5">
        <f>SUMPRODUCT((all_lmics[[worldbank_region]:[worldbank_region]]=$A5)*(LEN(all_lmics[fac_cc])&gt;0)*(all_lmics[fac_cc])*(all_lmics[[2017_births]:[2017_births]]))/SUMPRODUCT((all_lmics[[worldbank_region]:[worldbank_region]]=$A5)*(LEN(all_lmics[fac_cc])&gt;0)*(all_lmics[[2017_births]:[2017_births]]))</f>
        <v>1.5037450000000001</v>
      </c>
      <c r="AR5">
        <f>SUMPRODUCT((all_lmics[[worldbank_region]:[worldbank_region]]=$A5)*(LEN(all_lmics[fac_ctc])&gt;0)*(all_lmics[fac_ctc])*(all_lmics[[2017_births]:[2017_births]]))/SUMPRODUCT((all_lmics[[worldbank_region]:[worldbank_region]]=$A5)*(LEN(all_lmics[fac_ctc])&gt;0)*(all_lmics[[2017_births]:[2017_births]]))</f>
        <v>2.121245</v>
      </c>
      <c r="AS5">
        <f>SUMPRODUCT((all_lmics[[worldbank_region]:[worldbank_region]]=$A5)*(LEN(all_lmics[com_cc])&gt;0)*(all_lmics[com_cc])*(all_lmics[[2017_births]:[2017_births]]))/SUMPRODUCT((all_lmics[[worldbank_region]:[worldbank_region]]=$A5)*(LEN(all_lmics[com_cc])&gt;0)*(all_lmics[[2017_births]:[2017_births]]))</f>
        <v>1.9832130000000001</v>
      </c>
      <c r="AT5">
        <f>SUMPRODUCT((all_lmics[[worldbank_region]:[worldbank_region]]=$A5)*(LEN(all_lmics[com_ctc])&gt;0)*(all_lmics[com_ctc])*(all_lmics[[2017_births]:[2017_births]]))/SUMPRODUCT((all_lmics[[worldbank_region]:[worldbank_region]]=$A5)*(LEN(all_lmics[com_ctc])&gt;0)*(all_lmics[[2017_births]:[2017_births]]))</f>
        <v>2.6007130000000003</v>
      </c>
      <c r="AU5">
        <f>SUMPRODUCT((all_lmics[[worldbank_region]:[worldbank_region]]=$A5)*(LEN(all_lmics[com_cpad])&gt;0)*(all_lmics[com_cpad])*(all_lmics[[2017_births]:[2017_births]]))/SUMPRODUCT((all_lmics[[worldbank_region]:[worldbank_region]]=$A5)*(LEN(all_lmics[com_cpad])&gt;0)*(all_lmics[[2017_births]:[2017_births]]))</f>
        <v>3.1709650000000003</v>
      </c>
      <c r="AV5">
        <f>SUMPRODUCT((all_lmics[[worldbank_region]:[worldbank_region]]=$A5)*(LEN(all_lmics[SBA_nfac])&gt;1)*(all_lmics[SBA_nfac])*(all_lmics[[2017_births]:[2017_births]]))/SUMPRODUCT((all_lmics[[worldbank_region]:[worldbank_region]]=$A5)*(LEN(all_lmics[SBA_nfac])&gt;1)*(all_lmics[[2017_births]:[2017_births]]))</f>
        <v>0.20648094333727748</v>
      </c>
      <c r="AW5">
        <f>VLOOKUP($A5, hbe[],2,FALSE)</f>
        <v>0.3</v>
      </c>
      <c r="AX5">
        <f>VLOOKUP($A5, hbe[], 5, FALSE)</f>
        <v>0.875</v>
      </c>
      <c r="AY5">
        <f>VLOOKUP($A5, hbe[], 8, FALSE)</f>
        <v>0.15</v>
      </c>
    </row>
    <row r="6" spans="1:51" x14ac:dyDescent="0.35">
      <c r="A6" t="s">
        <v>37</v>
      </c>
      <c r="D6">
        <f>SUMPRODUCT((all_lmics[[worldbank_region]:[worldbank_region]]=Table20[[#This Row],[Setting]])*(all_lmics[[2017_population]:[2017_population]]))</f>
        <v>1614556701</v>
      </c>
      <c r="F6" s="41">
        <f>SUMPRODUCT((all_lmics[[worldbank_region]:[worldbank_region]]=Table20[[#This Row],[Setting]])*(all_lmics[[2017_births]:[2017_births]]))</f>
        <v>30530318.765715003</v>
      </c>
      <c r="G6">
        <f>SUMPRODUCT((all_lmics[worldbank_region]=$A6)*(LEN(all_lmics[birth_dose])&gt;0)*(all_lmics[birth_dose])*(all_lmics[2017_births]))/SUMPRODUCT((all_lmics[worldbank_region]=$A6)*(LEN(all_lmics[birth_dose])&gt;0)*(all_lmics[2017_births]))</f>
        <v>0.45499465819243079</v>
      </c>
      <c r="H6">
        <f>SUMPRODUCT((all_lmics[worldbank_region]=$A6)*(LEN(all_lmics[HBV3])&gt;0)*(all_lmics[HBV3])*(all_lmics[2017_births]))/SUMPRODUCT((all_lmics[worldbank_region]=$A6)*(LEN(all_lmics[HBV3])&gt;0)*(all_lmics[2017_births]))</f>
        <v>0.89082605075765764</v>
      </c>
      <c r="I6">
        <f>SUMPRODUCT((all_lmics[[worldbank_region]:[worldbank_region]]=$A6)*(LEN(all_lmics[prev])&gt;1)*(all_lmics[prev])*(all_lmics[[2017_population]:[2017_population]]))/SUMPRODUCT((all_lmics[[worldbank_region]:[worldbank_region]]=$A6)*(LEN(all_lmics[prev])&gt;1)*(all_lmics[[2017_population]:[2017_population]]))</f>
        <v>2.9042976123168401E-2</v>
      </c>
      <c r="J6">
        <f>SUMPRODUCT((all_lmics[[worldbank_region]:[worldbank_region]]=$A6)*(LEN(all_lmics[prev_lb])&gt;1)*(all_lmics[prev_lb])*(all_lmics[[2017_population]:[2017_population]]))/SUMPRODUCT((all_lmics[[worldbank_region]:[worldbank_region]]=$A6)*(LEN(all_lmics[prev_lb])&gt;1)*(all_lmics[[2017_population]:[2017_population]]))</f>
        <v>2.3703460291678725E-2</v>
      </c>
      <c r="K6">
        <f>SUMPRODUCT((all_lmics[[worldbank_region]:[worldbank_region]]=$A6)*(LEN(all_lmics[prev_ub])&gt;1)*(all_lmics[prev_ub])*(all_lmics[[2017_population]:[2017_population]]))/SUMPRODUCT((all_lmics[[worldbank_region]:[worldbank_region]]=$A6)*(LEN(all_lmics[prev_ub])&gt;1)*(all_lmics[[2017_population]:[2017_population]]))</f>
        <v>3.2561757047722864E-2</v>
      </c>
      <c r="L6">
        <f>SUMPRODUCT((all_lmics[[worldbank_region]:[worldbank_region]]=$A6)*(LEN(all_lmics[sigma])&gt;1)*(all_lmics[sigma])*(all_lmics[[2017_population]:[2017_population]]))/SUMPRODUCT((all_lmics[[worldbank_region]:[worldbank_region]]=$A6)*(LEN(all_lmics[sigma])&gt;1)*(all_lmics[[2017_population]:[2017_population]]))</f>
        <v>1.7952963900788081E-3</v>
      </c>
      <c r="N6">
        <f>SUMPRODUCT((all_lmics[[worldbank_region]:[worldbank_region]]=$A6)*(LEN(all_lmics[SBA])&gt;0)*(all_lmics[SBA])*(all_lmics[[2017_births]:[2017_births]]))/SUMPRODUCT((all_lmics[[worldbank_region]:[worldbank_region]]=$A6)*(LEN(all_lmics[SBA])&gt;0)*(all_lmics[[2017_births]:[2017_births]]))</f>
        <v>0.80839489195190495</v>
      </c>
      <c r="O6">
        <f>SUMPRODUCT((all_lmics[[worldbank_region]:[worldbank_region]]=$A6)*(LEN(all_lmics[Facility])&gt;0)*(all_lmics[Facility])*(all_lmics[[2017_births]:[2017_births]]))/SUMPRODUCT((all_lmics[[worldbank_region]:[worldbank_region]]=$A6)*(LEN(all_lmics[Facility])&gt;0)*(all_lmics[[2017_births]:[2017_births]]))</f>
        <v>0.7305002309123968</v>
      </c>
      <c r="P6">
        <f>SUMPRODUCT((all_lmics[[worldbank_region]:[worldbank_region]]=$A6)*(LEN(all_lmics[mu_01])&gt;0)*(all_lmics[mu_01])*(all_lmics[[2017_births]:[2017_births]]))/SUMPRODUCT((all_lmics[[worldbank_region]:[worldbank_region]]=$A6)*(LEN(all_lmics[mu_01])&gt;0)*(all_lmics[[2017_births]:[2017_births]]))</f>
        <v>3.2263648858773843E-2</v>
      </c>
      <c r="Q6">
        <f>SUMPRODUCT((all_lmics[[worldbank_region]:[worldbank_region]]=$A6)*(LEN(all_lmics[mu_14])&gt;0)*(all_lmics[mu_14])*(all_lmics[[2017_births]:[2017_births]]))/SUMPRODUCT((all_lmics[[worldbank_region]:[worldbank_region]]=$A6)*(LEN(all_lmics[mu_14])&gt;0)*(all_lmics[[2017_births]:[2017_births]]))</f>
        <v>1.8732641057169902E-3</v>
      </c>
      <c r="R6">
        <f>SUMPRODUCT((all_lmics[[worldbank_region]:[worldbank_region]]=$A6)*(LEN(all_lmics[mu_59])&gt;0)*(all_lmics[mu_59])*(all_lmics[[2017_births]:[2017_births]]))/SUMPRODUCT((all_lmics[[worldbank_region]:[worldbank_region]]=$A6)*(LEN(all_lmics[mu_59])&gt;0)*(all_lmics[[2017_births]:[2017_births]]))</f>
        <v>7.2807977882410446E-4</v>
      </c>
      <c r="S6">
        <f>SUMPRODUCT((all_lmics[[worldbank_region]:[worldbank_region]]=$A6)*(LEN(all_lmics[mu_1014])&gt;0)*(all_lmics[mu_1014])*(all_lmics[[2017_births]:[2017_births]]))/SUMPRODUCT((all_lmics[[worldbank_region]:[worldbank_region]]=$A6)*(LEN(all_lmics[mu_1014])&gt;0)*(all_lmics[[2017_births]:[2017_births]]))</f>
        <v>6.1218320988483572E-4</v>
      </c>
      <c r="T6">
        <f>SUMPRODUCT((all_lmics[[worldbank_region]:[worldbank_region]]=$A6)*(LEN(all_lmics[mu_1519])&gt;0)*(all_lmics[mu_1519])*(all_lmics[[2017_births]:[2017_births]]))/SUMPRODUCT((all_lmics[[worldbank_region]:[worldbank_region]]=$A6)*(LEN(all_lmics[mu_1519])&gt;0)*(all_lmics[[2017_births]:[2017_births]]))</f>
        <v>9.6715196331682407E-4</v>
      </c>
      <c r="U6">
        <f>SUMPRODUCT((all_lmics[[worldbank_region]:[worldbank_region]]=$A6)*(LEN(all_lmics[mu_2024])&gt;0)*(all_lmics[mu_2024])*(all_lmics[[2017_births]:[2017_births]]))/SUMPRODUCT((all_lmics[[worldbank_region]:[worldbank_region]]=$A6)*(LEN(all_lmics[mu_2024])&gt;0)*(all_lmics[[2017_births]:[2017_births]]))</f>
        <v>1.35748083985343E-3</v>
      </c>
      <c r="V6">
        <f>SUMPRODUCT((all_lmics[[worldbank_region]:[worldbank_region]]=$A6)*(LEN(all_lmics[mu_2529])&gt;0)*(all_lmics[mu_2529])*(all_lmics[[2017_births]:[2017_births]]))/SUMPRODUCT((all_lmics[[worldbank_region]:[worldbank_region]]=$A6)*(LEN(all_lmics[mu_2529])&gt;0)*(all_lmics[[2017_births]:[2017_births]]))</f>
        <v>1.5146850606673505E-3</v>
      </c>
      <c r="W6">
        <f>SUMPRODUCT((all_lmics[[worldbank_region]:[worldbank_region]]=$A6)*(LEN(all_lmics[mu_3034])&gt;0)*(all_lmics[mu_3034])*(all_lmics[[2017_births]:[2017_births]]))/SUMPRODUCT((all_lmics[[worldbank_region]:[worldbank_region]]=$A6)*(LEN(all_lmics[mu_3034])&gt;0)*(all_lmics[[2017_births]:[2017_births]]))</f>
        <v>1.9187390441539073E-3</v>
      </c>
      <c r="X6">
        <f>SUMPRODUCT((all_lmics[[worldbank_region]:[worldbank_region]]=$A6)*(LEN(all_lmics[mu_3539])&gt;0)*(all_lmics[mu_3539])*(all_lmics[[2017_births]:[2017_births]]))/SUMPRODUCT((all_lmics[[worldbank_region]:[worldbank_region]]=$A6)*(LEN(all_lmics[mu_3539])&gt;0)*(all_lmics[[2017_births]:[2017_births]]))</f>
        <v>2.641547895319547E-3</v>
      </c>
      <c r="Y6">
        <f>SUMPRODUCT((all_lmics[[worldbank_region]:[worldbank_region]]=$A6)*(LEN(all_lmics[mu_4044])&gt;0)*(all_lmics[mu_4044])*(all_lmics[[2017_births]:[2017_births]]))/SUMPRODUCT((all_lmics[[worldbank_region]:[worldbank_region]]=$A6)*(LEN(all_lmics[mu_4044])&gt;0)*(all_lmics[[2017_births]:[2017_births]]))</f>
        <v>3.5825822620715966E-3</v>
      </c>
      <c r="Z6">
        <f>SUMPRODUCT((all_lmics[[worldbank_region]:[worldbank_region]]=$A6)*(LEN(all_lmics[mu_4549])&gt;0)*(all_lmics[mu_4549])*(all_lmics[[2017_births]:[2017_births]]))/SUMPRODUCT((all_lmics[[worldbank_region]:[worldbank_region]]=$A6)*(LEN(all_lmics[mu_4549])&gt;0)*(all_lmics[[2017_births]:[2017_births]]))</f>
        <v>5.1995343091959176E-3</v>
      </c>
      <c r="AA6">
        <f>SUMPRODUCT((all_lmics[[worldbank_region]:[worldbank_region]]=$A6)*(LEN(all_lmics[mu_5054])&gt;0)*(all_lmics[mu_5054])*(all_lmics[[2017_births]:[2017_births]]))/SUMPRODUCT((all_lmics[[worldbank_region]:[worldbank_region]]=$A6)*(LEN(all_lmics[mu_5054])&gt;0)*(all_lmics[[2017_births]:[2017_births]]))</f>
        <v>8.3616017654321376E-3</v>
      </c>
      <c r="AB6">
        <f>SUMPRODUCT((all_lmics[[worldbank_region]:[worldbank_region]]=$A6)*(LEN(all_lmics[mu_5559])&gt;0)*(all_lmics[mu_5559])*(all_lmics[[2017_births]:[2017_births]]))/SUMPRODUCT((all_lmics[[worldbank_region]:[worldbank_region]]=$A6)*(LEN(all_lmics[mu_5559])&gt;0)*(all_lmics[[2017_births]:[2017_births]]))</f>
        <v>1.2650723618014736E-2</v>
      </c>
      <c r="AC6">
        <f>SUMPRODUCT((all_lmics[[worldbank_region]:[worldbank_region]]=$A6)*(LEN(all_lmics[mu_6064])&gt;0)*(all_lmics[mu_6064])*(all_lmics[[2017_births]:[2017_births]]))/SUMPRODUCT((all_lmics[[worldbank_region]:[worldbank_region]]=$A6)*(LEN(all_lmics[mu_6064])&gt;0)*(all_lmics[[2017_births]:[2017_births]]))</f>
        <v>1.926157557646031E-2</v>
      </c>
      <c r="AD6">
        <f>SUMPRODUCT((all_lmics[[worldbank_region]:[worldbank_region]]=$A6)*(LEN(all_lmics[mu_6569])&gt;0)*(all_lmics[mu_6569])*(all_lmics[[2017_births]:[2017_births]]))/SUMPRODUCT((all_lmics[[worldbank_region]:[worldbank_region]]=$A6)*(LEN(all_lmics[mu_6569])&gt;0)*(all_lmics[[2017_births]:[2017_births]]))</f>
        <v>2.9527407517613839E-2</v>
      </c>
      <c r="AE6">
        <f>SUMPRODUCT((all_lmics[[worldbank_region]:[worldbank_region]]=$A6)*(LEN(all_lmics[mu_7074])&gt;0)*(all_lmics[mu_7074])*(all_lmics[[2017_births]:[2017_births]]))/SUMPRODUCT((all_lmics[[worldbank_region]:[worldbank_region]]=$A6)*(LEN(all_lmics[mu_7074])&gt;0)*(all_lmics[[2017_births]:[2017_births]]))</f>
        <v>4.7470356338236729E-2</v>
      </c>
      <c r="AF6">
        <f>SUMPRODUCT((all_lmics[[worldbank_region]:[worldbank_region]]=$A6)*(LEN(all_lmics[mu_7579])&gt;0)*(all_lmics[mu_7579])*(all_lmics[[2017_births]:[2017_births]]))/SUMPRODUCT((all_lmics[[worldbank_region]:[worldbank_region]]=$A6)*(LEN(all_lmics[mu_7579])&gt;0)*(all_lmics[[2017_births]:[2017_births]]))</f>
        <v>7.0982596463654263E-2</v>
      </c>
      <c r="AG6">
        <f>SUMPRODUCT((all_lmics[[worldbank_region]:[worldbank_region]]=$A6)*(LEN(all_lmics[mu_8084])&gt;0)*(all_lmics[mu_8084])*(all_lmics[[2017_births]:[2017_births]]))/SUMPRODUCT((all_lmics[[worldbank_region]:[worldbank_region]]=$A6)*(LEN(all_lmics[mu_8084])&gt;0)*(all_lmics[[2017_births]:[2017_births]]))</f>
        <v>0.11079419519270663</v>
      </c>
      <c r="AH6">
        <f>SUMPRODUCT((all_lmics[[worldbank_region]:[worldbank_region]]=$A6)*(LEN(all_lmics[mu_8589])&gt;0)*(all_lmics[mu_8589])*(all_lmics[[2017_births]:[2017_births]]))/SUMPRODUCT((all_lmics[[worldbank_region]:[worldbank_region]]=$A6)*(LEN(all_lmics[mu_8589])&gt;0)*(all_lmics[[2017_births]:[2017_births]]))</f>
        <v>0.16761671726893379</v>
      </c>
      <c r="AI6">
        <f>SUMPRODUCT((all_lmics[[worldbank_region]:[worldbank_region]]=$A6)*(LEN(all_lmics[mu_9094])&gt;0)*(all_lmics[mu_9094])*(all_lmics[[2017_births]:[2017_births]]))/SUMPRODUCT((all_lmics[[worldbank_region]:[worldbank_region]]=$A6)*(LEN(all_lmics[mu_9094])&gt;0)*(all_lmics[[2017_births]:[2017_births]]))</f>
        <v>0.2453056599020409</v>
      </c>
      <c r="AJ6">
        <f>SUMPRODUCT((all_lmics[[worldbank_region]:[worldbank_region]]=$A6)*(LEN(all_lmics[mu_9599])&gt;0)*(all_lmics[mu_9599])*(all_lmics[[2017_births]:[2017_births]]))/SUMPRODUCT((all_lmics[[worldbank_region]:[worldbank_region]]=$A6)*(LEN(all_lmics[mu_9599])&gt;0)*(all_lmics[[2017_births]:[2017_births]]))</f>
        <v>0.24391305889978637</v>
      </c>
      <c r="AK6">
        <f>SUMPRODUCT((all_lmics[[worldbank_region]:[worldbank_region]]=$A6)*(LEN(all_lmics[mu_100])&gt;0)*(all_lmics[mu_100])*(all_lmics[[2017_births]:[2017_births]]))/SUMPRODUCT((all_lmics[[worldbank_region]:[worldbank_region]]=$A6)*(LEN(all_lmics[mu_100])&gt;0)*(all_lmics[[2017_births]:[2017_births]]))</f>
        <v>0.3405006369868776</v>
      </c>
      <c r="AL6">
        <f>SUMPRODUCT((all_lmics[[worldbank_region]:[worldbank_region]]=$A6)*(LEN(all_lmics[c_A])&gt;0)*(all_lmics[c_A])*(all_lmics[[2017_births]:[2017_births]]))/SUMPRODUCT((all_lmics[[worldbank_region]:[worldbank_region]]=$A6)*(LEN(all_lmics[c_A])&gt;0)*(all_lmics[[2017_births]:[2017_births]]))</f>
        <v>57.361808000000003</v>
      </c>
      <c r="AM6">
        <f>SUMPRODUCT((all_lmics[[worldbank_region]:[worldbank_region]]=$A6)*(LEN(all_lmics[c_C])&gt;0)*(all_lmics[c_C])*(all_lmics[[2017_births]:[2017_births]]))/SUMPRODUCT((all_lmics[[worldbank_region]:[worldbank_region]]=$A6)*(LEN(all_lmics[c_C])&gt;0)*(all_lmics[[2017_births]:[2017_births]]))</f>
        <v>57.361808000000003</v>
      </c>
      <c r="AN6">
        <f>SUMPRODUCT((all_lmics[[worldbank_region]:[worldbank_region]]=$A6)*(LEN(all_lmics[c_CC])&gt;0)*(all_lmics[c_CC])*(all_lmics[[2017_births]:[2017_births]]))/SUMPRODUCT((all_lmics[[worldbank_region]:[worldbank_region]]=$A6)*(LEN(all_lmics[c_CC])&gt;0)*(all_lmics[[2017_births]:[2017_births]]))</f>
        <v>105.09066799999999</v>
      </c>
      <c r="AO6">
        <f>SUMPRODUCT((all_lmics[[worldbank_region]:[worldbank_region]]=$A6)*(LEN(all_lmics[c_DC])&gt;0)*(all_lmics[c_DC])*(all_lmics[[2017_births]:[2017_births]]))/SUMPRODUCT((all_lmics[[worldbank_region]:[worldbank_region]]=$A6)*(LEN(all_lmics[c_DC])&gt;0)*(all_lmics[[2017_births]:[2017_births]]))</f>
        <v>105.09066799999999</v>
      </c>
      <c r="AP6">
        <f>SUMPRODUCT((all_lmics[[worldbank_region]:[worldbank_region]]=$A6)*(LEN(all_lmics[c_HCC])&gt;0)*(all_lmics[c_HCC])*(all_lmics[[2017_births]:[2017_births]]))/SUMPRODUCT((all_lmics[[worldbank_region]:[worldbank_region]]=$A6)*(LEN(all_lmics[c_HCC])&gt;0)*(all_lmics[[2017_births]:[2017_births]]))</f>
        <v>105.09066799999999</v>
      </c>
      <c r="AQ6">
        <f>SUMPRODUCT((all_lmics[[worldbank_region]:[worldbank_region]]=$A6)*(LEN(all_lmics[fac_cc])&gt;0)*(all_lmics[fac_cc])*(all_lmics[[2017_births]:[2017_births]]))/SUMPRODUCT((all_lmics[[worldbank_region]:[worldbank_region]]=$A6)*(LEN(all_lmics[fac_cc])&gt;0)*(all_lmics[[2017_births]:[2017_births]]))</f>
        <v>0.95889500000000016</v>
      </c>
      <c r="AR6">
        <f>SUMPRODUCT((all_lmics[[worldbank_region]:[worldbank_region]]=$A6)*(LEN(all_lmics[fac_ctc])&gt;0)*(all_lmics[fac_ctc])*(all_lmics[[2017_births]:[2017_births]]))/SUMPRODUCT((all_lmics[[worldbank_region]:[worldbank_region]]=$A6)*(LEN(all_lmics[fac_ctc])&gt;0)*(all_lmics[[2017_births]:[2017_births]]))</f>
        <v>1.576395</v>
      </c>
      <c r="AS6">
        <f>SUMPRODUCT((all_lmics[[worldbank_region]:[worldbank_region]]=$A6)*(LEN(all_lmics[com_cc])&gt;0)*(all_lmics[com_cc])*(all_lmics[[2017_births]:[2017_births]]))/SUMPRODUCT((all_lmics[[worldbank_region]:[worldbank_region]]=$A6)*(LEN(all_lmics[com_cc])&gt;0)*(all_lmics[[2017_births]:[2017_births]]))</f>
        <v>33.028765999999997</v>
      </c>
      <c r="AT6">
        <f>SUMPRODUCT((all_lmics[[worldbank_region]:[worldbank_region]]=$A6)*(LEN(all_lmics[com_ctc])&gt;0)*(all_lmics[com_ctc])*(all_lmics[[2017_births]:[2017_births]]))/SUMPRODUCT((all_lmics[[worldbank_region]:[worldbank_region]]=$A6)*(LEN(all_lmics[com_ctc])&gt;0)*(all_lmics[[2017_births]:[2017_births]]))</f>
        <v>33.646265999999997</v>
      </c>
      <c r="AU6">
        <f>SUMPRODUCT((all_lmics[[worldbank_region]:[worldbank_region]]=$A6)*(LEN(all_lmics[com_cpad])&gt;0)*(all_lmics[com_cpad])*(all_lmics[[2017_births]:[2017_births]]))/SUMPRODUCT((all_lmics[[worldbank_region]:[worldbank_region]]=$A6)*(LEN(all_lmics[com_cpad])&gt;0)*(all_lmics[[2017_births]:[2017_births]]))</f>
        <v>34.216518000000001</v>
      </c>
      <c r="AV6">
        <f>SUMPRODUCT((all_lmics[[worldbank_region]:[worldbank_region]]=$A6)*(LEN(all_lmics[SBA_nfac])&gt;1)*(all_lmics[SBA_nfac])*(all_lmics[[2017_births]:[2017_births]]))/SUMPRODUCT((all_lmics[[worldbank_region]:[worldbank_region]]=$A6)*(LEN(all_lmics[SBA_nfac])&gt;1)*(all_lmics[[2017_births]:[2017_births]]))</f>
        <v>0.12867521426317013</v>
      </c>
      <c r="AW6">
        <f>VLOOKUP($A6, hbe[],2,FALSE)</f>
        <v>0.3</v>
      </c>
      <c r="AX6">
        <f>VLOOKUP($A6, hbe[], 5, FALSE)</f>
        <v>0.875</v>
      </c>
      <c r="AY6">
        <f>VLOOKUP($A6, hbe[], 8, FALSE)</f>
        <v>0.15</v>
      </c>
    </row>
    <row r="7" spans="1:51" x14ac:dyDescent="0.35">
      <c r="A7" t="s">
        <v>15</v>
      </c>
      <c r="D7">
        <f>SUMPRODUCT((all_lmics[[worldbank_region]:[worldbank_region]]=Table20[[#This Row],[Setting]])*(all_lmics[[2017_population]:[2017_population]]))</f>
        <v>1047317753</v>
      </c>
      <c r="F7" s="41">
        <f>SUMPRODUCT((all_lmics[[worldbank_region]:[worldbank_region]]=Table20[[#This Row],[Setting]])*(all_lmics[[2017_births]:[2017_births]]))</f>
        <v>37535857.140928008</v>
      </c>
      <c r="G7">
        <f>SUMPRODUCT((all_lmics[worldbank_region]=$A7)*(LEN(all_lmics[birth_dose])&gt;0)*(all_lmics[birth_dose])*(all_lmics[2017_births]))/SUMPRODUCT((all_lmics[worldbank_region]=$A7)*(LEN(all_lmics[birth_dose])&gt;0)*(all_lmics[2017_births]))</f>
        <v>9.9658232139944583E-2</v>
      </c>
      <c r="H7">
        <f>SUMPRODUCT((all_lmics[worldbank_region]=$A7)*(LEN(all_lmics[HBV3])&gt;0)*(all_lmics[HBV3])*(all_lmics[2017_births]))/SUMPRODUCT((all_lmics[worldbank_region]=$A7)*(LEN(all_lmics[HBV3])&gt;0)*(all_lmics[2017_births]))</f>
        <v>0.72056677711516337</v>
      </c>
      <c r="I7">
        <f>SUMPRODUCT((all_lmics[[worldbank_region]:[worldbank_region]]=$A7)*(LEN(all_lmics[prev])&gt;1)*(all_lmics[prev])*(all_lmics[[2017_population]:[2017_population]]))/SUMPRODUCT((all_lmics[[worldbank_region]:[worldbank_region]]=$A7)*(LEN(all_lmics[prev])&gt;1)*(all_lmics[[2017_population]:[2017_population]]))</f>
        <v>7.7526856610941636E-2</v>
      </c>
      <c r="J7">
        <f>SUMPRODUCT((all_lmics[[worldbank_region]:[worldbank_region]]=$A7)*(LEN(all_lmics[prev_lb])&gt;1)*(all_lmics[prev_lb])*(all_lmics[[2017_population]:[2017_population]]))/SUMPRODUCT((all_lmics[[worldbank_region]:[worldbank_region]]=$A7)*(LEN(all_lmics[prev_lb])&gt;1)*(all_lmics[[2017_population]:[2017_population]]))</f>
        <v>6.7595842196222014E-2</v>
      </c>
      <c r="K7">
        <f>SUMPRODUCT((all_lmics[[worldbank_region]:[worldbank_region]]=$A7)*(LEN(all_lmics[prev_ub])&gt;1)*(all_lmics[prev_ub])*(all_lmics[[2017_population]:[2017_population]]))/SUMPRODUCT((all_lmics[[worldbank_region]:[worldbank_region]]=$A7)*(LEN(all_lmics[prev_ub])&gt;1)*(all_lmics[[2017_population]:[2017_population]]))</f>
        <v>8.7275545121572137E-2</v>
      </c>
      <c r="L7">
        <f>SUMPRODUCT((all_lmics[[worldbank_region]:[worldbank_region]]=$A7)*(LEN(all_lmics[sigma])&gt;1)*(all_lmics[sigma])*(all_lmics[[2017_population]:[2017_population]]))/SUMPRODUCT((all_lmics[[worldbank_region]:[worldbank_region]]=$A7)*(LEN(all_lmics[sigma])&gt;1)*(all_lmics[[2017_population]:[2017_population]]))</f>
        <v>4.9738206686890376E-3</v>
      </c>
      <c r="N7">
        <f>SUMPRODUCT((all_lmics[[worldbank_region]:[worldbank_region]]=$A7)*(LEN(all_lmics[SBA])&gt;0)*(all_lmics[SBA])*(all_lmics[[2017_births]:[2017_births]]))/SUMPRODUCT((all_lmics[[worldbank_region]:[worldbank_region]]=$A7)*(LEN(all_lmics[SBA])&gt;0)*(all_lmics[[2017_births]:[2017_births]]))</f>
        <v>0.58625008254855371</v>
      </c>
      <c r="O7">
        <f>SUMPRODUCT((all_lmics[[worldbank_region]:[worldbank_region]]=$A7)*(LEN(all_lmics[Facility])&gt;0)*(all_lmics[Facility])*(all_lmics[[2017_births]:[2017_births]]))/SUMPRODUCT((all_lmics[[worldbank_region]:[worldbank_region]]=$A7)*(LEN(all_lmics[Facility])&gt;0)*(all_lmics[[2017_births]:[2017_births]]))</f>
        <v>0.58212776833956914</v>
      </c>
      <c r="P7">
        <f>SUMPRODUCT((all_lmics[[worldbank_region]:[worldbank_region]]=$A7)*(LEN(all_lmics[mu_01])&gt;0)*(all_lmics[mu_01])*(all_lmics[[2017_births]:[2017_births]]))/SUMPRODUCT((all_lmics[[worldbank_region]:[worldbank_region]]=$A7)*(LEN(all_lmics[mu_01])&gt;0)*(all_lmics[[2017_births]:[2017_births]]))</f>
        <v>5.2603586885346366E-2</v>
      </c>
      <c r="Q7">
        <f>SUMPRODUCT((all_lmics[[worldbank_region]:[worldbank_region]]=$A7)*(LEN(all_lmics[mu_14])&gt;0)*(all_lmics[mu_14])*(all_lmics[[2017_births]:[2017_births]]))/SUMPRODUCT((all_lmics[[worldbank_region]:[worldbank_region]]=$A7)*(LEN(all_lmics[mu_14])&gt;0)*(all_lmics[[2017_births]:[2017_births]]))</f>
        <v>6.808578354781619E-3</v>
      </c>
      <c r="R7">
        <f>SUMPRODUCT((all_lmics[[worldbank_region]:[worldbank_region]]=$A7)*(LEN(all_lmics[mu_59])&gt;0)*(all_lmics[mu_59])*(all_lmics[[2017_births]:[2017_births]]))/SUMPRODUCT((all_lmics[[worldbank_region]:[worldbank_region]]=$A7)*(LEN(all_lmics[mu_59])&gt;0)*(all_lmics[[2017_births]:[2017_births]]))</f>
        <v>2.8871799032249307E-3</v>
      </c>
      <c r="S7">
        <f>SUMPRODUCT((all_lmics[[worldbank_region]:[worldbank_region]]=$A7)*(LEN(all_lmics[mu_1014])&gt;0)*(all_lmics[mu_1014])*(all_lmics[[2017_births]:[2017_births]]))/SUMPRODUCT((all_lmics[[worldbank_region]:[worldbank_region]]=$A7)*(LEN(all_lmics[mu_1014])&gt;0)*(all_lmics[[2017_births]:[2017_births]]))</f>
        <v>1.7906824773141676E-3</v>
      </c>
      <c r="T7">
        <f>SUMPRODUCT((all_lmics[[worldbank_region]:[worldbank_region]]=$A7)*(LEN(all_lmics[mu_1519])&gt;0)*(all_lmics[mu_1519])*(all_lmics[[2017_births]:[2017_births]]))/SUMPRODUCT((all_lmics[[worldbank_region]:[worldbank_region]]=$A7)*(LEN(all_lmics[mu_1519])&gt;0)*(all_lmics[[2017_births]:[2017_births]]))</f>
        <v>2.6919353243660313E-3</v>
      </c>
      <c r="U7">
        <f>SUMPRODUCT((all_lmics[[worldbank_region]:[worldbank_region]]=$A7)*(LEN(all_lmics[mu_2024])&gt;0)*(all_lmics[mu_2024])*(all_lmics[[2017_births]:[2017_births]]))/SUMPRODUCT((all_lmics[[worldbank_region]:[worldbank_region]]=$A7)*(LEN(all_lmics[mu_2024])&gt;0)*(all_lmics[[2017_births]:[2017_births]]))</f>
        <v>3.6003075220354332E-3</v>
      </c>
      <c r="V7">
        <f>SUMPRODUCT((all_lmics[[worldbank_region]:[worldbank_region]]=$A7)*(LEN(all_lmics[mu_2529])&gt;0)*(all_lmics[mu_2529])*(all_lmics[[2017_births]:[2017_births]]))/SUMPRODUCT((all_lmics[[worldbank_region]:[worldbank_region]]=$A7)*(LEN(all_lmics[mu_2529])&gt;0)*(all_lmics[[2017_births]:[2017_births]]))</f>
        <v>4.2644995109654762E-3</v>
      </c>
      <c r="W7">
        <f>SUMPRODUCT((all_lmics[[worldbank_region]:[worldbank_region]]=$A7)*(LEN(all_lmics[mu_3034])&gt;0)*(all_lmics[mu_3034])*(all_lmics[[2017_births]:[2017_births]]))/SUMPRODUCT((all_lmics[[worldbank_region]:[worldbank_region]]=$A7)*(LEN(all_lmics[mu_3034])&gt;0)*(all_lmics[[2017_births]:[2017_births]]))</f>
        <v>4.968720494928228E-3</v>
      </c>
      <c r="X7">
        <f>SUMPRODUCT((all_lmics[[worldbank_region]:[worldbank_region]]=$A7)*(LEN(all_lmics[mu_3539])&gt;0)*(all_lmics[mu_3539])*(all_lmics[[2017_births]:[2017_births]]))/SUMPRODUCT((all_lmics[[worldbank_region]:[worldbank_region]]=$A7)*(LEN(all_lmics[mu_3539])&gt;0)*(all_lmics[[2017_births]:[2017_births]]))</f>
        <v>6.0563301372762429E-3</v>
      </c>
      <c r="Y7">
        <f>SUMPRODUCT((all_lmics[[worldbank_region]:[worldbank_region]]=$A7)*(LEN(all_lmics[mu_4044])&gt;0)*(all_lmics[mu_4044])*(all_lmics[[2017_births]:[2017_births]]))/SUMPRODUCT((all_lmics[[worldbank_region]:[worldbank_region]]=$A7)*(LEN(all_lmics[mu_4044])&gt;0)*(all_lmics[[2017_births]:[2017_births]]))</f>
        <v>7.2665348956688436E-3</v>
      </c>
      <c r="Z7">
        <f>SUMPRODUCT((all_lmics[[worldbank_region]:[worldbank_region]]=$A7)*(LEN(all_lmics[mu_4549])&gt;0)*(all_lmics[mu_4549])*(all_lmics[[2017_births]:[2017_births]]))/SUMPRODUCT((all_lmics[[worldbank_region]:[worldbank_region]]=$A7)*(LEN(all_lmics[mu_4549])&gt;0)*(all_lmics[[2017_births]:[2017_births]]))</f>
        <v>8.7628317319640905E-3</v>
      </c>
      <c r="AA7">
        <f>SUMPRODUCT((all_lmics[[worldbank_region]:[worldbank_region]]=$A7)*(LEN(all_lmics[mu_5054])&gt;0)*(all_lmics[mu_5054])*(all_lmics[[2017_births]:[2017_births]]))/SUMPRODUCT((all_lmics[[worldbank_region]:[worldbank_region]]=$A7)*(LEN(all_lmics[mu_5054])&gt;0)*(all_lmics[[2017_births]:[2017_births]]))</f>
        <v>1.168489338039445E-2</v>
      </c>
      <c r="AB7">
        <f>SUMPRODUCT((all_lmics[[worldbank_region]:[worldbank_region]]=$A7)*(LEN(all_lmics[mu_5559])&gt;0)*(all_lmics[mu_5559])*(all_lmics[[2017_births]:[2017_births]]))/SUMPRODUCT((all_lmics[[worldbank_region]:[worldbank_region]]=$A7)*(LEN(all_lmics[mu_5559])&gt;0)*(all_lmics[[2017_births]:[2017_births]]))</f>
        <v>1.5694503314704223E-2</v>
      </c>
      <c r="AC7">
        <f>SUMPRODUCT((all_lmics[[worldbank_region]:[worldbank_region]]=$A7)*(LEN(all_lmics[mu_6064])&gt;0)*(all_lmics[mu_6064])*(all_lmics[[2017_births]:[2017_births]]))/SUMPRODUCT((all_lmics[[worldbank_region]:[worldbank_region]]=$A7)*(LEN(all_lmics[mu_6064])&gt;0)*(all_lmics[[2017_births]:[2017_births]]))</f>
        <v>2.3607182391376109E-2</v>
      </c>
      <c r="AD7">
        <f>SUMPRODUCT((all_lmics[[worldbank_region]:[worldbank_region]]=$A7)*(LEN(all_lmics[mu_6569])&gt;0)*(all_lmics[mu_6569])*(all_lmics[[2017_births]:[2017_births]]))/SUMPRODUCT((all_lmics[[worldbank_region]:[worldbank_region]]=$A7)*(LEN(all_lmics[mu_6569])&gt;0)*(all_lmics[[2017_births]:[2017_births]]))</f>
        <v>3.6468373300537975E-2</v>
      </c>
      <c r="AE7">
        <f>SUMPRODUCT((all_lmics[[worldbank_region]:[worldbank_region]]=$A7)*(LEN(all_lmics[mu_7074])&gt;0)*(all_lmics[mu_7074])*(all_lmics[[2017_births]:[2017_births]]))/SUMPRODUCT((all_lmics[[worldbank_region]:[worldbank_region]]=$A7)*(LEN(all_lmics[mu_7074])&gt;0)*(all_lmics[[2017_births]:[2017_births]]))</f>
        <v>5.8931278009348942E-2</v>
      </c>
      <c r="AF7">
        <f>SUMPRODUCT((all_lmics[[worldbank_region]:[worldbank_region]]=$A7)*(LEN(all_lmics[mu_7579])&gt;0)*(all_lmics[mu_7579])*(all_lmics[[2017_births]:[2017_births]]))/SUMPRODUCT((all_lmics[[worldbank_region]:[worldbank_region]]=$A7)*(LEN(all_lmics[mu_7579])&gt;0)*(all_lmics[[2017_births]:[2017_births]]))</f>
        <v>9.5744661047915861E-2</v>
      </c>
      <c r="AG7">
        <f>SUMPRODUCT((all_lmics[[worldbank_region]:[worldbank_region]]=$A7)*(LEN(all_lmics[mu_8084])&gt;0)*(all_lmics[mu_8084])*(all_lmics[[2017_births]:[2017_births]]))/SUMPRODUCT((all_lmics[[worldbank_region]:[worldbank_region]]=$A7)*(LEN(all_lmics[mu_8084])&gt;0)*(all_lmics[[2017_births]:[2017_births]]))</f>
        <v>0.15653947862946416</v>
      </c>
      <c r="AH7">
        <f>SUMPRODUCT((all_lmics[[worldbank_region]:[worldbank_region]]=$A7)*(LEN(all_lmics[mu_8589])&gt;0)*(all_lmics[mu_8589])*(all_lmics[[2017_births]:[2017_births]]))/SUMPRODUCT((all_lmics[[worldbank_region]:[worldbank_region]]=$A7)*(LEN(all_lmics[mu_8589])&gt;0)*(all_lmics[[2017_births]:[2017_births]]))</f>
        <v>0.24771326217403597</v>
      </c>
      <c r="AI7">
        <f>SUMPRODUCT((all_lmics[[worldbank_region]:[worldbank_region]]=$A7)*(LEN(all_lmics[mu_9094])&gt;0)*(all_lmics[mu_9094])*(all_lmics[[2017_births]:[2017_births]]))/SUMPRODUCT((all_lmics[[worldbank_region]:[worldbank_region]]=$A7)*(LEN(all_lmics[mu_9094])&gt;0)*(all_lmics[[2017_births]:[2017_births]]))</f>
        <v>0.37623246087383816</v>
      </c>
      <c r="AJ7">
        <f>SUMPRODUCT((all_lmics[[worldbank_region]:[worldbank_region]]=$A7)*(LEN(all_lmics[mu_9599])&gt;0)*(all_lmics[mu_9599])*(all_lmics[[2017_births]:[2017_births]]))/SUMPRODUCT((all_lmics[[worldbank_region]:[worldbank_region]]=$A7)*(LEN(all_lmics[mu_9599])&gt;0)*(all_lmics[[2017_births]:[2017_births]]))</f>
        <v>0.50918550016988573</v>
      </c>
      <c r="AK7">
        <f>SUMPRODUCT((all_lmics[[worldbank_region]:[worldbank_region]]=$A7)*(LEN(all_lmics[mu_100])&gt;0)*(all_lmics[mu_100])*(all_lmics[[2017_births]:[2017_births]]))/SUMPRODUCT((all_lmics[[worldbank_region]:[worldbank_region]]=$A7)*(LEN(all_lmics[mu_100])&gt;0)*(all_lmics[[2017_births]:[2017_births]]))</f>
        <v>0.68292440406175114</v>
      </c>
      <c r="AL7">
        <f>SUMPRODUCT((all_lmics[[worldbank_region]:[worldbank_region]]=$A7)*(LEN(all_lmics[c_A])&gt;0)*(all_lmics[c_A])*(all_lmics[[2017_births]:[2017_births]]))/SUMPRODUCT((all_lmics[[worldbank_region]:[worldbank_region]]=$A7)*(LEN(all_lmics[c_A])&gt;0)*(all_lmics[[2017_births]:[2017_births]]))</f>
        <v>29.91226499999998</v>
      </c>
      <c r="AM7">
        <f>SUMPRODUCT((all_lmics[[worldbank_region]:[worldbank_region]]=$A7)*(LEN(all_lmics[c_C])&gt;0)*(all_lmics[c_C])*(all_lmics[[2017_births]:[2017_births]]))/SUMPRODUCT((all_lmics[[worldbank_region]:[worldbank_region]]=$A7)*(LEN(all_lmics[c_C])&gt;0)*(all_lmics[[2017_births]:[2017_births]]))</f>
        <v>29.91226499999998</v>
      </c>
      <c r="AN7">
        <f>SUMPRODUCT((all_lmics[[worldbank_region]:[worldbank_region]]=$A7)*(LEN(all_lmics[c_CC])&gt;0)*(all_lmics[c_CC])*(all_lmics[[2017_births]:[2017_births]]))/SUMPRODUCT((all_lmics[[worldbank_region]:[worldbank_region]]=$A7)*(LEN(all_lmics[c_CC])&gt;0)*(all_lmics[[2017_births]:[2017_births]]))</f>
        <v>77.641124999999988</v>
      </c>
      <c r="AO7">
        <f>SUMPRODUCT((all_lmics[[worldbank_region]:[worldbank_region]]=$A7)*(LEN(all_lmics[c_DC])&gt;0)*(all_lmics[c_DC])*(all_lmics[[2017_births]:[2017_births]]))/SUMPRODUCT((all_lmics[[worldbank_region]:[worldbank_region]]=$A7)*(LEN(all_lmics[c_DC])&gt;0)*(all_lmics[[2017_births]:[2017_births]]))</f>
        <v>77.641124999999988</v>
      </c>
      <c r="AP7">
        <f>SUMPRODUCT((all_lmics[[worldbank_region]:[worldbank_region]]=$A7)*(LEN(all_lmics[c_HCC])&gt;0)*(all_lmics[c_HCC])*(all_lmics[[2017_births]:[2017_births]]))/SUMPRODUCT((all_lmics[[worldbank_region]:[worldbank_region]]=$A7)*(LEN(all_lmics[c_HCC])&gt;0)*(all_lmics[[2017_births]:[2017_births]]))</f>
        <v>77.641124999999988</v>
      </c>
      <c r="AQ7">
        <f>SUMPRODUCT((all_lmics[[worldbank_region]:[worldbank_region]]=$A7)*(LEN(all_lmics[fac_cc])&gt;0)*(all_lmics[fac_cc])*(all_lmics[[2017_births]:[2017_births]]))/SUMPRODUCT((all_lmics[[worldbank_region]:[worldbank_region]]=$A7)*(LEN(all_lmics[fac_cc])&gt;0)*(all_lmics[[2017_births]:[2017_births]]))</f>
        <v>0.96979199999999965</v>
      </c>
      <c r="AR7">
        <f>SUMPRODUCT((all_lmics[[worldbank_region]:[worldbank_region]]=$A7)*(LEN(all_lmics[fac_ctc])&gt;0)*(all_lmics[fac_ctc])*(all_lmics[[2017_births]:[2017_births]]))/SUMPRODUCT((all_lmics[[worldbank_region]:[worldbank_region]]=$A7)*(LEN(all_lmics[fac_ctc])&gt;0)*(all_lmics[[2017_births]:[2017_births]]))</f>
        <v>1.5872919999999995</v>
      </c>
      <c r="AS7">
        <f>SUMPRODUCT((all_lmics[[worldbank_region]:[worldbank_region]]=$A7)*(LEN(all_lmics[com_cc])&gt;0)*(all_lmics[com_cc])*(all_lmics[[2017_births]:[2017_births]]))/SUMPRODUCT((all_lmics[[worldbank_region]:[worldbank_region]]=$A7)*(LEN(all_lmics[com_cc])&gt;0)*(all_lmics[[2017_births]:[2017_births]]))</f>
        <v>5.7971629999999985</v>
      </c>
      <c r="AT7">
        <f>SUMPRODUCT((all_lmics[[worldbank_region]:[worldbank_region]]=$A7)*(LEN(all_lmics[com_ctc])&gt;0)*(all_lmics[com_ctc])*(all_lmics[[2017_births]:[2017_births]]))/SUMPRODUCT((all_lmics[[worldbank_region]:[worldbank_region]]=$A7)*(LEN(all_lmics[com_ctc])&gt;0)*(all_lmics[[2017_births]:[2017_births]]))</f>
        <v>6.4146629999999982</v>
      </c>
      <c r="AU7">
        <f>SUMPRODUCT((all_lmics[[worldbank_region]:[worldbank_region]]=$A7)*(LEN(all_lmics[com_cpad])&gt;0)*(all_lmics[com_cpad])*(all_lmics[[2017_births]:[2017_births]]))/SUMPRODUCT((all_lmics[[worldbank_region]:[worldbank_region]]=$A7)*(LEN(all_lmics[com_cpad])&gt;0)*(all_lmics[[2017_births]:[2017_births]]))</f>
        <v>6.9849149999999973</v>
      </c>
      <c r="AV7">
        <f>SUMPRODUCT((all_lmics[[worldbank_region]:[worldbank_region]]=$A7)*(LEN(all_lmics[SBA_nfac])&gt;1)*(all_lmics[SBA_nfac])*(all_lmics[[2017_births]:[2017_births]]))/SUMPRODUCT((all_lmics[[worldbank_region]:[worldbank_region]]=$A7)*(LEN(all_lmics[SBA_nfac])&gt;1)*(all_lmics[[2017_births]:[2017_births]]))</f>
        <v>5.9798032726157246E-2</v>
      </c>
      <c r="AW7">
        <f>VLOOKUP($A7, hbe[],2,FALSE)</f>
        <v>0.3</v>
      </c>
      <c r="AX7">
        <f>VLOOKUP($A7, hbe[], 5, FALSE)</f>
        <v>0.875</v>
      </c>
      <c r="AY7">
        <f>VLOOKUP($A7, hbe[], 8, FALSE)</f>
        <v>0.15</v>
      </c>
    </row>
    <row r="8" spans="1:51" x14ac:dyDescent="0.35">
      <c r="A8" t="s">
        <v>493</v>
      </c>
      <c r="D8">
        <f>SUM(D2:D7)</f>
        <v>6493976405</v>
      </c>
      <c r="F8" s="41">
        <f>SUM(F2:F7)</f>
        <v>131575101.23101401</v>
      </c>
      <c r="G8">
        <f>SUMPRODUCT((LEN(all_lmics[birth_dose])&gt;0)*(all_lmics[birth_dose])*(all_lmics[2017_births]))/SUMPRODUCT((LEN(all_lmics[birth_dose])&gt;0)*(all_lmics[2017_births]))</f>
        <v>0.4417727314015229</v>
      </c>
      <c r="H8">
        <f>SUMPRODUCT((LEN(all_lmics[HBV3])&gt;0)*(all_lmics[HBV3])*(all_lmics[2017_births]))/SUMPRODUCT((LEN(all_lmics[HBV3])&gt;0)*(all_lmics[2017_births]))</f>
        <v>0.84249984468597239</v>
      </c>
      <c r="I8">
        <f>SUMPRODUCT((LEN(all_lmics[prev])&gt;1)*(all_lmics[prev])*(all_lmics[[2017_population]:[2017_population]]))/SUMPRODUCT(((LEN(all_lmics[prev])&gt;1)*(all_lmics[[2017_population]:[2017_population]])))</f>
        <v>4.4456665816163476E-2</v>
      </c>
      <c r="J8">
        <f>SUMPRODUCT((LEN(all_lmics[prev_lb])&gt;1)*(all_lmics[prev_lb])*(all_lmics[[2017_population]:[2017_population]]))/SUMPRODUCT((LEN(all_lmics[prev_lb])&gt;1)*(all_lmics[[2017_population]:[2017_population]]))</f>
        <v>3.8260166662956445E-2</v>
      </c>
      <c r="K8">
        <f>SUMPRODUCT((LEN(all_lmics[prev_ub])&gt;1)*(all_lmics[prev_ub])*(all_lmics[[2017_population]:[2017_population]]))/SUMPRODUCT((LEN(all_lmics[prev_ub])&gt;1)*(all_lmics[[2017_population]:[2017_population]]))</f>
        <v>5.1622846411637627E-2</v>
      </c>
      <c r="L8">
        <f>SUMPRODUCT((LEN(all_lmics[sigma])&gt;1)*(all_lmics[sigma])*(all_lmics[[2017_population]:[2017_population]]))/SUMPRODUCT((LEN(all_lmics[sigma])&gt;1)*(all_lmics[[2017_population]:[2017_population]]))</f>
        <v>3.6562535926171502E-3</v>
      </c>
      <c r="N8">
        <f>SUMPRODUCT((LEN(all_lmics[SBA])&gt;0)*(all_lmics[SBA])*(all_lmics[[2017_births]:[2017_births]]))/SUMPRODUCT((LEN(all_lmics[SBA])&gt;0)*(all_lmics[[2017_births]:[2017_births]]))</f>
        <v>0.78002680632341015</v>
      </c>
      <c r="O8">
        <f>SUMPRODUCT((LEN(all_lmics[Facility])&gt;0)*(all_lmics[Facility])*(all_lmics[[2017_births]:[2017_births]]))/SUMPRODUCT((LEN(all_lmics[Facility])&gt;0)*(all_lmics[[2017_births]:[2017_births]]))</f>
        <v>0.74059302814721883</v>
      </c>
      <c r="P8">
        <f>SUMPRODUCT((LEN(all_lmics[mu_01])&gt;0)*(all_lmics[mu_01])*(all_lmics[[2017_births]:[2017_births]]))/SUMPRODUCT((LEN(all_lmics[mu_01])&gt;0)*(all_lmics[[2017_births]:[2017_births]]))</f>
        <v>3.2476569799582557E-2</v>
      </c>
      <c r="Q8">
        <f>SUMPRODUCT((LEN(all_lmics[mu_14])&gt;0)*(all_lmics[mu_14])*(all_lmics[[2017_births]:[2017_births]]))/SUMPRODUCT((LEN(all_lmics[mu_14])&gt;0)*(all_lmics[[2017_births]:[2017_births]]))</f>
        <v>3.0468903697467411E-3</v>
      </c>
      <c r="R8">
        <f>SUMPRODUCT((LEN(all_lmics[mu_59])&gt;0)*(all_lmics[mu_59])*(all_lmics[[2017_births]:[2017_births]]))/SUMPRODUCT((LEN(all_lmics[mu_59])&gt;0)*(all_lmics[[2017_births]:[2017_births]]))</f>
        <v>1.2572108605444746E-3</v>
      </c>
      <c r="S8">
        <f>SUMPRODUCT((LEN(all_lmics[mu_1014])&gt;0)*(all_lmics[mu_1014])*(all_lmics[[2017_births]:[2017_births]]))/SUMPRODUCT((LEN(all_lmics[mu_1014])&gt;0)*(all_lmics[[2017_births]:[2017_births]]))</f>
        <v>8.7054510414332886E-4</v>
      </c>
      <c r="T8">
        <f>SUMPRODUCT((LEN(all_lmics[mu_1519])&gt;0)*(all_lmics[mu_1519])*(all_lmics[[2017_births]:[2017_births]]))/SUMPRODUCT((LEN(all_lmics[mu_1519])&gt;0)*(all_lmics[[2017_births]:[2017_births]]))</f>
        <v>1.3691348406361468E-3</v>
      </c>
      <c r="U8">
        <f>SUMPRODUCT((LEN(all_lmics[mu_2024])&gt;0)*(all_lmics[mu_2024])*(all_lmics[[2017_births]:[2017_births]]))/SUMPRODUCT((LEN(all_lmics[mu_2024])&gt;0)*(all_lmics[[2017_births]:[2017_births]]))</f>
        <v>1.8762752599422148E-3</v>
      </c>
      <c r="V8">
        <f>SUMPRODUCT((LEN(all_lmics[mu_2529])&gt;0)*(all_lmics[mu_2529])*(all_lmics[[2017_births]:[2017_births]]))/SUMPRODUCT((LEN(all_lmics[mu_2529])&gt;0)*(all_lmics[[2017_births]:[2017_births]]))</f>
        <v>2.1910865583678217E-3</v>
      </c>
      <c r="W8">
        <f>SUMPRODUCT((LEN(all_lmics[mu_3034])&gt;0)*(all_lmics[mu_3034])*(all_lmics[[2017_births]:[2017_births]]))/SUMPRODUCT((LEN(all_lmics[mu_3034])&gt;0)*(all_lmics[[2017_births]:[2017_births]]))</f>
        <v>2.619401409478808E-3</v>
      </c>
      <c r="X8">
        <f>SUMPRODUCT((LEN(all_lmics[mu_3539])&gt;0)*(all_lmics[mu_3539])*(all_lmics[[2017_births]:[2017_births]]))/SUMPRODUCT((LEN(all_lmics[mu_3539])&gt;0)*(all_lmics[[2017_births]:[2017_births]]))</f>
        <v>3.3084299980349809E-3</v>
      </c>
      <c r="Y8">
        <f>SUMPRODUCT((LEN(all_lmics[mu_4044])&gt;0)*(all_lmics[mu_4044])*(all_lmics[[2017_births]:[2017_births]]))/SUMPRODUCT((LEN(all_lmics[mu_4044])&gt;0)*(all_lmics[[2017_births]:[2017_births]]))</f>
        <v>4.2084670059391281E-3</v>
      </c>
      <c r="Z8">
        <f>SUMPRODUCT((LEN(all_lmics[mu_4549])&gt;0)*(all_lmics[mu_4549])*(all_lmics[[2017_births]:[2017_births]]))/SUMPRODUCT((LEN(all_lmics[mu_4549])&gt;0)*(all_lmics[[2017_births]:[2017_births]]))</f>
        <v>5.5925074946203412E-3</v>
      </c>
      <c r="AA8">
        <f>SUMPRODUCT((LEN(all_lmics[mu_5054])&gt;0)*(all_lmics[mu_5054])*(all_lmics[[2017_births]:[2017_births]]))/SUMPRODUCT((LEN(all_lmics[mu_5054])&gt;0)*(all_lmics[[2017_births]:[2017_births]]))</f>
        <v>8.1607417655411088E-3</v>
      </c>
      <c r="AB8">
        <f>SUMPRODUCT((LEN(all_lmics[mu_5559])&gt;0)*(all_lmics[mu_5559])*(all_lmics[[2017_births]:[2017_births]]))/SUMPRODUCT((LEN(all_lmics[mu_5559])&gt;0)*(all_lmics[[2017_births]:[2017_births]]))</f>
        <v>1.1812275656920024E-2</v>
      </c>
      <c r="AC8">
        <f>SUMPRODUCT((LEN(all_lmics[mu_6064])&gt;0)*(all_lmics[mu_6064])*(all_lmics[[2017_births]:[2017_births]]))/SUMPRODUCT((LEN(all_lmics[mu_6064])&gt;0)*(all_lmics[[2017_births]:[2017_births]]))</f>
        <v>1.8299675560476052E-2</v>
      </c>
      <c r="AD8">
        <f>SUMPRODUCT((LEN(all_lmics[mu_6569])&gt;0)*(all_lmics[mu_6569])*(all_lmics[[2017_births]:[2017_births]]))/SUMPRODUCT((LEN(all_lmics[mu_6569])&gt;0)*(all_lmics[[2017_births]:[2017_births]]))</f>
        <v>2.8604326137532134E-2</v>
      </c>
      <c r="AE8">
        <f>SUMPRODUCT((LEN(all_lmics[mu_7074])&gt;0)*(all_lmics[mu_7074])*(all_lmics[[2017_births]:[2017_births]]))/SUMPRODUCT((LEN(all_lmics[mu_7074])&gt;0)*(all_lmics[[2017_births]:[2017_births]]))</f>
        <v>4.655373320528116E-2</v>
      </c>
      <c r="AF8">
        <f>SUMPRODUCT((LEN(all_lmics[mu_7579])&gt;0)*(all_lmics[mu_7579])*(all_lmics[[2017_births]:[2017_births]]))/SUMPRODUCT((LEN(all_lmics[mu_7579])&gt;0)*(all_lmics[[2017_births]:[2017_births]]))</f>
        <v>7.4418129110578199E-2</v>
      </c>
      <c r="AG8">
        <f>SUMPRODUCT((LEN(all_lmics[mu_8084])&gt;0)*(all_lmics[mu_8084])*(all_lmics[[2017_births]:[2017_births]]))/SUMPRODUCT((LEN(all_lmics[mu_8084])&gt;0)*(all_lmics[[2017_births]:[2017_births]]))</f>
        <v>0.11913275813232244</v>
      </c>
      <c r="AH8">
        <f>SUMPRODUCT((LEN(all_lmics[mu_8589])&gt;0)*(all_lmics[mu_8589])*(all_lmics[[2017_births]:[2017_births]]))/SUMPRODUCT((LEN(all_lmics[mu_8589])&gt;0)*(all_lmics[[2017_births]:[2017_births]]))</f>
        <v>0.18610937497468086</v>
      </c>
      <c r="AI8">
        <f>SUMPRODUCT((LEN(all_lmics[mu_9094])&gt;0)*(all_lmics[mu_9094])*(all_lmics[[2017_births]:[2017_births]]))/SUMPRODUCT((LEN(all_lmics[mu_9094])&gt;0)*(all_lmics[[2017_births]:[2017_births]]))</f>
        <v>0.27733513437479851</v>
      </c>
      <c r="AJ8">
        <f>SUMPRODUCT((LEN(all_lmics[mu_9599])&gt;0)*(all_lmics[mu_9599])*(all_lmics[[2017_births]:[2017_births]]))/SUMPRODUCT((LEN(all_lmics[mu_9599])&gt;0)*(all_lmics[[2017_births]:[2017_births]]))</f>
        <v>0.36147843357191156</v>
      </c>
      <c r="AK8">
        <f>SUMPRODUCT((LEN(all_lmics[mu_100])&gt;0)*(all_lmics[mu_100])*(all_lmics[[2017_births]:[2017_births]]))/SUMPRODUCT((LEN(all_lmics[mu_100])&gt;0)*(all_lmics[[2017_births]:[2017_births]]))</f>
        <v>0.48547879850818071</v>
      </c>
      <c r="AL8">
        <f>SUMPRODUCT((LEN(all_lmics[c_A])&gt;0)*(all_lmics[c_A])*(all_lmics[[2017_births]:[2017_births]]))/SUMPRODUCT((LEN(all_lmics[c_A])&gt;0)*(all_lmics[[2017_births]:[2017_births]]))</f>
        <v>54.755795515489176</v>
      </c>
      <c r="AM8">
        <f>SUMPRODUCT((LEN(all_lmics[c_C])&gt;0)*(all_lmics[c_C])*(all_lmics[[2017_births]:[2017_births]]))/SUMPRODUCT((LEN(all_lmics[c_C])&gt;0)*(all_lmics[[2017_births]:[2017_births]]))</f>
        <v>54.755795515489176</v>
      </c>
      <c r="AN8">
        <f>SUMPRODUCT((LEN(all_lmics[c_CC])&gt;0)*(all_lmics[c_CC])*(all_lmics[[2017_births]:[2017_births]]))/SUMPRODUCT((LEN(all_lmics[c_CC])&gt;0)*(all_lmics[[2017_births]:[2017_births]]))</f>
        <v>102.48465551548917</v>
      </c>
      <c r="AO8">
        <f>SUMPRODUCT((LEN(all_lmics[c_DC])&gt;0)*(all_lmics[c_DC])*(all_lmics[[2017_births]:[2017_births]]))/SUMPRODUCT((LEN(all_lmics[c_DC])&gt;0)*(all_lmics[[2017_births]:[2017_births]]))</f>
        <v>102.48465551548917</v>
      </c>
      <c r="AP8">
        <f>SUMPRODUCT((LEN(all_lmics[c_HCC])&gt;0)*(all_lmics[c_HCC])*(all_lmics[[2017_births]:[2017_births]]))/SUMPRODUCT((LEN(all_lmics[c_HCC])&gt;0)*(all_lmics[[2017_births]:[2017_births]]))</f>
        <v>102.48465551548917</v>
      </c>
      <c r="AQ8">
        <f>SUMPRODUCT((LEN(all_lmics[fac_cc])&gt;0)*(all_lmics[fac_cc])*(all_lmics[[2017_births]:[2017_births]]))/SUMPRODUCT((LEN(all_lmics[fac_cc])&gt;0)*(all_lmics[[2017_births]:[2017_births]]))</f>
        <v>1.4404831516630587</v>
      </c>
      <c r="AR8">
        <f>SUMPRODUCT((LEN(all_lmics[fac_ctc])&gt;0)*(all_lmics[fac_ctc])*(all_lmics[[2017_births]:[2017_births]]))/SUMPRODUCT((LEN(all_lmics[fac_ctc])&gt;0)*(all_lmics[[2017_births]:[2017_births]]))</f>
        <v>2.0579831516630591</v>
      </c>
      <c r="AS8">
        <f>SUMPRODUCT((LEN(all_lmics[com_cc])&gt;0)*(all_lmics[com_cc])*(all_lmics[[2017_births]:[2017_births]]))/SUMPRODUCT((LEN(all_lmics[com_cc])&gt;0)*(all_lmics[[2017_births]:[2017_births]]))</f>
        <v>10.668840404108378</v>
      </c>
      <c r="AT8">
        <f>SUMPRODUCT((LEN(all_lmics[com_ctc])&gt;0)*(all_lmics[com_ctc])*(all_lmics[[2017_births]:[2017_births]]))/SUMPRODUCT((LEN(all_lmics[com_ctc])&gt;0)*(all_lmics[[2017_births]:[2017_births]]))</f>
        <v>11.286340404108376</v>
      </c>
      <c r="AU8">
        <f>SUMPRODUCT((LEN(all_lmics[com_cpad])&gt;0)*(all_lmics[com_cpad])*(all_lmics[[2017_births]:[2017_births]]))/SUMPRODUCT((LEN(all_lmics[com_cpad])&gt;0)*(all_lmics[[2017_births]:[2017_births]]))</f>
        <v>11.856592404108373</v>
      </c>
      <c r="AV8">
        <f>SUMPRODUCT((LEN(all_lmics[SBA_nfac])&gt;1)*(all_lmics[SBA_nfac])*(all_lmics[[2017_births]:[2017_births]]))/SUMPRODUCT((LEN(all_lmics[SBA_nfac])&gt;1)*(all_lmics[[2017_births]:[2017_births]]))</f>
        <v>0.14883120719787268</v>
      </c>
      <c r="AW8">
        <f>SUMPRODUCT(AW2:AW7,$F$2:$F$7)/SUM($F$2:$F$7)</f>
        <v>0.3</v>
      </c>
      <c r="AX8">
        <f t="shared" ref="AX8:AY8" si="0">SUMPRODUCT(AX2:AX7,$F$2:$F$7)/SUM($F$2:$F$7)</f>
        <v>0.875</v>
      </c>
      <c r="AY8">
        <f t="shared" si="0"/>
        <v>0.15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Y8"/>
  <sheetViews>
    <sheetView topLeftCell="AG1" workbookViewId="0">
      <selection sqref="A1:AY8"/>
    </sheetView>
  </sheetViews>
  <sheetFormatPr defaultRowHeight="14.5" x14ac:dyDescent="0.35"/>
  <cols>
    <col min="1" max="1" width="39.81640625" customWidth="1"/>
  </cols>
  <sheetData>
    <row r="1" spans="1:51" x14ac:dyDescent="0.35">
      <c r="A1" t="s">
        <v>441</v>
      </c>
      <c r="B1" t="s">
        <v>442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240</v>
      </c>
      <c r="J1" t="s">
        <v>450</v>
      </c>
      <c r="K1" t="s">
        <v>451</v>
      </c>
      <c r="L1" t="s">
        <v>244</v>
      </c>
      <c r="M1" t="s">
        <v>452</v>
      </c>
      <c r="N1" t="s">
        <v>453</v>
      </c>
      <c r="O1" t="s">
        <v>454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455</v>
      </c>
      <c r="AW1" t="s">
        <v>374</v>
      </c>
      <c r="AX1" t="s">
        <v>377</v>
      </c>
      <c r="AY1" t="s">
        <v>456</v>
      </c>
    </row>
    <row r="2" spans="1:51" x14ac:dyDescent="0.35">
      <c r="A2" s="14" t="s">
        <v>11</v>
      </c>
      <c r="D2">
        <f>SUMPRODUCT((all_lmics[[worldbank_region]:[worldbank_region]]=Table2024[[#This Row],[Setting]])*(all_lmics[[2017_population]:[2017_population]]))</f>
        <v>465351556</v>
      </c>
      <c r="F2" s="41">
        <f>SUMPRODUCT((all_lmics[[worldbank_region]:[worldbank_region]]=Table2024[[#This Row],[Setting]])*(all_lmics[[2017_births]:[2017_births]]))</f>
        <v>6695467.8521889988</v>
      </c>
      <c r="G2">
        <f>SUMPRODUCT((all_lmics[worldbank_region]=$A2)*(LEN(all_lmics[birth_dose])&gt;0)*(all_lmics[birth_dose])*(all_lmics[2017_births]))/SUMPRODUCT((all_lmics[worldbank_region]=$A2)*(LEN(all_lmics[birth_dose])&gt;0)*(all_lmics[2017_births]))*0.95</f>
        <v>0.60333765257224581</v>
      </c>
      <c r="H2">
        <f>SUMPRODUCT((all_lmics[worldbank_region]=$A2)*(LEN(all_lmics[HBV3])&gt;0)*(all_lmics[HBV3])*(all_lmics[2017_births]))/SUMPRODUCT((all_lmics[worldbank_region]=$A2)*(LEN(all_lmics[HBV3])&gt;0)*(all_lmics[2017_births]))*0.95</f>
        <v>0.87377837784940882</v>
      </c>
      <c r="I2">
        <f>SUMPRODUCT((all_lmics[[worldbank_region]:[worldbank_region]]=$A2)*(LEN(all_lmics[prev])&gt;1)*(all_lmics[prev])*(all_lmics[[2017_population]:[2017_population]]))/SUMPRODUCT((all_lmics[[worldbank_region]:[worldbank_region]]=$A2)*(LEN(all_lmics[prev])&gt;1)*(all_lmics[[2017_population]:[2017_population]]))</f>
        <v>2.6627910862122694E-2</v>
      </c>
      <c r="J2">
        <f>SUMPRODUCT((all_lmics[[worldbank_region]:[worldbank_region]]=$A2)*(LEN(all_lmics[prev_lb])&gt;1)*(all_lmics[prev_lb])*(all_lmics[[2017_population]:[2017_population]]))/SUMPRODUCT((all_lmics[[worldbank_region]:[worldbank_region]]=$A2)*(LEN(all_lmics[prev_lb])&gt;1)*(all_lmics[[2017_population]:[2017_population]]))</f>
        <v>1.7978947126464931E-2</v>
      </c>
      <c r="K2">
        <f>SUMPRODUCT((all_lmics[[worldbank_region]:[worldbank_region]]=$A2)*(LEN(all_lmics[prev_ub])&gt;1)*(all_lmics[prev_ub])*(all_lmics[[2017_population]:[2017_population]]))/SUMPRODUCT((all_lmics[[worldbank_region]:[worldbank_region]]=$A2)*(LEN(all_lmics[prev_ub])&gt;1)*(all_lmics[[2017_population]:[2017_population]]))</f>
        <v>3.4613649020426379E-2</v>
      </c>
      <c r="L2">
        <f>SUMPRODUCT((all_lmics[[worldbank_region]:[worldbank_region]]=$A2)*(LEN(all_lmics[sigma])&gt;1)*(all_lmics[sigma])*(all_lmics[[2017_population]:[2017_population]]))/SUMPRODUCT((all_lmics[[worldbank_region]:[worldbank_region]]=$A2)*(LEN(all_lmics[sigma])&gt;1)*(all_lmics[[2017_population]:[2017_population]]))</f>
        <v>4.0743562032161717E-3</v>
      </c>
      <c r="N2">
        <f>SUMPRODUCT((all_lmics[[worldbank_region]:[worldbank_region]]=$A2)*(LEN(all_lmics[SBA])&gt;0)*(all_lmics[SBA])*(all_lmics[[2017_births]:[2017_births]]))/SUMPRODUCT((all_lmics[[worldbank_region]:[worldbank_region]]=$A2)*(LEN(all_lmics[SBA])&gt;0)*(all_lmics[[2017_births]:[2017_births]]))*0.95</f>
        <v>0.93822930267719129</v>
      </c>
      <c r="O2">
        <f>SUMPRODUCT((all_lmics[[worldbank_region]:[worldbank_region]]=$A2)*(LEN(all_lmics[Facility])&gt;0)*(all_lmics[Facility])*(all_lmics[[2017_births]:[2017_births]]))/SUMPRODUCT((all_lmics[[worldbank_region]:[worldbank_region]]=$A2)*(LEN(all_lmics[Facility])&gt;0)*(all_lmics[[2017_births]:[2017_births]]))*0.95</f>
        <v>0.90073825058904555</v>
      </c>
      <c r="P2">
        <f>SUMPRODUCT((all_lmics[[worldbank_region]:[worldbank_region]]=$A2)*(LEN(all_lmics[mu_01])&gt;0)*(all_lmics[mu_01])*(all_lmics[[2017_births]:[2017_births]]))/SUMPRODUCT((all_lmics[[worldbank_region]:[worldbank_region]]=$A2)*(LEN(all_lmics[mu_01])&gt;0)*(all_lmics[[2017_births]:[2017_births]]))*0.95</f>
        <v>1.0104444865712164E-2</v>
      </c>
      <c r="Q2">
        <f>SUMPRODUCT((all_lmics[[worldbank_region]:[worldbank_region]]=$A2)*(LEN(all_lmics[mu_14])&gt;0)*(all_lmics[mu_14])*(all_lmics[[2017_births]:[2017_births]]))/SUMPRODUCT((all_lmics[[worldbank_region]:[worldbank_region]]=$A2)*(LEN(all_lmics[mu_14])&gt;0)*(all_lmics[[2017_births]:[2017_births]]))*0.95</f>
        <v>6.3554547639140446E-4</v>
      </c>
      <c r="R2">
        <f>SUMPRODUCT((all_lmics[[worldbank_region]:[worldbank_region]]=$A2)*(LEN(all_lmics[mu_59])&gt;0)*(all_lmics[mu_59])*(all_lmics[[2017_births]:[2017_births]]))/SUMPRODUCT((all_lmics[[worldbank_region]:[worldbank_region]]=$A2)*(LEN(all_lmics[mu_59])&gt;0)*(all_lmics[[2017_births]:[2017_births]]))*0.95</f>
        <v>2.8961254664428996E-4</v>
      </c>
      <c r="S2">
        <f>SUMPRODUCT((all_lmics[[worldbank_region]:[worldbank_region]]=$A2)*(LEN(all_lmics[mu_1014])&gt;0)*(all_lmics[mu_1014])*(all_lmics[[2017_births]:[2017_births]]))/SUMPRODUCT((all_lmics[[worldbank_region]:[worldbank_region]]=$A2)*(LEN(all_lmics[mu_1014])&gt;0)*(all_lmics[[2017_births]:[2017_births]]))*0.95</f>
        <v>2.9984883510667085E-4</v>
      </c>
      <c r="T2">
        <f>SUMPRODUCT((all_lmics[[worldbank_region]:[worldbank_region]]=$A2)*(LEN(all_lmics[mu_1519])&gt;0)*(all_lmics[mu_1519])*(all_lmics[[2017_births]:[2017_births]]))/SUMPRODUCT((all_lmics[[worldbank_region]:[worldbank_region]]=$A2)*(LEN(all_lmics[mu_1519])&gt;0)*(all_lmics[[2017_births]:[2017_births]]))*0.95</f>
        <v>5.338227409458343E-4</v>
      </c>
      <c r="U2">
        <f>SUMPRODUCT((all_lmics[[worldbank_region]:[worldbank_region]]=$A2)*(LEN(all_lmics[mu_2024])&gt;0)*(all_lmics[mu_2024])*(all_lmics[[2017_births]:[2017_births]]))/SUMPRODUCT((all_lmics[[worldbank_region]:[worldbank_region]]=$A2)*(LEN(all_lmics[mu_2024])&gt;0)*(all_lmics[[2017_births]:[2017_births]]))*0.95</f>
        <v>8.2893564667343674E-4</v>
      </c>
      <c r="V2">
        <f>SUMPRODUCT((all_lmics[[worldbank_region]:[worldbank_region]]=$A2)*(LEN(all_lmics[mu_2529])&gt;0)*(all_lmics[mu_2529])*(all_lmics[[2017_births]:[2017_births]]))/SUMPRODUCT((all_lmics[[worldbank_region]:[worldbank_region]]=$A2)*(LEN(all_lmics[mu_2529])&gt;0)*(all_lmics[[2017_births]:[2017_births]]))*0.95</f>
        <v>1.1747795698201487E-3</v>
      </c>
      <c r="W2">
        <f>SUMPRODUCT((all_lmics[[worldbank_region]:[worldbank_region]]=$A2)*(LEN(all_lmics[mu_3034])&gt;0)*(all_lmics[mu_3034])*(all_lmics[[2017_births]:[2017_births]]))/SUMPRODUCT((all_lmics[[worldbank_region]:[worldbank_region]]=$A2)*(LEN(all_lmics[mu_3034])&gt;0)*(all_lmics[[2017_births]:[2017_births]]))*0.95</f>
        <v>1.7652904798968049E-3</v>
      </c>
      <c r="X2">
        <f>SUMPRODUCT((all_lmics[[worldbank_region]:[worldbank_region]]=$A2)*(LEN(all_lmics[mu_3539])&gt;0)*(all_lmics[mu_3539])*(all_lmics[[2017_births]:[2017_births]]))/SUMPRODUCT((all_lmics[[worldbank_region]:[worldbank_region]]=$A2)*(LEN(all_lmics[mu_3539])&gt;0)*(all_lmics[[2017_births]:[2017_births]]))*0.95</f>
        <v>2.522764962875448E-3</v>
      </c>
      <c r="Y2">
        <f>SUMPRODUCT((all_lmics[[worldbank_region]:[worldbank_region]]=$A2)*(LEN(all_lmics[mu_4044])&gt;0)*(all_lmics[mu_4044])*(all_lmics[[2017_births]:[2017_births]]))/SUMPRODUCT((all_lmics[[worldbank_region]:[worldbank_region]]=$A2)*(LEN(all_lmics[mu_4044])&gt;0)*(all_lmics[[2017_births]:[2017_births]]))*0.95</f>
        <v>3.2735100991206053E-3</v>
      </c>
      <c r="Z2">
        <f>SUMPRODUCT((all_lmics[[worldbank_region]:[worldbank_region]]=$A2)*(LEN(all_lmics[mu_4549])&gt;0)*(all_lmics[mu_4549])*(all_lmics[[2017_births]:[2017_births]]))/SUMPRODUCT((all_lmics[[worldbank_region]:[worldbank_region]]=$A2)*(LEN(all_lmics[mu_4549])&gt;0)*(all_lmics[[2017_births]:[2017_births]]))*0.95</f>
        <v>4.4308555629782561E-3</v>
      </c>
      <c r="AA2">
        <f>SUMPRODUCT((all_lmics[[worldbank_region]:[worldbank_region]]=$A2)*(LEN(all_lmics[mu_5054])&gt;0)*(all_lmics[mu_5054])*(all_lmics[[2017_births]:[2017_births]]))/SUMPRODUCT((all_lmics[[worldbank_region]:[worldbank_region]]=$A2)*(LEN(all_lmics[mu_5054])&gt;0)*(all_lmics[[2017_births]:[2017_births]]))*0.95</f>
        <v>6.4831456698035278E-3</v>
      </c>
      <c r="AB2">
        <f>SUMPRODUCT((all_lmics[[worldbank_region]:[worldbank_region]]=$A2)*(LEN(all_lmics[mu_5559])&gt;0)*(all_lmics[mu_5559])*(all_lmics[[2017_births]:[2017_births]]))/SUMPRODUCT((all_lmics[[worldbank_region]:[worldbank_region]]=$A2)*(LEN(all_lmics[mu_5559])&gt;0)*(all_lmics[[2017_births]:[2017_births]]))*0.95</f>
        <v>9.7720443041210692E-3</v>
      </c>
      <c r="AC2">
        <f>SUMPRODUCT((all_lmics[[worldbank_region]:[worldbank_region]]=$A2)*(LEN(all_lmics[mu_6064])&gt;0)*(all_lmics[mu_6064])*(all_lmics[[2017_births]:[2017_births]]))/SUMPRODUCT((all_lmics[[worldbank_region]:[worldbank_region]]=$A2)*(LEN(all_lmics[mu_6064])&gt;0)*(all_lmics[[2017_births]:[2017_births]]))*0.95</f>
        <v>1.5099923015064904E-2</v>
      </c>
      <c r="AD2">
        <f>SUMPRODUCT((all_lmics[[worldbank_region]:[worldbank_region]]=$A2)*(LEN(all_lmics[mu_6569])&gt;0)*(all_lmics[mu_6569])*(all_lmics[[2017_births]:[2017_births]]))/SUMPRODUCT((all_lmics[[worldbank_region]:[worldbank_region]]=$A2)*(LEN(all_lmics[mu_6569])&gt;0)*(all_lmics[[2017_births]:[2017_births]]))*0.95</f>
        <v>2.2155361487220589E-2</v>
      </c>
      <c r="AE2">
        <f>SUMPRODUCT((all_lmics[[worldbank_region]:[worldbank_region]]=$A2)*(LEN(all_lmics[mu_7074])&gt;0)*(all_lmics[mu_7074])*(all_lmics[[2017_births]:[2017_births]]))/SUMPRODUCT((all_lmics[[worldbank_region]:[worldbank_region]]=$A2)*(LEN(all_lmics[mu_7074])&gt;0)*(all_lmics[[2017_births]:[2017_births]]))*0.95</f>
        <v>3.4872683992084874E-2</v>
      </c>
      <c r="AF2">
        <f>SUMPRODUCT((all_lmics[[worldbank_region]:[worldbank_region]]=$A2)*(LEN(all_lmics[mu_7579])&gt;0)*(all_lmics[mu_7579])*(all_lmics[[2017_births]:[2017_births]]))/SUMPRODUCT((all_lmics[[worldbank_region]:[worldbank_region]]=$A2)*(LEN(all_lmics[mu_7579])&gt;0)*(all_lmics[[2017_births]:[2017_births]]))*0.95</f>
        <v>5.7048035728808601E-2</v>
      </c>
      <c r="AG2">
        <f>SUMPRODUCT((all_lmics[[worldbank_region]:[worldbank_region]]=$A2)*(LEN(all_lmics[mu_8084])&gt;0)*(all_lmics[mu_8084])*(all_lmics[[2017_births]:[2017_births]]))/SUMPRODUCT((all_lmics[[worldbank_region]:[worldbank_region]]=$A2)*(LEN(all_lmics[mu_8084])&gt;0)*(all_lmics[[2017_births]:[2017_births]]))*0.95</f>
        <v>9.3990817723013015E-2</v>
      </c>
      <c r="AH2">
        <f>SUMPRODUCT((all_lmics[[worldbank_region]:[worldbank_region]]=$A2)*(LEN(all_lmics[mu_8589])&gt;0)*(all_lmics[mu_8589])*(all_lmics[[2017_births]:[2017_births]]))/SUMPRODUCT((all_lmics[[worldbank_region]:[worldbank_region]]=$A2)*(LEN(all_lmics[mu_8589])&gt;0)*(all_lmics[[2017_births]:[2017_births]]))*0.95</f>
        <v>0.14691285343234459</v>
      </c>
      <c r="AI2">
        <f>SUMPRODUCT((all_lmics[[worldbank_region]:[worldbank_region]]=$A2)*(LEN(all_lmics[mu_9094])&gt;0)*(all_lmics[mu_9094])*(all_lmics[[2017_births]:[2017_births]]))/SUMPRODUCT((all_lmics[[worldbank_region]:[worldbank_region]]=$A2)*(LEN(all_lmics[mu_9094])&gt;0)*(all_lmics[[2017_births]:[2017_births]]))*0.95</f>
        <v>0.22396355598092799</v>
      </c>
      <c r="AJ2">
        <f>SUMPRODUCT((all_lmics[[worldbank_region]:[worldbank_region]]=$A2)*(LEN(all_lmics[mu_9599])&gt;0)*(all_lmics[mu_9599])*(all_lmics[[2017_births]:[2017_births]]))/SUMPRODUCT((all_lmics[[worldbank_region]:[worldbank_region]]=$A2)*(LEN(all_lmics[mu_9599])&gt;0)*(all_lmics[[2017_births]:[2017_births]]))*0.95</f>
        <v>0.32475055659368657</v>
      </c>
      <c r="AK2">
        <f>SUMPRODUCT((all_lmics[[worldbank_region]:[worldbank_region]]=$A2)*(LEN(all_lmics[mu_100])&gt;0)*(all_lmics[mu_100])*(all_lmics[[2017_births]:[2017_births]]))/SUMPRODUCT((all_lmics[[worldbank_region]:[worldbank_region]]=$A2)*(LEN(all_lmics[mu_100])&gt;0)*(all_lmics[[2017_births]:[2017_births]]))*0.95</f>
        <v>0.4488385708556748</v>
      </c>
      <c r="AL2">
        <f>SUMPRODUCT((all_lmics[[worldbank_region]:[worldbank_region]]=$A2)*(LEN(all_lmics[c_A])&gt;0)*(all_lmics[c_A])*(all_lmics[[2017_births]:[2017_births]]))/SUMPRODUCT((all_lmics[[worldbank_region]:[worldbank_region]]=$A2)*(LEN(all_lmics[c_A])&gt;0)*(all_lmics[[2017_births]:[2017_births]]))*0.95</f>
        <v>42.298884899999997</v>
      </c>
      <c r="AM2">
        <f>SUMPRODUCT((all_lmics[[worldbank_region]:[worldbank_region]]=$A2)*(LEN(all_lmics[c_C])&gt;0)*(all_lmics[c_C])*(all_lmics[[2017_births]:[2017_births]]))/SUMPRODUCT((all_lmics[[worldbank_region]:[worldbank_region]]=$A2)*(LEN(all_lmics[c_C])&gt;0)*(all_lmics[[2017_births]:[2017_births]]))*0.95</f>
        <v>42.298884899999997</v>
      </c>
      <c r="AN2">
        <f>SUMPRODUCT((all_lmics[[worldbank_region]:[worldbank_region]]=$A2)*(LEN(all_lmics[c_CC])&gt;0)*(all_lmics[c_CC])*(all_lmics[[2017_births]:[2017_births]]))/SUMPRODUCT((all_lmics[[worldbank_region]:[worldbank_region]]=$A2)*(LEN(all_lmics[c_CC])&gt;0)*(all_lmics[[2017_births]:[2017_births]]))*0.95</f>
        <v>87.641301900000002</v>
      </c>
      <c r="AO2">
        <f>SUMPRODUCT((all_lmics[[worldbank_region]:[worldbank_region]]=$A2)*(LEN(all_lmics[c_DC])&gt;0)*(all_lmics[c_DC])*(all_lmics[[2017_births]:[2017_births]]))/SUMPRODUCT((all_lmics[[worldbank_region]:[worldbank_region]]=$A2)*(LEN(all_lmics[c_DC])&gt;0)*(all_lmics[[2017_births]:[2017_births]]))*0.95</f>
        <v>87.641301900000002</v>
      </c>
      <c r="AP2">
        <f>SUMPRODUCT((all_lmics[[worldbank_region]:[worldbank_region]]=$A2)*(LEN(all_lmics[c_HCC])&gt;0)*(all_lmics[c_HCC])*(all_lmics[[2017_births]:[2017_births]]))/SUMPRODUCT((all_lmics[[worldbank_region]:[worldbank_region]]=$A2)*(LEN(all_lmics[c_HCC])&gt;0)*(all_lmics[[2017_births]:[2017_births]]))*0.95</f>
        <v>87.641301900000002</v>
      </c>
      <c r="AQ2">
        <f>SUMPRODUCT((all_lmics[[worldbank_region]:[worldbank_region]]=$A2)*(LEN(all_lmics[fac_cc])&gt;0)*(all_lmics[fac_cc])*(all_lmics[[2017_births]:[2017_births]]))/SUMPRODUCT((all_lmics[[worldbank_region]:[worldbank_region]]=$A2)*(LEN(all_lmics[fac_cc])&gt;0)*(all_lmics[[2017_births]:[2017_births]]))*0.95</f>
        <v>6.0973774000000009</v>
      </c>
      <c r="AR2">
        <f>SUMPRODUCT((all_lmics[[worldbank_region]:[worldbank_region]]=$A2)*(LEN(all_lmics[fac_ctc])&gt;0)*(all_lmics[fac_ctc])*(all_lmics[[2017_births]:[2017_births]]))/SUMPRODUCT((all_lmics[[worldbank_region]:[worldbank_region]]=$A2)*(LEN(all_lmics[fac_ctc])&gt;0)*(all_lmics[[2017_births]:[2017_births]]))*0.95</f>
        <v>6.6840024000000016</v>
      </c>
      <c r="AS2">
        <f>SUMPRODUCT((all_lmics[[worldbank_region]:[worldbank_region]]=$A2)*(LEN(all_lmics[com_cc])&gt;0)*(all_lmics[com_cc])*(all_lmics[[2017_births]:[2017_births]]))/SUMPRODUCT((all_lmics[[worldbank_region]:[worldbank_region]]=$A2)*(LEN(all_lmics[com_cc])&gt;0)*(all_lmics[[2017_births]:[2017_births]]))*0.95</f>
        <v>9.9587293499999969</v>
      </c>
      <c r="AT2">
        <f>SUMPRODUCT((all_lmics[[worldbank_region]:[worldbank_region]]=$A2)*(LEN(all_lmics[com_ctc])&gt;0)*(all_lmics[com_ctc])*(all_lmics[[2017_births]:[2017_births]]))/SUMPRODUCT((all_lmics[[worldbank_region]:[worldbank_region]]=$A2)*(LEN(all_lmics[com_ctc])&gt;0)*(all_lmics[[2017_births]:[2017_births]]))*0.95</f>
        <v>10.545354349999998</v>
      </c>
      <c r="AU2">
        <f>SUMPRODUCT((all_lmics[[worldbank_region]:[worldbank_region]]=$A2)*(LEN(all_lmics[com_cpad])&gt;0)*(all_lmics[com_cpad])*(all_lmics[[2017_births]:[2017_births]]))/SUMPRODUCT((all_lmics[[worldbank_region]:[worldbank_region]]=$A2)*(LEN(all_lmics[com_cpad])&gt;0)*(all_lmics[[2017_births]:[2017_births]]))*0.95</f>
        <v>11.087093750000001</v>
      </c>
      <c r="AV2">
        <f>SUMPRODUCT((all_lmics[[worldbank_region]:[worldbank_region]]=$A2)*(LEN(all_lmics[SBA_nfac])&gt;1)*(all_lmics[SBA_nfac])*(all_lmics[[2017_births]:[2017_births]]))/SUMPRODUCT((all_lmics[[worldbank_region]:[worldbank_region]]=$A2)*(LEN(all_lmics[SBA_nfac])&gt;1)*(all_lmics[[2017_births]:[2017_births]]))*0.95</f>
        <v>0.41298799313214207</v>
      </c>
      <c r="AW2">
        <f>VLOOKUP($A2, hbe[],3,FALSE)</f>
        <v>0.2</v>
      </c>
      <c r="AX2">
        <f>VLOOKUP($A2, hbe[], 6, FALSE)</f>
        <v>0.75</v>
      </c>
      <c r="AY2">
        <f>VLOOKUP($A2, hbe[], 9, FALSE)</f>
        <v>0.05</v>
      </c>
    </row>
    <row r="3" spans="1:51" x14ac:dyDescent="0.35">
      <c r="A3" t="s">
        <v>58</v>
      </c>
      <c r="D3">
        <f>SUMPRODUCT((all_lmics[[worldbank_region]:[worldbank_region]]=Table2024[[#This Row],[Setting]])*(all_lmics[[2017_population]:[2017_population]]))</f>
        <v>2061045828</v>
      </c>
      <c r="F3" s="41">
        <f>SUMPRODUCT((all_lmics[[worldbank_region]:[worldbank_region]]=Table2024[[#This Row],[Setting]])*(all_lmics[[2017_births]:[2017_births]]))</f>
        <v>28561621.330693997</v>
      </c>
      <c r="G3">
        <f>SUMPRODUCT((all_lmics[worldbank_region]=$A3)*(LEN(all_lmics[birth_dose])&gt;0)*(all_lmics[birth_dose])*(all_lmics[2017_births]))/SUMPRODUCT((all_lmics[worldbank_region]=$A3)*(LEN(all_lmics[birth_dose])&gt;0)*(all_lmics[2017_births]))*0.95</f>
        <v>0.75010007092931597</v>
      </c>
      <c r="H3">
        <f>SUMPRODUCT((all_lmics[worldbank_region]=$A3)*(LEN(all_lmics[HBV3])&gt;0)*(all_lmics[HBV3])*(all_lmics[2017_births]))/SUMPRODUCT((all_lmics[worldbank_region]=$A3)*(LEN(all_lmics[HBV3])&gt;0)*(all_lmics[2017_births]))*0.95</f>
        <v>0.89039260343384818</v>
      </c>
      <c r="I3">
        <f>SUMPRODUCT((all_lmics[[worldbank_region]:[worldbank_region]]=$A3)*(LEN(all_lmics[prev])&gt;1)*(all_lmics[prev])*(all_lmics[[2017_population]:[2017_population]]))/SUMPRODUCT((all_lmics[[worldbank_region]:[worldbank_region]]=$A3)*(LEN(all_lmics[prev])&gt;1)*(all_lmics[[2017_population]:[2017_population]]))</f>
        <v>6.1492053108410077E-2</v>
      </c>
      <c r="J3">
        <f>SUMPRODUCT((all_lmics[[worldbank_region]:[worldbank_region]]=$A3)*(LEN(all_lmics[prev_lb])&gt;1)*(all_lmics[prev_lb])*(all_lmics[[2017_population]:[2017_population]]))/SUMPRODUCT((all_lmics[[worldbank_region]:[worldbank_region]]=$A3)*(LEN(all_lmics[prev_lb])&gt;1)*(all_lmics[[2017_population]:[2017_population]]))</f>
        <v>5.5031425358848182E-2</v>
      </c>
      <c r="K3">
        <f>SUMPRODUCT((all_lmics[[worldbank_region]:[worldbank_region]]=$A3)*(LEN(all_lmics[prev_ub])&gt;1)*(all_lmics[prev_ub])*(all_lmics[[2017_population]:[2017_population]]))/SUMPRODUCT((all_lmics[[worldbank_region]:[worldbank_region]]=$A3)*(LEN(all_lmics[prev_ub])&gt;1)*(all_lmics[[2017_population]:[2017_population]]))</f>
        <v>7.0878206742383237E-2</v>
      </c>
      <c r="L3">
        <f>SUMPRODUCT((all_lmics[[worldbank_region]:[worldbank_region]]=$A3)*(LEN(all_lmics[sigma])&gt;1)*(all_lmics[sigma])*(all_lmics[[2017_population]:[2017_population]]))/SUMPRODUCT((all_lmics[[worldbank_region]:[worldbank_region]]=$A3)*(LEN(all_lmics[sigma])&gt;1)*(all_lmics[[2017_population]:[2017_population]]))</f>
        <v>4.7888538948842648E-3</v>
      </c>
      <c r="N3">
        <f>SUMPRODUCT((all_lmics[[worldbank_region]:[worldbank_region]]=$A3)*(LEN(all_lmics[SBA])&gt;0)*(all_lmics[SBA])*(all_lmics[[2017_births]:[2017_births]]))/SUMPRODUCT((all_lmics[[worldbank_region]:[worldbank_region]]=$A3)*(LEN(all_lmics[SBA])&gt;0)*(all_lmics[[2017_births]:[2017_births]]))*0.95</f>
        <v>0.90197393321098773</v>
      </c>
      <c r="O3">
        <f>SUMPRODUCT((all_lmics[[worldbank_region]:[worldbank_region]]=$A3)*(LEN(all_lmics[Facility])&gt;0)*(all_lmics[Facility])*(all_lmics[[2017_births]:[2017_births]]))/SUMPRODUCT((all_lmics[[worldbank_region]:[worldbank_region]]=$A3)*(LEN(all_lmics[Facility])&gt;0)*(all_lmics[[2017_births]:[2017_births]]))*0.95</f>
        <v>0.86897775370305441</v>
      </c>
      <c r="P3">
        <f>SUMPRODUCT((all_lmics[[worldbank_region]:[worldbank_region]]=$A3)*(LEN(all_lmics[mu_01])&gt;0)*(all_lmics[mu_01])*(all_lmics[[2017_births]:[2017_births]]))/SUMPRODUCT((all_lmics[[worldbank_region]:[worldbank_region]]=$A3)*(LEN(all_lmics[mu_01])&gt;0)*(all_lmics[[2017_births]:[2017_births]]))*0.95</f>
        <v>1.2589997586631391E-2</v>
      </c>
      <c r="Q3">
        <f>SUMPRODUCT((all_lmics[[worldbank_region]:[worldbank_region]]=$A3)*(LEN(all_lmics[mu_14])&gt;0)*(all_lmics[mu_14])*(all_lmics[[2017_births]:[2017_births]]))/SUMPRODUCT((all_lmics[[worldbank_region]:[worldbank_region]]=$A3)*(LEN(all_lmics[mu_14])&gt;0)*(all_lmics[[2017_births]:[2017_births]]))*0.95</f>
        <v>7.7682157910029953E-4</v>
      </c>
      <c r="R3">
        <f>SUMPRODUCT((all_lmics[[worldbank_region]:[worldbank_region]]=$A3)*(LEN(all_lmics[mu_59])&gt;0)*(all_lmics[mu_59])*(all_lmics[[2017_births]:[2017_births]]))/SUMPRODUCT((all_lmics[[worldbank_region]:[worldbank_region]]=$A3)*(LEN(all_lmics[mu_59])&gt;0)*(all_lmics[[2017_births]:[2017_births]]))*0.95</f>
        <v>3.8474896570124171E-4</v>
      </c>
      <c r="S3">
        <f>SUMPRODUCT((all_lmics[[worldbank_region]:[worldbank_region]]=$A3)*(LEN(all_lmics[mu_1014])&gt;0)*(all_lmics[mu_1014])*(all_lmics[[2017_births]:[2017_births]]))/SUMPRODUCT((all_lmics[[worldbank_region]:[worldbank_region]]=$A3)*(LEN(all_lmics[mu_1014])&gt;0)*(all_lmics[[2017_births]:[2017_births]]))*0.95</f>
        <v>3.1728948306015438E-4</v>
      </c>
      <c r="T3">
        <f>SUMPRODUCT((all_lmics[[worldbank_region]:[worldbank_region]]=$A3)*(LEN(all_lmics[mu_1519])&gt;0)*(all_lmics[mu_1519])*(all_lmics[[2017_births]:[2017_births]]))/SUMPRODUCT((all_lmics[[worldbank_region]:[worldbank_region]]=$A3)*(LEN(all_lmics[mu_1519])&gt;0)*(all_lmics[[2017_births]:[2017_births]]))*0.95</f>
        <v>5.5716119387046311E-4</v>
      </c>
      <c r="U3">
        <f>SUMPRODUCT((all_lmics[[worldbank_region]:[worldbank_region]]=$A3)*(LEN(all_lmics[mu_2024])&gt;0)*(all_lmics[mu_2024])*(all_lmics[[2017_births]:[2017_births]]))/SUMPRODUCT((all_lmics[[worldbank_region]:[worldbank_region]]=$A3)*(LEN(all_lmics[mu_2024])&gt;0)*(all_lmics[[2017_births]:[2017_births]]))*0.95</f>
        <v>7.5299399821139091E-4</v>
      </c>
      <c r="V3">
        <f>SUMPRODUCT((all_lmics[[worldbank_region]:[worldbank_region]]=$A3)*(LEN(all_lmics[mu_2529])&gt;0)*(all_lmics[mu_2529])*(all_lmics[[2017_births]:[2017_births]]))/SUMPRODUCT((all_lmics[[worldbank_region]:[worldbank_region]]=$A3)*(LEN(all_lmics[mu_2529])&gt;0)*(all_lmics[[2017_births]:[2017_births]]))*0.95</f>
        <v>8.9494042981042878E-4</v>
      </c>
      <c r="W3">
        <f>SUMPRODUCT((all_lmics[[worldbank_region]:[worldbank_region]]=$A3)*(LEN(all_lmics[mu_3034])&gt;0)*(all_lmics[mu_3034])*(all_lmics[[2017_births]:[2017_births]]))/SUMPRODUCT((all_lmics[[worldbank_region]:[worldbank_region]]=$A3)*(LEN(all_lmics[mu_3034])&gt;0)*(all_lmics[[2017_births]:[2017_births]]))*0.95</f>
        <v>1.1062922828631186E-3</v>
      </c>
      <c r="X3">
        <f>SUMPRODUCT((all_lmics[[worldbank_region]:[worldbank_region]]=$A3)*(LEN(all_lmics[mu_3539])&gt;0)*(all_lmics[mu_3539])*(all_lmics[[2017_births]:[2017_births]]))/SUMPRODUCT((all_lmics[[worldbank_region]:[worldbank_region]]=$A3)*(LEN(all_lmics[mu_3539])&gt;0)*(all_lmics[[2017_births]:[2017_births]]))*0.95</f>
        <v>1.450334100731179E-3</v>
      </c>
      <c r="Y3">
        <f>SUMPRODUCT((all_lmics[[worldbank_region]:[worldbank_region]]=$A3)*(LEN(all_lmics[mu_4044])&gt;0)*(all_lmics[mu_4044])*(all_lmics[[2017_births]:[2017_births]]))/SUMPRODUCT((all_lmics[[worldbank_region]:[worldbank_region]]=$A3)*(LEN(all_lmics[mu_4044])&gt;0)*(all_lmics[[2017_births]:[2017_births]]))*0.95</f>
        <v>2.0542457373393767E-3</v>
      </c>
      <c r="Z3">
        <f>SUMPRODUCT((all_lmics[[worldbank_region]:[worldbank_region]]=$A3)*(LEN(all_lmics[mu_4549])&gt;0)*(all_lmics[mu_4549])*(all_lmics[[2017_births]:[2017_births]]))/SUMPRODUCT((all_lmics[[worldbank_region]:[worldbank_region]]=$A3)*(LEN(all_lmics[mu_4549])&gt;0)*(all_lmics[[2017_births]:[2017_births]]))*0.95</f>
        <v>3.0442264306248619E-3</v>
      </c>
      <c r="AA3">
        <f>SUMPRODUCT((all_lmics[[worldbank_region]:[worldbank_region]]=$A3)*(LEN(all_lmics[mu_5054])&gt;0)*(all_lmics[mu_5054])*(all_lmics[[2017_births]:[2017_births]]))/SUMPRODUCT((all_lmics[[worldbank_region]:[worldbank_region]]=$A3)*(LEN(all_lmics[mu_5054])&gt;0)*(all_lmics[[2017_births]:[2017_births]]))*0.95</f>
        <v>4.7962203840152349E-3</v>
      </c>
      <c r="AB3">
        <f>SUMPRODUCT((all_lmics[[worldbank_region]:[worldbank_region]]=$A3)*(LEN(all_lmics[mu_5559])&gt;0)*(all_lmics[mu_5559])*(all_lmics[[2017_births]:[2017_births]]))/SUMPRODUCT((all_lmics[[worldbank_region]:[worldbank_region]]=$A3)*(LEN(all_lmics[mu_5559])&gt;0)*(all_lmics[[2017_births]:[2017_births]]))*0.95</f>
        <v>7.6117927088883344E-3</v>
      </c>
      <c r="AC3">
        <f>SUMPRODUCT((all_lmics[[worldbank_region]:[worldbank_region]]=$A3)*(LEN(all_lmics[mu_6064])&gt;0)*(all_lmics[mu_6064])*(all_lmics[[2017_births]:[2017_births]]))/SUMPRODUCT((all_lmics[[worldbank_region]:[worldbank_region]]=$A3)*(LEN(all_lmics[mu_6064])&gt;0)*(all_lmics[[2017_births]:[2017_births]]))*0.95</f>
        <v>1.2642977420129676E-2</v>
      </c>
      <c r="AD3">
        <f>SUMPRODUCT((all_lmics[[worldbank_region]:[worldbank_region]]=$A3)*(LEN(all_lmics[mu_6569])&gt;0)*(all_lmics[mu_6569])*(all_lmics[[2017_births]:[2017_births]]))/SUMPRODUCT((all_lmics[[worldbank_region]:[worldbank_region]]=$A3)*(LEN(all_lmics[mu_6569])&gt;0)*(all_lmics[[2017_births]:[2017_births]]))*0.95</f>
        <v>2.1051184142586308E-2</v>
      </c>
      <c r="AE3">
        <f>SUMPRODUCT((all_lmics[[worldbank_region]:[worldbank_region]]=$A3)*(LEN(all_lmics[mu_7074])&gt;0)*(all_lmics[mu_7074])*(all_lmics[[2017_births]:[2017_births]]))/SUMPRODUCT((all_lmics[[worldbank_region]:[worldbank_region]]=$A3)*(LEN(all_lmics[mu_7074])&gt;0)*(all_lmics[[2017_births]:[2017_births]]))*0.95</f>
        <v>3.6022260722131348E-2</v>
      </c>
      <c r="AF3">
        <f>SUMPRODUCT((all_lmics[[worldbank_region]:[worldbank_region]]=$A3)*(LEN(all_lmics[mu_7579])&gt;0)*(all_lmics[mu_7579])*(all_lmics[[2017_births]:[2017_births]]))/SUMPRODUCT((all_lmics[[worldbank_region]:[worldbank_region]]=$A3)*(LEN(all_lmics[mu_7579])&gt;0)*(all_lmics[[2017_births]:[2017_births]]))*0.95</f>
        <v>5.9523712413328392E-2</v>
      </c>
      <c r="AG3">
        <f>SUMPRODUCT((all_lmics[[worldbank_region]:[worldbank_region]]=$A3)*(LEN(all_lmics[mu_8084])&gt;0)*(all_lmics[mu_8084])*(all_lmics[[2017_births]:[2017_births]]))/SUMPRODUCT((all_lmics[[worldbank_region]:[worldbank_region]]=$A3)*(LEN(all_lmics[mu_8084])&gt;0)*(all_lmics[[2017_births]:[2017_births]]))*0.95</f>
        <v>9.2852162665561636E-2</v>
      </c>
      <c r="AH3">
        <f>SUMPRODUCT((all_lmics[[worldbank_region]:[worldbank_region]]=$A3)*(LEN(all_lmics[mu_8589])&gt;0)*(all_lmics[mu_8589])*(all_lmics[[2017_births]:[2017_births]]))/SUMPRODUCT((all_lmics[[worldbank_region]:[worldbank_region]]=$A3)*(LEN(all_lmics[mu_8589])&gt;0)*(all_lmics[[2017_births]:[2017_births]]))*0.95</f>
        <v>0.14481259029622232</v>
      </c>
      <c r="AI3">
        <f>SUMPRODUCT((all_lmics[[worldbank_region]:[worldbank_region]]=$A3)*(LEN(all_lmics[mu_9094])&gt;0)*(all_lmics[mu_9094])*(all_lmics[[2017_births]:[2017_births]]))/SUMPRODUCT((all_lmics[[worldbank_region]:[worldbank_region]]=$A3)*(LEN(all_lmics[mu_9094])&gt;0)*(all_lmics[[2017_births]:[2017_births]]))*0.95</f>
        <v>0.20977775565847145</v>
      </c>
      <c r="AJ3">
        <f>SUMPRODUCT((all_lmics[[worldbank_region]:[worldbank_region]]=$A3)*(LEN(all_lmics[mu_9599])&gt;0)*(all_lmics[mu_9599])*(all_lmics[[2017_births]:[2017_births]]))/SUMPRODUCT((all_lmics[[worldbank_region]:[worldbank_region]]=$A3)*(LEN(all_lmics[mu_9599])&gt;0)*(all_lmics[[2017_births]:[2017_births]]))*0.95</f>
        <v>0.28978220911269847</v>
      </c>
      <c r="AK3">
        <f>SUMPRODUCT((all_lmics[[worldbank_region]:[worldbank_region]]=$A3)*(LEN(all_lmics[mu_100])&gt;0)*(all_lmics[mu_100])*(all_lmics[[2017_births]:[2017_births]]))/SUMPRODUCT((all_lmics[[worldbank_region]:[worldbank_region]]=$A3)*(LEN(all_lmics[mu_100])&gt;0)*(all_lmics[[2017_births]:[2017_births]]))*0.95</f>
        <v>0.37232261726616162</v>
      </c>
      <c r="AL3">
        <f>SUMPRODUCT((all_lmics[[worldbank_region]:[worldbank_region]]=$A3)*(LEN(all_lmics[c_A])&gt;0)*(all_lmics[c_A])*(all_lmics[[2017_births]:[2017_births]]))/SUMPRODUCT((all_lmics[[worldbank_region]:[worldbank_region]]=$A3)*(LEN(all_lmics[c_A])&gt;0)*(all_lmics[[2017_births]:[2017_births]]))*0.95</f>
        <v>69.411165749999995</v>
      </c>
      <c r="AM3">
        <f>SUMPRODUCT((all_lmics[[worldbank_region]:[worldbank_region]]=$A3)*(LEN(all_lmics[c_C])&gt;0)*(all_lmics[c_C])*(all_lmics[[2017_births]:[2017_births]]))/SUMPRODUCT((all_lmics[[worldbank_region]:[worldbank_region]]=$A3)*(LEN(all_lmics[c_C])&gt;0)*(all_lmics[[2017_births]:[2017_births]]))*0.95</f>
        <v>69.411165749999995</v>
      </c>
      <c r="AN3">
        <f>SUMPRODUCT((all_lmics[[worldbank_region]:[worldbank_region]]=$A3)*(LEN(all_lmics[c_CC])&gt;0)*(all_lmics[c_CC])*(all_lmics[[2017_births]:[2017_births]]))/SUMPRODUCT((all_lmics[[worldbank_region]:[worldbank_region]]=$A3)*(LEN(all_lmics[c_CC])&gt;0)*(all_lmics[[2017_births]:[2017_births]]))*0.95</f>
        <v>114.75358275000001</v>
      </c>
      <c r="AO3">
        <f>SUMPRODUCT((all_lmics[[worldbank_region]:[worldbank_region]]=$A3)*(LEN(all_lmics[c_DC])&gt;0)*(all_lmics[c_DC])*(all_lmics[[2017_births]:[2017_births]]))/SUMPRODUCT((all_lmics[[worldbank_region]:[worldbank_region]]=$A3)*(LEN(all_lmics[c_DC])&gt;0)*(all_lmics[[2017_births]:[2017_births]]))*0.95</f>
        <v>114.75358275000001</v>
      </c>
      <c r="AP3">
        <f>SUMPRODUCT((all_lmics[[worldbank_region]:[worldbank_region]]=$A3)*(LEN(all_lmics[c_HCC])&gt;0)*(all_lmics[c_HCC])*(all_lmics[[2017_births]:[2017_births]]))/SUMPRODUCT((all_lmics[[worldbank_region]:[worldbank_region]]=$A3)*(LEN(all_lmics[c_HCC])&gt;0)*(all_lmics[[2017_births]:[2017_births]]))*0.95</f>
        <v>114.75358275000001</v>
      </c>
      <c r="AQ3">
        <f>SUMPRODUCT((all_lmics[[worldbank_region]:[worldbank_region]]=$A3)*(LEN(all_lmics[fac_cc])&gt;0)*(all_lmics[fac_cc])*(all_lmics[[2017_births]:[2017_births]]))/SUMPRODUCT((all_lmics[[worldbank_region]:[worldbank_region]]=$A3)*(LEN(all_lmics[fac_cc])&gt;0)*(all_lmics[[2017_births]:[2017_births]]))*0.95</f>
        <v>1.2732754999999998</v>
      </c>
      <c r="AR3">
        <f>SUMPRODUCT((all_lmics[[worldbank_region]:[worldbank_region]]=$A3)*(LEN(all_lmics[fac_ctc])&gt;0)*(all_lmics[fac_ctc])*(all_lmics[[2017_births]:[2017_births]]))/SUMPRODUCT((all_lmics[[worldbank_region]:[worldbank_region]]=$A3)*(LEN(all_lmics[fac_ctc])&gt;0)*(all_lmics[[2017_births]:[2017_births]]))*0.95</f>
        <v>1.8599005000000004</v>
      </c>
      <c r="AS3">
        <f>SUMPRODUCT((all_lmics[[worldbank_region]:[worldbank_region]]=$A3)*(LEN(all_lmics[com_cc])&gt;0)*(all_lmics[com_cc])*(all_lmics[[2017_births]:[2017_births]]))/SUMPRODUCT((all_lmics[[worldbank_region]:[worldbank_region]]=$A3)*(LEN(all_lmics[com_cc])&gt;0)*(all_lmics[[2017_births]:[2017_births]]))*0.95</f>
        <v>1.8737002</v>
      </c>
      <c r="AT3">
        <f>SUMPRODUCT((all_lmics[[worldbank_region]:[worldbank_region]]=$A3)*(LEN(all_lmics[com_ctc])&gt;0)*(all_lmics[com_ctc])*(all_lmics[[2017_births]:[2017_births]]))/SUMPRODUCT((all_lmics[[worldbank_region]:[worldbank_region]]=$A3)*(LEN(all_lmics[com_ctc])&gt;0)*(all_lmics[[2017_births]:[2017_births]]))*0.95</f>
        <v>2.4603251999999993</v>
      </c>
      <c r="AU3">
        <f>SUMPRODUCT((all_lmics[[worldbank_region]:[worldbank_region]]=$A3)*(LEN(all_lmics[com_cpad])&gt;0)*(all_lmics[com_cpad])*(all_lmics[[2017_births]:[2017_births]]))/SUMPRODUCT((all_lmics[[worldbank_region]:[worldbank_region]]=$A3)*(LEN(all_lmics[com_cpad])&gt;0)*(all_lmics[[2017_births]:[2017_births]]))*0.95</f>
        <v>3.0020646000000002</v>
      </c>
      <c r="AV3">
        <f>SUMPRODUCT((all_lmics[[worldbank_region]:[worldbank_region]]=$A3)*(LEN(all_lmics[SBA_nfac])&gt;1)*(all_lmics[SBA_nfac])*(all_lmics[[2017_births]:[2017_births]]))/SUMPRODUCT((all_lmics[[worldbank_region]:[worldbank_region]]=$A3)*(LEN(all_lmics[SBA_nfac])&gt;1)*(all_lmics[[2017_births]:[2017_births]]))*0.95</f>
        <v>0.41449249530453686</v>
      </c>
      <c r="AW3">
        <f>VLOOKUP($A3, hbe[],3,FALSE)</f>
        <v>0.2</v>
      </c>
      <c r="AX3">
        <f>VLOOKUP($A3, hbe[], 6, FALSE)</f>
        <v>0.75</v>
      </c>
      <c r="AY3">
        <f>VLOOKUP($A3, hbe[], 9, FALSE)</f>
        <v>0.05</v>
      </c>
    </row>
    <row r="4" spans="1:51" x14ac:dyDescent="0.35">
      <c r="A4" t="s">
        <v>383</v>
      </c>
      <c r="D4">
        <f>SUMPRODUCT((all_lmics[[worldbank_region]:[worldbank_region]]=Table2024[[#This Row],[Setting]])*(all_lmics[[2017_population]:[2017_population]]))</f>
        <v>628740872</v>
      </c>
      <c r="F4" s="41">
        <f>SUMPRODUCT((all_lmics[[worldbank_region]:[worldbank_region]]=Table2024[[#This Row],[Setting]])*(all_lmics[[2017_births]:[2017_births]]))</f>
        <v>10690279.573499</v>
      </c>
      <c r="G4">
        <f>SUMPRODUCT((all_lmics[worldbank_region]=$A4)*(LEN(all_lmics[birth_dose])&gt;0)*(all_lmics[birth_dose])*(all_lmics[2017_births]))/SUMPRODUCT((all_lmics[worldbank_region]=$A4)*(LEN(all_lmics[birth_dose])&gt;0)*(all_lmics[2017_births]))*0.95</f>
        <v>0.68877189309889719</v>
      </c>
      <c r="H4">
        <f>SUMPRODUCT((all_lmics[worldbank_region]=$A4)*(LEN(all_lmics[HBV3])&gt;0)*(all_lmics[HBV3])*(all_lmics[2017_births]))/SUMPRODUCT((all_lmics[worldbank_region]=$A4)*(LEN(all_lmics[HBV3])&gt;0)*(all_lmics[2017_births]))*0.95</f>
        <v>0.84748625045197512</v>
      </c>
      <c r="I4">
        <f>SUMPRODUCT((all_lmics[[worldbank_region]:[worldbank_region]]=$A4)*(LEN(all_lmics[prev])&gt;1)*(all_lmics[prev])*(all_lmics[[2017_population]:[2017_population]]))/SUMPRODUCT((all_lmics[[worldbank_region]:[worldbank_region]]=$A4)*(LEN(all_lmics[prev])&gt;1)*(all_lmics[[2017_population]:[2017_population]]))</f>
        <v>5.0774217375026661E-3</v>
      </c>
      <c r="J4">
        <f>SUMPRODUCT((all_lmics[[worldbank_region]:[worldbank_region]]=$A4)*(LEN(all_lmics[prev_lb])&gt;1)*(all_lmics[prev_lb])*(all_lmics[[2017_population]:[2017_population]]))/SUMPRODUCT((all_lmics[[worldbank_region]:[worldbank_region]]=$A4)*(LEN(all_lmics[prev_lb])&gt;1)*(all_lmics[[2017_population]:[2017_population]]))</f>
        <v>3.3602627132557658E-3</v>
      </c>
      <c r="K4">
        <f>SUMPRODUCT((all_lmics[[worldbank_region]:[worldbank_region]]=$A4)*(LEN(all_lmics[prev_ub])&gt;1)*(all_lmics[prev_ub])*(all_lmics[[2017_population]:[2017_population]]))/SUMPRODUCT((all_lmics[[worldbank_region]:[worldbank_region]]=$A4)*(LEN(all_lmics[prev_ub])&gt;1)*(all_lmics[[2017_population]:[2017_population]]))</f>
        <v>8.9215754971632005E-3</v>
      </c>
      <c r="L4">
        <f>SUMPRODUCT((all_lmics[[worldbank_region]:[worldbank_region]]=$A4)*(LEN(all_lmics[sigma])&gt;1)*(all_lmics[sigma])*(all_lmics[[2017_population]:[2017_population]]))/SUMPRODUCT((all_lmics[[worldbank_region]:[worldbank_region]]=$A4)*(LEN(all_lmics[sigma])&gt;1)*(all_lmics[[2017_population]:[2017_population]]))</f>
        <v>1.9617236112760531E-3</v>
      </c>
      <c r="N4">
        <f>SUMPRODUCT((all_lmics[[worldbank_region]:[worldbank_region]]=$A4)*(LEN(all_lmics[SBA])&gt;0)*(all_lmics[SBA])*(all_lmics[[2017_births]:[2017_births]]))/SUMPRODUCT((all_lmics[[worldbank_region]:[worldbank_region]]=$A4)*(LEN(all_lmics[SBA])&gt;0)*(all_lmics[[2017_births]:[2017_births]]))*0.95</f>
        <v>0.89686172026443456</v>
      </c>
      <c r="O4">
        <f>SUMPRODUCT((all_lmics[[worldbank_region]:[worldbank_region]]=$A4)*(LEN(all_lmics[Facility])&gt;0)*(all_lmics[Facility])*(all_lmics[[2017_births]:[2017_births]]))/SUMPRODUCT((all_lmics[[worldbank_region]:[worldbank_region]]=$A4)*(LEN(all_lmics[Facility])&gt;0)*(all_lmics[[2017_births]:[2017_births]]))*0.95</f>
        <v>0.88835070804335936</v>
      </c>
      <c r="P4">
        <f>SUMPRODUCT((all_lmics[[worldbank_region]:[worldbank_region]]=$A4)*(LEN(all_lmics[mu_01])&gt;0)*(all_lmics[mu_01])*(all_lmics[[2017_births]:[2017_births]]))/SUMPRODUCT((all_lmics[[worldbank_region]:[worldbank_region]]=$A4)*(LEN(all_lmics[mu_01])&gt;0)*(all_lmics[[2017_births]:[2017_births]]))*0.95</f>
        <v>1.5114950700137164E-2</v>
      </c>
      <c r="Q4">
        <f>SUMPRODUCT((all_lmics[[worldbank_region]:[worldbank_region]]=$A4)*(LEN(all_lmics[mu_14])&gt;0)*(all_lmics[mu_14])*(all_lmics[[2017_births]:[2017_births]]))/SUMPRODUCT((all_lmics[[worldbank_region]:[worldbank_region]]=$A4)*(LEN(all_lmics[mu_14])&gt;0)*(all_lmics[[2017_births]:[2017_births]]))*0.95</f>
        <v>8.9135327519081122E-4</v>
      </c>
      <c r="R4">
        <f>SUMPRODUCT((all_lmics[[worldbank_region]:[worldbank_region]]=$A4)*(LEN(all_lmics[mu_59])&gt;0)*(all_lmics[mu_59])*(all_lmics[[2017_births]:[2017_births]]))/SUMPRODUCT((all_lmics[[worldbank_region]:[worldbank_region]]=$A4)*(LEN(all_lmics[mu_59])&gt;0)*(all_lmics[[2017_births]:[2017_births]]))*0.95</f>
        <v>3.5797393642084075E-4</v>
      </c>
      <c r="S4">
        <f>SUMPRODUCT((all_lmics[[worldbank_region]:[worldbank_region]]=$A4)*(LEN(all_lmics[mu_1014])&gt;0)*(all_lmics[mu_1014])*(all_lmics[[2017_births]:[2017_births]]))/SUMPRODUCT((all_lmics[[worldbank_region]:[worldbank_region]]=$A4)*(LEN(all_lmics[mu_1014])&gt;0)*(all_lmics[[2017_births]:[2017_births]]))*0.95</f>
        <v>3.8646879267908361E-4</v>
      </c>
      <c r="T4">
        <f>SUMPRODUCT((all_lmics[[worldbank_region]:[worldbank_region]]=$A4)*(LEN(all_lmics[mu_1519])&gt;0)*(all_lmics[mu_1519])*(all_lmics[[2017_births]:[2017_births]]))/SUMPRODUCT((all_lmics[[worldbank_region]:[worldbank_region]]=$A4)*(LEN(all_lmics[mu_1519])&gt;0)*(all_lmics[[2017_births]:[2017_births]]))*0.95</f>
        <v>9.588649212444719E-4</v>
      </c>
      <c r="U4">
        <f>SUMPRODUCT((all_lmics[[worldbank_region]:[worldbank_region]]=$A4)*(LEN(all_lmics[mu_2024])&gt;0)*(all_lmics[mu_2024])*(all_lmics[[2017_births]:[2017_births]]))/SUMPRODUCT((all_lmics[[worldbank_region]:[worldbank_region]]=$A4)*(LEN(all_lmics[mu_2024])&gt;0)*(all_lmics[[2017_births]:[2017_births]]))*0.95</f>
        <v>1.4890628523998378E-3</v>
      </c>
      <c r="V4">
        <f>SUMPRODUCT((all_lmics[[worldbank_region]:[worldbank_region]]=$A4)*(LEN(all_lmics[mu_2529])&gt;0)*(all_lmics[mu_2529])*(all_lmics[[2017_births]:[2017_births]]))/SUMPRODUCT((all_lmics[[worldbank_region]:[worldbank_region]]=$A4)*(LEN(all_lmics[mu_2529])&gt;0)*(all_lmics[[2017_births]:[2017_births]]))*0.95</f>
        <v>1.6500775146509653E-3</v>
      </c>
      <c r="W4">
        <f>SUMPRODUCT((all_lmics[[worldbank_region]:[worldbank_region]]=$A4)*(LEN(all_lmics[mu_3034])&gt;0)*(all_lmics[mu_3034])*(all_lmics[[2017_births]:[2017_births]]))/SUMPRODUCT((all_lmics[[worldbank_region]:[worldbank_region]]=$A4)*(LEN(all_lmics[mu_3034])&gt;0)*(all_lmics[[2017_births]:[2017_births]]))*0.95</f>
        <v>1.845434218735637E-3</v>
      </c>
      <c r="X4">
        <f>SUMPRODUCT((all_lmics[[worldbank_region]:[worldbank_region]]=$A4)*(LEN(all_lmics[mu_3539])&gt;0)*(all_lmics[mu_3539])*(all_lmics[[2017_births]:[2017_births]]))/SUMPRODUCT((all_lmics[[worldbank_region]:[worldbank_region]]=$A4)*(LEN(all_lmics[mu_3539])&gt;0)*(all_lmics[[2017_births]:[2017_births]]))*0.95</f>
        <v>2.1827164998698039E-3</v>
      </c>
      <c r="Y4">
        <f>SUMPRODUCT((all_lmics[[worldbank_region]:[worldbank_region]]=$A4)*(LEN(all_lmics[mu_4044])&gt;0)*(all_lmics[mu_4044])*(all_lmics[[2017_births]:[2017_births]]))/SUMPRODUCT((all_lmics[[worldbank_region]:[worldbank_region]]=$A4)*(LEN(all_lmics[mu_4044])&gt;0)*(all_lmics[[2017_births]:[2017_births]]))*0.95</f>
        <v>2.7657374904772464E-3</v>
      </c>
      <c r="Z4">
        <f>SUMPRODUCT((all_lmics[[worldbank_region]:[worldbank_region]]=$A4)*(LEN(all_lmics[mu_4549])&gt;0)*(all_lmics[mu_4549])*(all_lmics[[2017_births]:[2017_births]]))/SUMPRODUCT((all_lmics[[worldbank_region]:[worldbank_region]]=$A4)*(LEN(all_lmics[mu_4549])&gt;0)*(all_lmics[[2017_births]:[2017_births]]))*0.95</f>
        <v>3.8528390509401634E-3</v>
      </c>
      <c r="AA4">
        <f>SUMPRODUCT((all_lmics[[worldbank_region]:[worldbank_region]]=$A4)*(LEN(all_lmics[mu_5054])&gt;0)*(all_lmics[mu_5054])*(all_lmics[[2017_births]:[2017_births]]))/SUMPRODUCT((all_lmics[[worldbank_region]:[worldbank_region]]=$A4)*(LEN(all_lmics[mu_5054])&gt;0)*(all_lmics[[2017_births]:[2017_births]]))*0.95</f>
        <v>5.5943755436583904E-3</v>
      </c>
      <c r="AB4">
        <f>SUMPRODUCT((all_lmics[[worldbank_region]:[worldbank_region]]=$A4)*(LEN(all_lmics[mu_5559])&gt;0)*(all_lmics[mu_5559])*(all_lmics[[2017_births]:[2017_births]]))/SUMPRODUCT((all_lmics[[worldbank_region]:[worldbank_region]]=$A4)*(LEN(all_lmics[mu_5559])&gt;0)*(all_lmics[[2017_births]:[2017_births]]))*0.95</f>
        <v>8.1966042183674714E-3</v>
      </c>
      <c r="AC4">
        <f>SUMPRODUCT((all_lmics[[worldbank_region]:[worldbank_region]]=$A4)*(LEN(all_lmics[mu_6064])&gt;0)*(all_lmics[mu_6064])*(all_lmics[[2017_births]:[2017_births]]))/SUMPRODUCT((all_lmics[[worldbank_region]:[worldbank_region]]=$A4)*(LEN(all_lmics[mu_6064])&gt;0)*(all_lmics[[2017_births]:[2017_births]]))*0.95</f>
        <v>1.2370809097989556E-2</v>
      </c>
      <c r="AD4">
        <f>SUMPRODUCT((all_lmics[[worldbank_region]:[worldbank_region]]=$A4)*(LEN(all_lmics[mu_6569])&gt;0)*(all_lmics[mu_6569])*(all_lmics[[2017_births]:[2017_births]]))/SUMPRODUCT((all_lmics[[worldbank_region]:[worldbank_region]]=$A4)*(LEN(all_lmics[mu_6569])&gt;0)*(all_lmics[[2017_births]:[2017_births]]))*0.95</f>
        <v>1.8730281408027301E-2</v>
      </c>
      <c r="AE4">
        <f>SUMPRODUCT((all_lmics[[worldbank_region]:[worldbank_region]]=$A4)*(LEN(all_lmics[mu_7074])&gt;0)*(all_lmics[mu_7074])*(all_lmics[[2017_births]:[2017_births]]))/SUMPRODUCT((all_lmics[[worldbank_region]:[worldbank_region]]=$A4)*(LEN(all_lmics[mu_7074])&gt;0)*(all_lmics[[2017_births]:[2017_births]]))*0.95</f>
        <v>2.8249092628172569E-2</v>
      </c>
      <c r="AF4">
        <f>SUMPRODUCT((all_lmics[[worldbank_region]:[worldbank_region]]=$A4)*(LEN(all_lmics[mu_7579])&gt;0)*(all_lmics[mu_7579])*(all_lmics[[2017_births]:[2017_births]]))/SUMPRODUCT((all_lmics[[worldbank_region]:[worldbank_region]]=$A4)*(LEN(all_lmics[mu_7579])&gt;0)*(all_lmics[[2017_births]:[2017_births]]))*0.95</f>
        <v>4.3824845431315575E-2</v>
      </c>
      <c r="AG4">
        <f>SUMPRODUCT((all_lmics[[worldbank_region]:[worldbank_region]]=$A4)*(LEN(all_lmics[mu_8084])&gt;0)*(all_lmics[mu_8084])*(all_lmics[[2017_births]:[2017_births]]))/SUMPRODUCT((all_lmics[[worldbank_region]:[worldbank_region]]=$A4)*(LEN(all_lmics[mu_8084])&gt;0)*(all_lmics[[2017_births]:[2017_births]]))*0.95</f>
        <v>6.8102796487802986E-2</v>
      </c>
      <c r="AH4">
        <f>SUMPRODUCT((all_lmics[[worldbank_region]:[worldbank_region]]=$A4)*(LEN(all_lmics[mu_8589])&gt;0)*(all_lmics[mu_8589])*(all_lmics[[2017_births]:[2017_births]]))/SUMPRODUCT((all_lmics[[worldbank_region]:[worldbank_region]]=$A4)*(LEN(all_lmics[mu_8589])&gt;0)*(all_lmics[[2017_births]:[2017_births]]))*0.95</f>
        <v>0.10598671385939508</v>
      </c>
      <c r="AI4">
        <f>SUMPRODUCT((all_lmics[[worldbank_region]:[worldbank_region]]=$A4)*(LEN(all_lmics[mu_9094])&gt;0)*(all_lmics[mu_9094])*(all_lmics[[2017_births]:[2017_births]]))/SUMPRODUCT((all_lmics[[worldbank_region]:[worldbank_region]]=$A4)*(LEN(all_lmics[mu_9094])&gt;0)*(all_lmics[[2017_births]:[2017_births]]))*0.95</f>
        <v>0.15610956161248526</v>
      </c>
      <c r="AJ4">
        <f>SUMPRODUCT((all_lmics[[worldbank_region]:[worldbank_region]]=$A4)*(LEN(all_lmics[mu_9599])&gt;0)*(all_lmics[mu_9599])*(all_lmics[[2017_births]:[2017_births]]))/SUMPRODUCT((all_lmics[[worldbank_region]:[worldbank_region]]=$A4)*(LEN(all_lmics[mu_9599])&gt;0)*(all_lmics[[2017_births]:[2017_births]]))*0.95</f>
        <v>0.23824229995680249</v>
      </c>
      <c r="AK4">
        <f>SUMPRODUCT((all_lmics[[worldbank_region]:[worldbank_region]]=$A4)*(LEN(all_lmics[mu_100])&gt;0)*(all_lmics[mu_100])*(all_lmics[[2017_births]:[2017_births]]))/SUMPRODUCT((all_lmics[[worldbank_region]:[worldbank_region]]=$A4)*(LEN(all_lmics[mu_100])&gt;0)*(all_lmics[[2017_births]:[2017_births]]))*0.95</f>
        <v>0.36098262138541293</v>
      </c>
      <c r="AL4">
        <f>SUMPRODUCT((all_lmics[[worldbank_region]:[worldbank_region]]=$A4)*(LEN(all_lmics[c_A])&gt;0)*(all_lmics[c_A])*(all_lmics[[2017_births]:[2017_births]]))/SUMPRODUCT((all_lmics[[worldbank_region]:[worldbank_region]]=$A4)*(LEN(all_lmics[c_A])&gt;0)*(all_lmics[[2017_births]:[2017_births]]))*0.95</f>
        <v>82.516987649999976</v>
      </c>
      <c r="AM4">
        <f>SUMPRODUCT((all_lmics[[worldbank_region]:[worldbank_region]]=$A4)*(LEN(all_lmics[c_C])&gt;0)*(all_lmics[c_C])*(all_lmics[[2017_births]:[2017_births]]))/SUMPRODUCT((all_lmics[[worldbank_region]:[worldbank_region]]=$A4)*(LEN(all_lmics[c_C])&gt;0)*(all_lmics[[2017_births]:[2017_births]]))*0.95</f>
        <v>82.516987649999976</v>
      </c>
      <c r="AN4">
        <f>SUMPRODUCT((all_lmics[[worldbank_region]:[worldbank_region]]=$A4)*(LEN(all_lmics[c_CC])&gt;0)*(all_lmics[c_CC])*(all_lmics[[2017_births]:[2017_births]]))/SUMPRODUCT((all_lmics[[worldbank_region]:[worldbank_region]]=$A4)*(LEN(all_lmics[c_CC])&gt;0)*(all_lmics[[2017_births]:[2017_births]]))*0.95</f>
        <v>127.85940464999999</v>
      </c>
      <c r="AO4">
        <f>SUMPRODUCT((all_lmics[[worldbank_region]:[worldbank_region]]=$A4)*(LEN(all_lmics[c_DC])&gt;0)*(all_lmics[c_DC])*(all_lmics[[2017_births]:[2017_births]]))/SUMPRODUCT((all_lmics[[worldbank_region]:[worldbank_region]]=$A4)*(LEN(all_lmics[c_DC])&gt;0)*(all_lmics[[2017_births]:[2017_births]]))*0.95</f>
        <v>127.85940464999999</v>
      </c>
      <c r="AP4">
        <f>SUMPRODUCT((all_lmics[[worldbank_region]:[worldbank_region]]=$A4)*(LEN(all_lmics[c_HCC])&gt;0)*(all_lmics[c_HCC])*(all_lmics[[2017_births]:[2017_births]]))/SUMPRODUCT((all_lmics[[worldbank_region]:[worldbank_region]]=$A4)*(LEN(all_lmics[c_HCC])&gt;0)*(all_lmics[[2017_births]:[2017_births]]))*0.95</f>
        <v>127.85940464999999</v>
      </c>
      <c r="AQ4">
        <f>SUMPRODUCT((all_lmics[[worldbank_region]:[worldbank_region]]=$A4)*(LEN(all_lmics[fac_cc])&gt;0)*(all_lmics[fac_cc])*(all_lmics[[2017_births]:[2017_births]]))/SUMPRODUCT((all_lmics[[worldbank_region]:[worldbank_region]]=$A4)*(LEN(all_lmics[fac_cc])&gt;0)*(all_lmics[[2017_births]:[2017_births]]))*0.95</f>
        <v>1.4389099000000001</v>
      </c>
      <c r="AR4">
        <f>SUMPRODUCT((all_lmics[[worldbank_region]:[worldbank_region]]=$A4)*(LEN(all_lmics[fac_ctc])&gt;0)*(all_lmics[fac_ctc])*(all_lmics[[2017_births]:[2017_births]]))/SUMPRODUCT((all_lmics[[worldbank_region]:[worldbank_region]]=$A4)*(LEN(all_lmics[fac_ctc])&gt;0)*(all_lmics[[2017_births]:[2017_births]]))*0.95</f>
        <v>2.0255349000000002</v>
      </c>
      <c r="AS4">
        <f>SUMPRODUCT((all_lmics[[worldbank_region]:[worldbank_region]]=$A4)*(LEN(all_lmics[com_cc])&gt;0)*(all_lmics[com_cc])*(all_lmics[[2017_births]:[2017_births]]))/SUMPRODUCT((all_lmics[[worldbank_region]:[worldbank_region]]=$A4)*(LEN(all_lmics[com_cc])&gt;0)*(all_lmics[[2017_births]:[2017_births]]))*0.95</f>
        <v>1.4596142000000003</v>
      </c>
      <c r="AT4">
        <f>SUMPRODUCT((all_lmics[[worldbank_region]:[worldbank_region]]=$A4)*(LEN(all_lmics[com_ctc])&gt;0)*(all_lmics[com_ctc])*(all_lmics[[2017_births]:[2017_births]]))/SUMPRODUCT((all_lmics[[worldbank_region]:[worldbank_region]]=$A4)*(LEN(all_lmics[com_ctc])&gt;0)*(all_lmics[[2017_births]:[2017_births]]))*0.95</f>
        <v>2.0462391999999987</v>
      </c>
      <c r="AU4">
        <f>SUMPRODUCT((all_lmics[[worldbank_region]:[worldbank_region]]=$A4)*(LEN(all_lmics[com_cpad])&gt;0)*(all_lmics[com_cpad])*(all_lmics[[2017_births]:[2017_births]]))/SUMPRODUCT((all_lmics[[worldbank_region]:[worldbank_region]]=$A4)*(LEN(all_lmics[com_cpad])&gt;0)*(all_lmics[[2017_births]:[2017_births]]))*0.95</f>
        <v>2.5879786000000005</v>
      </c>
      <c r="AV4">
        <f>SUMPRODUCT((all_lmics[[worldbank_region]:[worldbank_region]]=$A4)*(LEN(all_lmics[SBA_nfac])&gt;1)*(all_lmics[SBA_nfac])*(all_lmics[[2017_births]:[2017_births]]))/SUMPRODUCT((all_lmics[[worldbank_region]:[worldbank_region]]=$A4)*(LEN(all_lmics[SBA_nfac])&gt;1)*(all_lmics[[2017_births]:[2017_births]]))*0.95</f>
        <v>0.16594914621569512</v>
      </c>
      <c r="AW4">
        <f>VLOOKUP($A4, hbe[],3,FALSE)</f>
        <v>0.2</v>
      </c>
      <c r="AX4">
        <f>VLOOKUP($A4, hbe[], 6, FALSE)</f>
        <v>0.75</v>
      </c>
      <c r="AY4">
        <f>VLOOKUP($A4, hbe[], 9, FALSE)</f>
        <v>0.05</v>
      </c>
    </row>
    <row r="5" spans="1:51" x14ac:dyDescent="0.35">
      <c r="A5" t="s">
        <v>7</v>
      </c>
      <c r="D5">
        <f>SUMPRODUCT((all_lmics[[worldbank_region]:[worldbank_region]]=Table2024[[#This Row],[Setting]])*(all_lmics[[2017_population]:[2017_population]]))</f>
        <v>676963695</v>
      </c>
      <c r="F5" s="41">
        <f>SUMPRODUCT((all_lmics[[worldbank_region]:[worldbank_region]]=Table2024[[#This Row],[Setting]])*(all_lmics[[2017_births]:[2017_births]]))</f>
        <v>17561556.567988999</v>
      </c>
      <c r="G5">
        <f>SUMPRODUCT((all_lmics[worldbank_region]=$A5)*(LEN(all_lmics[birth_dose])&gt;0)*(all_lmics[birth_dose])*(all_lmics[2017_births]))/SUMPRODUCT((all_lmics[worldbank_region]=$A5)*(LEN(all_lmics[birth_dose])&gt;0)*(all_lmics[2017_births]))*0.95</f>
        <v>0.32131641851832116</v>
      </c>
      <c r="H5">
        <f>SUMPRODUCT((all_lmics[worldbank_region]=$A5)*(LEN(all_lmics[HBV3])&gt;0)*(all_lmics[HBV3])*(all_lmics[2017_births]))/SUMPRODUCT((all_lmics[worldbank_region]=$A5)*(LEN(all_lmics[HBV3])&gt;0)*(all_lmics[2017_births]))*0.95</f>
        <v>0.76508284790093406</v>
      </c>
      <c r="I5">
        <f>SUMPRODUCT((all_lmics[[worldbank_region]:[worldbank_region]]=$A5)*(LEN(all_lmics[prev])&gt;1)*(all_lmics[prev])*(all_lmics[[2017_population]:[2017_population]]))/SUMPRODUCT((all_lmics[[worldbank_region]:[worldbank_region]]=$A5)*(LEN(all_lmics[prev])&gt;1)*(all_lmics[[2017_population]:[2017_population]]))</f>
        <v>2.4824149407185619E-2</v>
      </c>
      <c r="J5">
        <f>SUMPRODUCT((all_lmics[[worldbank_region]:[worldbank_region]]=$A5)*(LEN(all_lmics[prev_lb])&gt;1)*(all_lmics[prev_lb])*(all_lmics[[2017_population]:[2017_population]]))/SUMPRODUCT((all_lmics[[worldbank_region]:[worldbank_region]]=$A5)*(LEN(all_lmics[prev_lb])&gt;1)*(all_lmics[[2017_population]:[2017_population]]))</f>
        <v>2.087906907906284E-2</v>
      </c>
      <c r="K5">
        <f>SUMPRODUCT((all_lmics[[worldbank_region]:[worldbank_region]]=$A5)*(LEN(all_lmics[prev_ub])&gt;1)*(all_lmics[prev_ub])*(all_lmics[[2017_population]:[2017_population]]))/SUMPRODUCT((all_lmics[[worldbank_region]:[worldbank_region]]=$A5)*(LEN(all_lmics[prev_ub])&gt;1)*(all_lmics[[2017_population]:[2017_population]]))</f>
        <v>3.219088912667746E-2</v>
      </c>
      <c r="L5">
        <f>SUMPRODUCT((all_lmics[[worldbank_region]:[worldbank_region]]=$A5)*(LEN(all_lmics[sigma])&gt;1)*(all_lmics[sigma])*(all_lmics[[2017_population]:[2017_population]]))/SUMPRODUCT((all_lmics[[worldbank_region]:[worldbank_region]]=$A5)*(LEN(all_lmics[sigma])&gt;1)*(all_lmics[[2017_population]:[2017_population]]))</f>
        <v>3.7585406732101216E-3</v>
      </c>
      <c r="N5">
        <f>SUMPRODUCT((all_lmics[[worldbank_region]:[worldbank_region]]=$A5)*(LEN(all_lmics[SBA])&gt;0)*(all_lmics[SBA])*(all_lmics[[2017_births]:[2017_births]]))/SUMPRODUCT((all_lmics[[worldbank_region]:[worldbank_region]]=$A5)*(LEN(all_lmics[SBA])&gt;0)*(all_lmics[[2017_births]:[2017_births]]))*0.95</f>
        <v>0.6558314255451656</v>
      </c>
      <c r="O5">
        <f>SUMPRODUCT((all_lmics[[worldbank_region]:[worldbank_region]]=$A5)*(LEN(all_lmics[Facility])&gt;0)*(all_lmics[Facility])*(all_lmics[[2017_births]:[2017_births]]))/SUMPRODUCT((all_lmics[[worldbank_region]:[worldbank_region]]=$A5)*(LEN(all_lmics[Facility])&gt;0)*(all_lmics[[2017_births]:[2017_births]]))*0.95</f>
        <v>0.58531322820611575</v>
      </c>
      <c r="P5">
        <f>SUMPRODUCT((all_lmics[[worldbank_region]:[worldbank_region]]=$A5)*(LEN(all_lmics[mu_01])&gt;0)*(all_lmics[mu_01])*(all_lmics[[2017_births]:[2017_births]]))/SUMPRODUCT((all_lmics[[worldbank_region]:[worldbank_region]]=$A5)*(LEN(all_lmics[mu_01])&gt;0)*(all_lmics[[2017_births]:[2017_births]]))*0.95</f>
        <v>3.7528654370857645E-2</v>
      </c>
      <c r="Q5">
        <f>SUMPRODUCT((all_lmics[[worldbank_region]:[worldbank_region]]=$A5)*(LEN(all_lmics[mu_14])&gt;0)*(all_lmics[mu_14])*(all_lmics[[2017_births]:[2017_births]]))/SUMPRODUCT((all_lmics[[worldbank_region]:[worldbank_region]]=$A5)*(LEN(all_lmics[mu_14])&gt;0)*(all_lmics[[2017_births]:[2017_births]]))*0.95</f>
        <v>2.7195467219177549E-3</v>
      </c>
      <c r="R5">
        <f>SUMPRODUCT((all_lmics[[worldbank_region]:[worldbank_region]]=$A5)*(LEN(all_lmics[mu_59])&gt;0)*(all_lmics[mu_59])*(all_lmics[[2017_births]:[2017_births]]))/SUMPRODUCT((all_lmics[[worldbank_region]:[worldbank_region]]=$A5)*(LEN(all_lmics[mu_59])&gt;0)*(all_lmics[[2017_births]:[2017_births]]))*0.95</f>
        <v>9.2933451154017966E-4</v>
      </c>
      <c r="S5">
        <f>SUMPRODUCT((all_lmics[[worldbank_region]:[worldbank_region]]=$A5)*(LEN(all_lmics[mu_1014])&gt;0)*(all_lmics[mu_1014])*(all_lmics[[2017_births]:[2017_births]]))/SUMPRODUCT((all_lmics[[worldbank_region]:[worldbank_region]]=$A5)*(LEN(all_lmics[mu_1014])&gt;0)*(all_lmics[[2017_births]:[2017_births]]))*0.95</f>
        <v>6.8353079747281262E-4</v>
      </c>
      <c r="T5">
        <f>SUMPRODUCT((all_lmics[[worldbank_region]:[worldbank_region]]=$A5)*(LEN(all_lmics[mu_1519])&gt;0)*(all_lmics[mu_1519])*(all_lmics[[2017_births]:[2017_births]]))/SUMPRODUCT((all_lmics[[worldbank_region]:[worldbank_region]]=$A5)*(LEN(all_lmics[mu_1519])&gt;0)*(all_lmics[[2017_births]:[2017_births]]))*0.95</f>
        <v>9.8827906719055336E-4</v>
      </c>
      <c r="U5">
        <f>SUMPRODUCT((all_lmics[[worldbank_region]:[worldbank_region]]=$A5)*(LEN(all_lmics[mu_2024])&gt;0)*(all_lmics[mu_2024])*(all_lmics[[2017_births]:[2017_births]]))/SUMPRODUCT((all_lmics[[worldbank_region]:[worldbank_region]]=$A5)*(LEN(all_lmics[mu_2024])&gt;0)*(all_lmics[[2017_births]:[2017_births]]))*0.95</f>
        <v>1.3550341171628441E-3</v>
      </c>
      <c r="V5">
        <f>SUMPRODUCT((all_lmics[[worldbank_region]:[worldbank_region]]=$A5)*(LEN(all_lmics[mu_2529])&gt;0)*(all_lmics[mu_2529])*(all_lmics[[2017_births]:[2017_births]]))/SUMPRODUCT((all_lmics[[worldbank_region]:[worldbank_region]]=$A5)*(LEN(all_lmics[mu_2529])&gt;0)*(all_lmics[[2017_births]:[2017_births]]))*0.95</f>
        <v>1.5267260806510691E-3</v>
      </c>
      <c r="W5">
        <f>SUMPRODUCT((all_lmics[[worldbank_region]:[worldbank_region]]=$A5)*(LEN(all_lmics[mu_3034])&gt;0)*(all_lmics[mu_3034])*(all_lmics[[2017_births]:[2017_births]]))/SUMPRODUCT((all_lmics[[worldbank_region]:[worldbank_region]]=$A5)*(LEN(all_lmics[mu_3034])&gt;0)*(all_lmics[[2017_births]:[2017_births]]))*0.95</f>
        <v>1.790262617561486E-3</v>
      </c>
      <c r="X5">
        <f>SUMPRODUCT((all_lmics[[worldbank_region]:[worldbank_region]]=$A5)*(LEN(all_lmics[mu_3539])&gt;0)*(all_lmics[mu_3539])*(all_lmics[[2017_births]:[2017_births]]))/SUMPRODUCT((all_lmics[[worldbank_region]:[worldbank_region]]=$A5)*(LEN(all_lmics[mu_3539])&gt;0)*(all_lmics[[2017_births]:[2017_births]]))*0.95</f>
        <v>2.2386868980590739E-3</v>
      </c>
      <c r="Y5">
        <f>SUMPRODUCT((all_lmics[[worldbank_region]:[worldbank_region]]=$A5)*(LEN(all_lmics[mu_4044])&gt;0)*(all_lmics[mu_4044])*(all_lmics[[2017_births]:[2017_births]]))/SUMPRODUCT((all_lmics[[worldbank_region]:[worldbank_region]]=$A5)*(LEN(all_lmics[mu_4044])&gt;0)*(all_lmics[[2017_births]:[2017_births]]))*0.95</f>
        <v>3.0099767353722723E-3</v>
      </c>
      <c r="Z5">
        <f>SUMPRODUCT((all_lmics[[worldbank_region]:[worldbank_region]]=$A5)*(LEN(all_lmics[mu_4549])&gt;0)*(all_lmics[mu_4549])*(all_lmics[[2017_births]:[2017_births]]))/SUMPRODUCT((all_lmics[[worldbank_region]:[worldbank_region]]=$A5)*(LEN(all_lmics[mu_4549])&gt;0)*(all_lmics[[2017_births]:[2017_births]]))*0.95</f>
        <v>4.4392269199766288E-3</v>
      </c>
      <c r="AA5">
        <f>SUMPRODUCT((all_lmics[[worldbank_region]:[worldbank_region]]=$A5)*(LEN(all_lmics[mu_5054])&gt;0)*(all_lmics[mu_5054])*(all_lmics[[2017_births]:[2017_births]]))/SUMPRODUCT((all_lmics[[worldbank_region]:[worldbank_region]]=$A5)*(LEN(all_lmics[mu_5054])&gt;0)*(all_lmics[[2017_births]:[2017_births]]))*0.95</f>
        <v>6.8713343654505802E-3</v>
      </c>
      <c r="AB5">
        <f>SUMPRODUCT((all_lmics[[worldbank_region]:[worldbank_region]]=$A5)*(LEN(all_lmics[mu_5559])&gt;0)*(all_lmics[mu_5559])*(all_lmics[[2017_births]:[2017_births]]))/SUMPRODUCT((all_lmics[[worldbank_region]:[worldbank_region]]=$A5)*(LEN(all_lmics[mu_5559])&gt;0)*(all_lmics[[2017_births]:[2017_births]]))*0.95</f>
        <v>1.0219103311702244E-2</v>
      </c>
      <c r="AC5">
        <f>SUMPRODUCT((all_lmics[[worldbank_region]:[worldbank_region]]=$A5)*(LEN(all_lmics[mu_6064])&gt;0)*(all_lmics[mu_6064])*(all_lmics[[2017_births]:[2017_births]]))/SUMPRODUCT((all_lmics[[worldbank_region]:[worldbank_region]]=$A5)*(LEN(all_lmics[mu_6064])&gt;0)*(all_lmics[[2017_births]:[2017_births]]))*0.95</f>
        <v>1.6654059957675889E-2</v>
      </c>
      <c r="AD5">
        <f>SUMPRODUCT((all_lmics[[worldbank_region]:[worldbank_region]]=$A5)*(LEN(all_lmics[mu_6569])&gt;0)*(all_lmics[mu_6569])*(all_lmics[[2017_births]:[2017_births]]))/SUMPRODUCT((all_lmics[[worldbank_region]:[worldbank_region]]=$A5)*(LEN(all_lmics[mu_6569])&gt;0)*(all_lmics[[2017_births]:[2017_births]]))*0.95</f>
        <v>2.6693116361363702E-2</v>
      </c>
      <c r="AE5">
        <f>SUMPRODUCT((all_lmics[[worldbank_region]:[worldbank_region]]=$A5)*(LEN(all_lmics[mu_7074])&gt;0)*(all_lmics[mu_7074])*(all_lmics[[2017_births]:[2017_births]]))/SUMPRODUCT((all_lmics[[worldbank_region]:[worldbank_region]]=$A5)*(LEN(all_lmics[mu_7074])&gt;0)*(all_lmics[[2017_births]:[2017_births]]))*0.95</f>
        <v>4.4213487526063071E-2</v>
      </c>
      <c r="AF5">
        <f>SUMPRODUCT((all_lmics[[worldbank_region]:[worldbank_region]]=$A5)*(LEN(all_lmics[mu_7579])&gt;0)*(all_lmics[mu_7579])*(all_lmics[[2017_births]:[2017_births]]))/SUMPRODUCT((all_lmics[[worldbank_region]:[worldbank_region]]=$A5)*(LEN(all_lmics[mu_7579])&gt;0)*(all_lmics[[2017_births]:[2017_births]]))*0.95</f>
        <v>7.280146803374371E-2</v>
      </c>
      <c r="AG5">
        <f>SUMPRODUCT((all_lmics[[worldbank_region]:[worldbank_region]]=$A5)*(LEN(all_lmics[mu_8084])&gt;0)*(all_lmics[mu_8084])*(all_lmics[[2017_births]:[2017_births]]))/SUMPRODUCT((all_lmics[[worldbank_region]:[worldbank_region]]=$A5)*(LEN(all_lmics[mu_8084])&gt;0)*(all_lmics[[2017_births]:[2017_births]]))*0.95</f>
        <v>0.11879905986126356</v>
      </c>
      <c r="AH5">
        <f>SUMPRODUCT((all_lmics[[worldbank_region]:[worldbank_region]]=$A5)*(LEN(all_lmics[mu_8589])&gt;0)*(all_lmics[mu_8589])*(all_lmics[[2017_births]:[2017_births]]))/SUMPRODUCT((all_lmics[[worldbank_region]:[worldbank_region]]=$A5)*(LEN(all_lmics[mu_8589])&gt;0)*(all_lmics[[2017_births]:[2017_births]]))*0.95</f>
        <v>0.18879227654895869</v>
      </c>
      <c r="AI5">
        <f>SUMPRODUCT((all_lmics[[worldbank_region]:[worldbank_region]]=$A5)*(LEN(all_lmics[mu_9094])&gt;0)*(all_lmics[mu_9094])*(all_lmics[[2017_births]:[2017_births]]))/SUMPRODUCT((all_lmics[[worldbank_region]:[worldbank_region]]=$A5)*(LEN(all_lmics[mu_9094])&gt;0)*(all_lmics[[2017_births]:[2017_births]]))*0.95</f>
        <v>0.28328898262439633</v>
      </c>
      <c r="AJ5">
        <f>SUMPRODUCT((all_lmics[[worldbank_region]:[worldbank_region]]=$A5)*(LEN(all_lmics[mu_9599])&gt;0)*(all_lmics[mu_9599])*(all_lmics[[2017_births]:[2017_births]]))/SUMPRODUCT((all_lmics[[worldbank_region]:[worldbank_region]]=$A5)*(LEN(all_lmics[mu_9599])&gt;0)*(all_lmics[[2017_births]:[2017_births]]))*0.95</f>
        <v>0.395985128585298</v>
      </c>
      <c r="AK5">
        <f>SUMPRODUCT((all_lmics[[worldbank_region]:[worldbank_region]]=$A5)*(LEN(all_lmics[mu_100])&gt;0)*(all_lmics[mu_100])*(all_lmics[[2017_births]:[2017_births]]))/SUMPRODUCT((all_lmics[[worldbank_region]:[worldbank_region]]=$A5)*(LEN(all_lmics[mu_100])&gt;0)*(all_lmics[[2017_births]:[2017_births]]))*0.95</f>
        <v>0.51000549896347236</v>
      </c>
      <c r="AL5">
        <f>SUMPRODUCT((all_lmics[[worldbank_region]:[worldbank_region]]=$A5)*(LEN(all_lmics[c_A])&gt;0)*(all_lmics[c_A])*(all_lmics[[2017_births]:[2017_births]]))/SUMPRODUCT((all_lmics[[worldbank_region]:[worldbank_region]]=$A5)*(LEN(all_lmics[c_A])&gt;0)*(all_lmics[[2017_births]:[2017_births]]))*0.95</f>
        <v>55.011325100000008</v>
      </c>
      <c r="AM5">
        <f>SUMPRODUCT((all_lmics[[worldbank_region]:[worldbank_region]]=$A5)*(LEN(all_lmics[c_C])&gt;0)*(all_lmics[c_C])*(all_lmics[[2017_births]:[2017_births]]))/SUMPRODUCT((all_lmics[[worldbank_region]:[worldbank_region]]=$A5)*(LEN(all_lmics[c_C])&gt;0)*(all_lmics[[2017_births]:[2017_births]]))*0.95</f>
        <v>55.011325100000008</v>
      </c>
      <c r="AN5">
        <f>SUMPRODUCT((all_lmics[[worldbank_region]:[worldbank_region]]=$A5)*(LEN(all_lmics[c_CC])&gt;0)*(all_lmics[c_CC])*(all_lmics[[2017_births]:[2017_births]]))/SUMPRODUCT((all_lmics[[worldbank_region]:[worldbank_region]]=$A5)*(LEN(all_lmics[c_CC])&gt;0)*(all_lmics[[2017_births]:[2017_births]]))*0.95</f>
        <v>100.35374209999999</v>
      </c>
      <c r="AO5">
        <f>SUMPRODUCT((all_lmics[[worldbank_region]:[worldbank_region]]=$A5)*(LEN(all_lmics[c_DC])&gt;0)*(all_lmics[c_DC])*(all_lmics[[2017_births]:[2017_births]]))/SUMPRODUCT((all_lmics[[worldbank_region]:[worldbank_region]]=$A5)*(LEN(all_lmics[c_DC])&gt;0)*(all_lmics[[2017_births]:[2017_births]]))*0.95</f>
        <v>100.35374209999999</v>
      </c>
      <c r="AP5">
        <f>SUMPRODUCT((all_lmics[[worldbank_region]:[worldbank_region]]=$A5)*(LEN(all_lmics[c_HCC])&gt;0)*(all_lmics[c_HCC])*(all_lmics[[2017_births]:[2017_births]]))/SUMPRODUCT((all_lmics[[worldbank_region]:[worldbank_region]]=$A5)*(LEN(all_lmics[c_HCC])&gt;0)*(all_lmics[[2017_births]:[2017_births]]))*0.95</f>
        <v>100.35374209999999</v>
      </c>
      <c r="AQ5">
        <f>SUMPRODUCT((all_lmics[[worldbank_region]:[worldbank_region]]=$A5)*(LEN(all_lmics[fac_cc])&gt;0)*(all_lmics[fac_cc])*(all_lmics[[2017_births]:[2017_births]]))/SUMPRODUCT((all_lmics[[worldbank_region]:[worldbank_region]]=$A5)*(LEN(all_lmics[fac_cc])&gt;0)*(all_lmics[[2017_births]:[2017_births]]))*0.95</f>
        <v>1.42855775</v>
      </c>
      <c r="AR5">
        <f>SUMPRODUCT((all_lmics[[worldbank_region]:[worldbank_region]]=$A5)*(LEN(all_lmics[fac_ctc])&gt;0)*(all_lmics[fac_ctc])*(all_lmics[[2017_births]:[2017_births]]))/SUMPRODUCT((all_lmics[[worldbank_region]:[worldbank_region]]=$A5)*(LEN(all_lmics[fac_ctc])&gt;0)*(all_lmics[[2017_births]:[2017_births]]))*0.95</f>
        <v>2.0151827500000001</v>
      </c>
      <c r="AS5">
        <f>SUMPRODUCT((all_lmics[[worldbank_region]:[worldbank_region]]=$A5)*(LEN(all_lmics[com_cc])&gt;0)*(all_lmics[com_cc])*(all_lmics[[2017_births]:[2017_births]]))/SUMPRODUCT((all_lmics[[worldbank_region]:[worldbank_region]]=$A5)*(LEN(all_lmics[com_cc])&gt;0)*(all_lmics[[2017_births]:[2017_births]]))*0.95</f>
        <v>1.8840523499999999</v>
      </c>
      <c r="AT5">
        <f>SUMPRODUCT((all_lmics[[worldbank_region]:[worldbank_region]]=$A5)*(LEN(all_lmics[com_ctc])&gt;0)*(all_lmics[com_ctc])*(all_lmics[[2017_births]:[2017_births]]))/SUMPRODUCT((all_lmics[[worldbank_region]:[worldbank_region]]=$A5)*(LEN(all_lmics[com_ctc])&gt;0)*(all_lmics[[2017_births]:[2017_births]]))*0.95</f>
        <v>2.4706773500000003</v>
      </c>
      <c r="AU5">
        <f>SUMPRODUCT((all_lmics[[worldbank_region]:[worldbank_region]]=$A5)*(LEN(all_lmics[com_cpad])&gt;0)*(all_lmics[com_cpad])*(all_lmics[[2017_births]:[2017_births]]))/SUMPRODUCT((all_lmics[[worldbank_region]:[worldbank_region]]=$A5)*(LEN(all_lmics[com_cpad])&gt;0)*(all_lmics[[2017_births]:[2017_births]]))*0.95</f>
        <v>3.0124167500000003</v>
      </c>
      <c r="AV5">
        <f>SUMPRODUCT((all_lmics[[worldbank_region]:[worldbank_region]]=$A5)*(LEN(all_lmics[SBA_nfac])&gt;1)*(all_lmics[SBA_nfac])*(all_lmics[[2017_births]:[2017_births]]))/SUMPRODUCT((all_lmics[[worldbank_region]:[worldbank_region]]=$A5)*(LEN(all_lmics[SBA_nfac])&gt;1)*(all_lmics[[2017_births]:[2017_births]]))*0.95</f>
        <v>0.1961568961704136</v>
      </c>
      <c r="AW5">
        <f>VLOOKUP($A5, hbe[],3,FALSE)</f>
        <v>0.2</v>
      </c>
      <c r="AX5">
        <f>VLOOKUP($A5, hbe[], 6, FALSE)</f>
        <v>0.75</v>
      </c>
      <c r="AY5">
        <f>VLOOKUP($A5, hbe[], 9, FALSE)</f>
        <v>0.05</v>
      </c>
    </row>
    <row r="6" spans="1:51" x14ac:dyDescent="0.35">
      <c r="A6" t="s">
        <v>37</v>
      </c>
      <c r="D6">
        <f>SUMPRODUCT((all_lmics[[worldbank_region]:[worldbank_region]]=Table2024[[#This Row],[Setting]])*(all_lmics[[2017_population]:[2017_population]]))</f>
        <v>1614556701</v>
      </c>
      <c r="F6" s="41">
        <f>SUMPRODUCT((all_lmics[[worldbank_region]:[worldbank_region]]=Table2024[[#This Row],[Setting]])*(all_lmics[[2017_births]:[2017_births]]))</f>
        <v>30530318.765715003</v>
      </c>
      <c r="G6">
        <f>SUMPRODUCT((all_lmics[worldbank_region]=$A6)*(LEN(all_lmics[birth_dose])&gt;0)*(all_lmics[birth_dose])*(all_lmics[2017_births]))/SUMPRODUCT((all_lmics[worldbank_region]=$A6)*(LEN(all_lmics[birth_dose])&gt;0)*(all_lmics[2017_births]))*0.95</f>
        <v>0.43224492528280922</v>
      </c>
      <c r="H6">
        <f>SUMPRODUCT((all_lmics[worldbank_region]=$A6)*(LEN(all_lmics[HBV3])&gt;0)*(all_lmics[HBV3])*(all_lmics[2017_births]))/SUMPRODUCT((all_lmics[worldbank_region]=$A6)*(LEN(all_lmics[HBV3])&gt;0)*(all_lmics[2017_births]))*0.95</f>
        <v>0.84628474821977473</v>
      </c>
      <c r="I6">
        <f>SUMPRODUCT((all_lmics[[worldbank_region]:[worldbank_region]]=$A6)*(LEN(all_lmics[prev])&gt;1)*(all_lmics[prev])*(all_lmics[[2017_population]:[2017_population]]))/SUMPRODUCT((all_lmics[[worldbank_region]:[worldbank_region]]=$A6)*(LEN(all_lmics[prev])&gt;1)*(all_lmics[[2017_population]:[2017_population]]))</f>
        <v>2.9042976123168401E-2</v>
      </c>
      <c r="J6">
        <f>SUMPRODUCT((all_lmics[[worldbank_region]:[worldbank_region]]=$A6)*(LEN(all_lmics[prev_lb])&gt;1)*(all_lmics[prev_lb])*(all_lmics[[2017_population]:[2017_population]]))/SUMPRODUCT((all_lmics[[worldbank_region]:[worldbank_region]]=$A6)*(LEN(all_lmics[prev_lb])&gt;1)*(all_lmics[[2017_population]:[2017_population]]))</f>
        <v>2.3703460291678725E-2</v>
      </c>
      <c r="K6">
        <f>SUMPRODUCT((all_lmics[[worldbank_region]:[worldbank_region]]=$A6)*(LEN(all_lmics[prev_ub])&gt;1)*(all_lmics[prev_ub])*(all_lmics[[2017_population]:[2017_population]]))/SUMPRODUCT((all_lmics[[worldbank_region]:[worldbank_region]]=$A6)*(LEN(all_lmics[prev_ub])&gt;1)*(all_lmics[[2017_population]:[2017_population]]))</f>
        <v>3.2561757047722864E-2</v>
      </c>
      <c r="L6">
        <f>SUMPRODUCT((all_lmics[[worldbank_region]:[worldbank_region]]=$A6)*(LEN(all_lmics[sigma])&gt;1)*(all_lmics[sigma])*(all_lmics[[2017_population]:[2017_population]]))/SUMPRODUCT((all_lmics[[worldbank_region]:[worldbank_region]]=$A6)*(LEN(all_lmics[sigma])&gt;1)*(all_lmics[[2017_population]:[2017_population]]))</f>
        <v>1.7952963900788081E-3</v>
      </c>
      <c r="N6">
        <f>SUMPRODUCT((all_lmics[[worldbank_region]:[worldbank_region]]=$A6)*(LEN(all_lmics[SBA])&gt;0)*(all_lmics[SBA])*(all_lmics[[2017_births]:[2017_births]]))/SUMPRODUCT((all_lmics[[worldbank_region]:[worldbank_region]]=$A6)*(LEN(all_lmics[SBA])&gt;0)*(all_lmics[[2017_births]:[2017_births]]))*0.95</f>
        <v>0.76797514735430972</v>
      </c>
      <c r="O6">
        <f>SUMPRODUCT((all_lmics[[worldbank_region]:[worldbank_region]]=$A6)*(LEN(all_lmics[Facility])&gt;0)*(all_lmics[Facility])*(all_lmics[[2017_births]:[2017_births]]))/SUMPRODUCT((all_lmics[[worldbank_region]:[worldbank_region]]=$A6)*(LEN(all_lmics[Facility])&gt;0)*(all_lmics[[2017_births]:[2017_births]]))*0.95</f>
        <v>0.69397521936677697</v>
      </c>
      <c r="P6">
        <f>SUMPRODUCT((all_lmics[[worldbank_region]:[worldbank_region]]=$A6)*(LEN(all_lmics[mu_01])&gt;0)*(all_lmics[mu_01])*(all_lmics[[2017_births]:[2017_births]]))/SUMPRODUCT((all_lmics[[worldbank_region]:[worldbank_region]]=$A6)*(LEN(all_lmics[mu_01])&gt;0)*(all_lmics[[2017_births]:[2017_births]]))*0.95</f>
        <v>3.0650466415835149E-2</v>
      </c>
      <c r="Q6">
        <f>SUMPRODUCT((all_lmics[[worldbank_region]:[worldbank_region]]=$A6)*(LEN(all_lmics[mu_14])&gt;0)*(all_lmics[mu_14])*(all_lmics[[2017_births]:[2017_births]]))/SUMPRODUCT((all_lmics[[worldbank_region]:[worldbank_region]]=$A6)*(LEN(all_lmics[mu_14])&gt;0)*(all_lmics[[2017_births]:[2017_births]]))*0.95</f>
        <v>1.7796009004311406E-3</v>
      </c>
      <c r="R6">
        <f>SUMPRODUCT((all_lmics[[worldbank_region]:[worldbank_region]]=$A6)*(LEN(all_lmics[mu_59])&gt;0)*(all_lmics[mu_59])*(all_lmics[[2017_births]:[2017_births]]))/SUMPRODUCT((all_lmics[[worldbank_region]:[worldbank_region]]=$A6)*(LEN(all_lmics[mu_59])&gt;0)*(all_lmics[[2017_births]:[2017_births]]))*0.95</f>
        <v>6.9167578988289921E-4</v>
      </c>
      <c r="S6">
        <f>SUMPRODUCT((all_lmics[[worldbank_region]:[worldbank_region]]=$A6)*(LEN(all_lmics[mu_1014])&gt;0)*(all_lmics[mu_1014])*(all_lmics[[2017_births]:[2017_births]]))/SUMPRODUCT((all_lmics[[worldbank_region]:[worldbank_region]]=$A6)*(LEN(all_lmics[mu_1014])&gt;0)*(all_lmics[[2017_births]:[2017_births]]))*0.95</f>
        <v>5.8157404939059389E-4</v>
      </c>
      <c r="T6">
        <f>SUMPRODUCT((all_lmics[[worldbank_region]:[worldbank_region]]=$A6)*(LEN(all_lmics[mu_1519])&gt;0)*(all_lmics[mu_1519])*(all_lmics[[2017_births]:[2017_births]]))/SUMPRODUCT((all_lmics[[worldbank_region]:[worldbank_region]]=$A6)*(LEN(all_lmics[mu_1519])&gt;0)*(all_lmics[[2017_births]:[2017_births]]))*0.95</f>
        <v>9.1879436515098281E-4</v>
      </c>
      <c r="U6">
        <f>SUMPRODUCT((all_lmics[[worldbank_region]:[worldbank_region]]=$A6)*(LEN(all_lmics[mu_2024])&gt;0)*(all_lmics[mu_2024])*(all_lmics[[2017_births]:[2017_births]]))/SUMPRODUCT((all_lmics[[worldbank_region]:[worldbank_region]]=$A6)*(LEN(all_lmics[mu_2024])&gt;0)*(all_lmics[[2017_births]:[2017_births]]))*0.95</f>
        <v>1.2896067978607584E-3</v>
      </c>
      <c r="V6">
        <f>SUMPRODUCT((all_lmics[[worldbank_region]:[worldbank_region]]=$A6)*(LEN(all_lmics[mu_2529])&gt;0)*(all_lmics[mu_2529])*(all_lmics[[2017_births]:[2017_births]]))/SUMPRODUCT((all_lmics[[worldbank_region]:[worldbank_region]]=$A6)*(LEN(all_lmics[mu_2529])&gt;0)*(all_lmics[[2017_births]:[2017_births]]))*0.95</f>
        <v>1.4389508076339829E-3</v>
      </c>
      <c r="W6">
        <f>SUMPRODUCT((all_lmics[[worldbank_region]:[worldbank_region]]=$A6)*(LEN(all_lmics[mu_3034])&gt;0)*(all_lmics[mu_3034])*(all_lmics[[2017_births]:[2017_births]]))/SUMPRODUCT((all_lmics[[worldbank_region]:[worldbank_region]]=$A6)*(LEN(all_lmics[mu_3034])&gt;0)*(all_lmics[[2017_births]:[2017_births]]))*0.95</f>
        <v>1.8228020919462118E-3</v>
      </c>
      <c r="X6">
        <f>SUMPRODUCT((all_lmics[[worldbank_region]:[worldbank_region]]=$A6)*(LEN(all_lmics[mu_3539])&gt;0)*(all_lmics[mu_3539])*(all_lmics[[2017_births]:[2017_births]]))/SUMPRODUCT((all_lmics[[worldbank_region]:[worldbank_region]]=$A6)*(LEN(all_lmics[mu_3539])&gt;0)*(all_lmics[[2017_births]:[2017_births]]))*0.95</f>
        <v>2.5094705005535697E-3</v>
      </c>
      <c r="Y6">
        <f>SUMPRODUCT((all_lmics[[worldbank_region]:[worldbank_region]]=$A6)*(LEN(all_lmics[mu_4044])&gt;0)*(all_lmics[mu_4044])*(all_lmics[[2017_births]:[2017_births]]))/SUMPRODUCT((all_lmics[[worldbank_region]:[worldbank_region]]=$A6)*(LEN(all_lmics[mu_4044])&gt;0)*(all_lmics[[2017_births]:[2017_births]]))*0.95</f>
        <v>3.4034531489680166E-3</v>
      </c>
      <c r="Z6">
        <f>SUMPRODUCT((all_lmics[[worldbank_region]:[worldbank_region]]=$A6)*(LEN(all_lmics[mu_4549])&gt;0)*(all_lmics[mu_4549])*(all_lmics[[2017_births]:[2017_births]]))/SUMPRODUCT((all_lmics[[worldbank_region]:[worldbank_region]]=$A6)*(LEN(all_lmics[mu_4549])&gt;0)*(all_lmics[[2017_births]:[2017_births]]))*0.95</f>
        <v>4.9395575937361217E-3</v>
      </c>
      <c r="AA6">
        <f>SUMPRODUCT((all_lmics[[worldbank_region]:[worldbank_region]]=$A6)*(LEN(all_lmics[mu_5054])&gt;0)*(all_lmics[mu_5054])*(all_lmics[[2017_births]:[2017_births]]))/SUMPRODUCT((all_lmics[[worldbank_region]:[worldbank_region]]=$A6)*(LEN(all_lmics[mu_5054])&gt;0)*(all_lmics[[2017_births]:[2017_births]]))*0.95</f>
        <v>7.943521677160531E-3</v>
      </c>
      <c r="AB6">
        <f>SUMPRODUCT((all_lmics[[worldbank_region]:[worldbank_region]]=$A6)*(LEN(all_lmics[mu_5559])&gt;0)*(all_lmics[mu_5559])*(all_lmics[[2017_births]:[2017_births]]))/SUMPRODUCT((all_lmics[[worldbank_region]:[worldbank_region]]=$A6)*(LEN(all_lmics[mu_5559])&gt;0)*(all_lmics[[2017_births]:[2017_births]]))*0.95</f>
        <v>1.2018187437113999E-2</v>
      </c>
      <c r="AC6">
        <f>SUMPRODUCT((all_lmics[[worldbank_region]:[worldbank_region]]=$A6)*(LEN(all_lmics[mu_6064])&gt;0)*(all_lmics[mu_6064])*(all_lmics[[2017_births]:[2017_births]]))/SUMPRODUCT((all_lmics[[worldbank_region]:[worldbank_region]]=$A6)*(LEN(all_lmics[mu_6064])&gt;0)*(all_lmics[[2017_births]:[2017_births]]))*0.95</f>
        <v>1.8298496797637294E-2</v>
      </c>
      <c r="AD6">
        <f>SUMPRODUCT((all_lmics[[worldbank_region]:[worldbank_region]]=$A6)*(LEN(all_lmics[mu_6569])&gt;0)*(all_lmics[mu_6569])*(all_lmics[[2017_births]:[2017_births]]))/SUMPRODUCT((all_lmics[[worldbank_region]:[worldbank_region]]=$A6)*(LEN(all_lmics[mu_6569])&gt;0)*(all_lmics[[2017_births]:[2017_births]]))*0.95</f>
        <v>2.8051037141733147E-2</v>
      </c>
      <c r="AE6">
        <f>SUMPRODUCT((all_lmics[[worldbank_region]:[worldbank_region]]=$A6)*(LEN(all_lmics[mu_7074])&gt;0)*(all_lmics[mu_7074])*(all_lmics[[2017_births]:[2017_births]]))/SUMPRODUCT((all_lmics[[worldbank_region]:[worldbank_region]]=$A6)*(LEN(all_lmics[mu_7074])&gt;0)*(all_lmics[[2017_births]:[2017_births]]))*0.95</f>
        <v>4.5096838521324893E-2</v>
      </c>
      <c r="AF6">
        <f>SUMPRODUCT((all_lmics[[worldbank_region]:[worldbank_region]]=$A6)*(LEN(all_lmics[mu_7579])&gt;0)*(all_lmics[mu_7579])*(all_lmics[[2017_births]:[2017_births]]))/SUMPRODUCT((all_lmics[[worldbank_region]:[worldbank_region]]=$A6)*(LEN(all_lmics[mu_7579])&gt;0)*(all_lmics[[2017_births]:[2017_births]]))*0.95</f>
        <v>6.7433466640471548E-2</v>
      </c>
      <c r="AG6">
        <f>SUMPRODUCT((all_lmics[[worldbank_region]:[worldbank_region]]=$A6)*(LEN(all_lmics[mu_8084])&gt;0)*(all_lmics[mu_8084])*(all_lmics[[2017_births]:[2017_births]]))/SUMPRODUCT((all_lmics[[worldbank_region]:[worldbank_region]]=$A6)*(LEN(all_lmics[mu_8084])&gt;0)*(all_lmics[[2017_births]:[2017_births]]))*0.95</f>
        <v>0.1052544854330713</v>
      </c>
      <c r="AH6">
        <f>SUMPRODUCT((all_lmics[[worldbank_region]:[worldbank_region]]=$A6)*(LEN(all_lmics[mu_8589])&gt;0)*(all_lmics[mu_8589])*(all_lmics[[2017_births]:[2017_births]]))/SUMPRODUCT((all_lmics[[worldbank_region]:[worldbank_region]]=$A6)*(LEN(all_lmics[mu_8589])&gt;0)*(all_lmics[[2017_births]:[2017_births]]))*0.95</f>
        <v>0.15923588140548708</v>
      </c>
      <c r="AI6">
        <f>SUMPRODUCT((all_lmics[[worldbank_region]:[worldbank_region]]=$A6)*(LEN(all_lmics[mu_9094])&gt;0)*(all_lmics[mu_9094])*(all_lmics[[2017_births]:[2017_births]]))/SUMPRODUCT((all_lmics[[worldbank_region]:[worldbank_region]]=$A6)*(LEN(all_lmics[mu_9094])&gt;0)*(all_lmics[[2017_births]:[2017_births]]))*0.95</f>
        <v>0.23304037690693885</v>
      </c>
      <c r="AJ6">
        <f>SUMPRODUCT((all_lmics[[worldbank_region]:[worldbank_region]]=$A6)*(LEN(all_lmics[mu_9599])&gt;0)*(all_lmics[mu_9599])*(all_lmics[[2017_births]:[2017_births]]))/SUMPRODUCT((all_lmics[[worldbank_region]:[worldbank_region]]=$A6)*(LEN(all_lmics[mu_9599])&gt;0)*(all_lmics[[2017_births]:[2017_births]]))*0.95</f>
        <v>0.23171740595479703</v>
      </c>
      <c r="AK6">
        <f>SUMPRODUCT((all_lmics[[worldbank_region]:[worldbank_region]]=$A6)*(LEN(all_lmics[mu_100])&gt;0)*(all_lmics[mu_100])*(all_lmics[[2017_births]:[2017_births]]))/SUMPRODUCT((all_lmics[[worldbank_region]:[worldbank_region]]=$A6)*(LEN(all_lmics[mu_100])&gt;0)*(all_lmics[[2017_births]:[2017_births]]))*0.95</f>
        <v>0.32347560513753371</v>
      </c>
      <c r="AL6">
        <f>SUMPRODUCT((all_lmics[[worldbank_region]:[worldbank_region]]=$A6)*(LEN(all_lmics[c_A])&gt;0)*(all_lmics[c_A])*(all_lmics[[2017_births]:[2017_births]]))/SUMPRODUCT((all_lmics[[worldbank_region]:[worldbank_region]]=$A6)*(LEN(all_lmics[c_A])&gt;0)*(all_lmics[[2017_births]:[2017_births]]))*0.95</f>
        <v>54.493717600000004</v>
      </c>
      <c r="AM6">
        <f>SUMPRODUCT((all_lmics[[worldbank_region]:[worldbank_region]]=$A6)*(LEN(all_lmics[c_C])&gt;0)*(all_lmics[c_C])*(all_lmics[[2017_births]:[2017_births]]))/SUMPRODUCT((all_lmics[[worldbank_region]:[worldbank_region]]=$A6)*(LEN(all_lmics[c_C])&gt;0)*(all_lmics[[2017_births]:[2017_births]]))*0.95</f>
        <v>54.493717600000004</v>
      </c>
      <c r="AN6">
        <f>SUMPRODUCT((all_lmics[[worldbank_region]:[worldbank_region]]=$A6)*(LEN(all_lmics[c_CC])&gt;0)*(all_lmics[c_CC])*(all_lmics[[2017_births]:[2017_births]]))/SUMPRODUCT((all_lmics[[worldbank_region]:[worldbank_region]]=$A6)*(LEN(all_lmics[c_CC])&gt;0)*(all_lmics[[2017_births]:[2017_births]]))*0.95</f>
        <v>99.836134599999994</v>
      </c>
      <c r="AO6">
        <f>SUMPRODUCT((all_lmics[[worldbank_region]:[worldbank_region]]=$A6)*(LEN(all_lmics[c_DC])&gt;0)*(all_lmics[c_DC])*(all_lmics[[2017_births]:[2017_births]]))/SUMPRODUCT((all_lmics[[worldbank_region]:[worldbank_region]]=$A6)*(LEN(all_lmics[c_DC])&gt;0)*(all_lmics[[2017_births]:[2017_births]]))*0.95</f>
        <v>99.836134599999994</v>
      </c>
      <c r="AP6">
        <f>SUMPRODUCT((all_lmics[[worldbank_region]:[worldbank_region]]=$A6)*(LEN(all_lmics[c_HCC])&gt;0)*(all_lmics[c_HCC])*(all_lmics[[2017_births]:[2017_births]]))/SUMPRODUCT((all_lmics[[worldbank_region]:[worldbank_region]]=$A6)*(LEN(all_lmics[c_HCC])&gt;0)*(all_lmics[[2017_births]:[2017_births]]))*0.95</f>
        <v>99.836134599999994</v>
      </c>
      <c r="AQ6">
        <f>SUMPRODUCT((all_lmics[[worldbank_region]:[worldbank_region]]=$A6)*(LEN(all_lmics[fac_cc])&gt;0)*(all_lmics[fac_cc])*(all_lmics[[2017_births]:[2017_births]]))/SUMPRODUCT((all_lmics[[worldbank_region]:[worldbank_region]]=$A6)*(LEN(all_lmics[fac_cc])&gt;0)*(all_lmics[[2017_births]:[2017_births]]))*0.95</f>
        <v>0.91095025000000007</v>
      </c>
      <c r="AR6">
        <f>SUMPRODUCT((all_lmics[[worldbank_region]:[worldbank_region]]=$A6)*(LEN(all_lmics[fac_ctc])&gt;0)*(all_lmics[fac_ctc])*(all_lmics[[2017_births]:[2017_births]]))/SUMPRODUCT((all_lmics[[worldbank_region]:[worldbank_region]]=$A6)*(LEN(all_lmics[fac_ctc])&gt;0)*(all_lmics[[2017_births]:[2017_births]]))*0.95</f>
        <v>1.4975752499999999</v>
      </c>
      <c r="AS6">
        <f>SUMPRODUCT((all_lmics[[worldbank_region]:[worldbank_region]]=$A6)*(LEN(all_lmics[com_cc])&gt;0)*(all_lmics[com_cc])*(all_lmics[[2017_births]:[2017_births]]))/SUMPRODUCT((all_lmics[[worldbank_region]:[worldbank_region]]=$A6)*(LEN(all_lmics[com_cc])&gt;0)*(all_lmics[[2017_births]:[2017_births]]))*0.95</f>
        <v>31.377327699999995</v>
      </c>
      <c r="AT6">
        <f>SUMPRODUCT((all_lmics[[worldbank_region]:[worldbank_region]]=$A6)*(LEN(all_lmics[com_ctc])&gt;0)*(all_lmics[com_ctc])*(all_lmics[[2017_births]:[2017_births]]))/SUMPRODUCT((all_lmics[[worldbank_region]:[worldbank_region]]=$A6)*(LEN(all_lmics[com_ctc])&gt;0)*(all_lmics[[2017_births]:[2017_births]]))*0.95</f>
        <v>31.963952699999997</v>
      </c>
      <c r="AU6">
        <f>SUMPRODUCT((all_lmics[[worldbank_region]:[worldbank_region]]=$A6)*(LEN(all_lmics[com_cpad])&gt;0)*(all_lmics[com_cpad])*(all_lmics[[2017_births]:[2017_births]]))/SUMPRODUCT((all_lmics[[worldbank_region]:[worldbank_region]]=$A6)*(LEN(all_lmics[com_cpad])&gt;0)*(all_lmics[[2017_births]:[2017_births]]))*0.95</f>
        <v>32.505692099999997</v>
      </c>
      <c r="AV6">
        <f>SUMPRODUCT((all_lmics[[worldbank_region]:[worldbank_region]]=$A6)*(LEN(all_lmics[SBA_nfac])&gt;1)*(all_lmics[SBA_nfac])*(all_lmics[[2017_births]:[2017_births]]))/SUMPRODUCT((all_lmics[[worldbank_region]:[worldbank_region]]=$A6)*(LEN(all_lmics[SBA_nfac])&gt;1)*(all_lmics[[2017_births]:[2017_births]]))*0.95</f>
        <v>0.12224145355001162</v>
      </c>
      <c r="AW6">
        <f>VLOOKUP($A6, hbe[],3,FALSE)</f>
        <v>0.2</v>
      </c>
      <c r="AX6">
        <f>VLOOKUP($A6, hbe[], 6, FALSE)</f>
        <v>0.75</v>
      </c>
      <c r="AY6">
        <f>VLOOKUP($A6, hbe[], 9, FALSE)</f>
        <v>0.05</v>
      </c>
    </row>
    <row r="7" spans="1:51" x14ac:dyDescent="0.35">
      <c r="A7" t="s">
        <v>15</v>
      </c>
      <c r="D7">
        <f>SUMPRODUCT((all_lmics[[worldbank_region]:[worldbank_region]]=Table2024[[#This Row],[Setting]])*(all_lmics[[2017_population]:[2017_population]]))</f>
        <v>1047317753</v>
      </c>
      <c r="F7" s="41">
        <f>SUMPRODUCT((all_lmics[[worldbank_region]:[worldbank_region]]=Table2024[[#This Row],[Setting]])*(all_lmics[[2017_births]:[2017_births]]))</f>
        <v>37535857.140928008</v>
      </c>
      <c r="G7">
        <f>SUMPRODUCT((all_lmics[worldbank_region]=$A7)*(LEN(all_lmics[birth_dose])&gt;0)*(all_lmics[birth_dose])*(all_lmics[2017_births]))/SUMPRODUCT((all_lmics[worldbank_region]=$A7)*(LEN(all_lmics[birth_dose])&gt;0)*(all_lmics[2017_births]))*0.95</f>
        <v>9.4675320532947346E-2</v>
      </c>
      <c r="H7">
        <f>SUMPRODUCT((all_lmics[worldbank_region]=$A7)*(LEN(all_lmics[HBV3])&gt;0)*(all_lmics[HBV3])*(all_lmics[2017_births]))/SUMPRODUCT((all_lmics[worldbank_region]=$A7)*(LEN(all_lmics[HBV3])&gt;0)*(all_lmics[2017_births]))*0.95</f>
        <v>0.68453843825940519</v>
      </c>
      <c r="I7">
        <f>SUMPRODUCT((all_lmics[[worldbank_region]:[worldbank_region]]=$A7)*(LEN(all_lmics[prev])&gt;1)*(all_lmics[prev])*(all_lmics[[2017_population]:[2017_population]]))/SUMPRODUCT((all_lmics[[worldbank_region]:[worldbank_region]]=$A7)*(LEN(all_lmics[prev])&gt;1)*(all_lmics[[2017_population]:[2017_population]]))</f>
        <v>7.7526856610941636E-2</v>
      </c>
      <c r="J7">
        <f>SUMPRODUCT((all_lmics[[worldbank_region]:[worldbank_region]]=$A7)*(LEN(all_lmics[prev_lb])&gt;1)*(all_lmics[prev_lb])*(all_lmics[[2017_population]:[2017_population]]))/SUMPRODUCT((all_lmics[[worldbank_region]:[worldbank_region]]=$A7)*(LEN(all_lmics[prev_lb])&gt;1)*(all_lmics[[2017_population]:[2017_population]]))</f>
        <v>6.7595842196222014E-2</v>
      </c>
      <c r="K7">
        <f>SUMPRODUCT((all_lmics[[worldbank_region]:[worldbank_region]]=$A7)*(LEN(all_lmics[prev_ub])&gt;1)*(all_lmics[prev_ub])*(all_lmics[[2017_population]:[2017_population]]))/SUMPRODUCT((all_lmics[[worldbank_region]:[worldbank_region]]=$A7)*(LEN(all_lmics[prev_ub])&gt;1)*(all_lmics[[2017_population]:[2017_population]]))</f>
        <v>8.7275545121572137E-2</v>
      </c>
      <c r="L7">
        <f>SUMPRODUCT((all_lmics[[worldbank_region]:[worldbank_region]]=$A7)*(LEN(all_lmics[sigma])&gt;1)*(all_lmics[sigma])*(all_lmics[[2017_population]:[2017_population]]))/SUMPRODUCT((all_lmics[[worldbank_region]:[worldbank_region]]=$A7)*(LEN(all_lmics[sigma])&gt;1)*(all_lmics[[2017_population]:[2017_population]]))</f>
        <v>4.9738206686890376E-3</v>
      </c>
      <c r="N7">
        <f>SUMPRODUCT((all_lmics[[worldbank_region]:[worldbank_region]]=$A7)*(LEN(all_lmics[SBA])&gt;0)*(all_lmics[SBA])*(all_lmics[[2017_births]:[2017_births]]))/SUMPRODUCT((all_lmics[[worldbank_region]:[worldbank_region]]=$A7)*(LEN(all_lmics[SBA])&gt;0)*(all_lmics[[2017_births]:[2017_births]]))*0.95</f>
        <v>0.55693757842112601</v>
      </c>
      <c r="O7">
        <f>SUMPRODUCT((all_lmics[[worldbank_region]:[worldbank_region]]=$A7)*(LEN(all_lmics[Facility])&gt;0)*(all_lmics[Facility])*(all_lmics[[2017_births]:[2017_births]]))/SUMPRODUCT((all_lmics[[worldbank_region]:[worldbank_region]]=$A7)*(LEN(all_lmics[Facility])&gt;0)*(all_lmics[[2017_births]:[2017_births]]))*0.95</f>
        <v>0.55302137992259071</v>
      </c>
      <c r="P7">
        <f>SUMPRODUCT((all_lmics[[worldbank_region]:[worldbank_region]]=$A7)*(LEN(all_lmics[mu_01])&gt;0)*(all_lmics[mu_01])*(all_lmics[[2017_births]:[2017_births]]))/SUMPRODUCT((all_lmics[[worldbank_region]:[worldbank_region]]=$A7)*(LEN(all_lmics[mu_01])&gt;0)*(all_lmics[[2017_births]:[2017_births]]))*0.95</f>
        <v>4.9973407541079047E-2</v>
      </c>
      <c r="Q7">
        <f>SUMPRODUCT((all_lmics[[worldbank_region]:[worldbank_region]]=$A7)*(LEN(all_lmics[mu_14])&gt;0)*(all_lmics[mu_14])*(all_lmics[[2017_births]:[2017_births]]))/SUMPRODUCT((all_lmics[[worldbank_region]:[worldbank_region]]=$A7)*(LEN(all_lmics[mu_14])&gt;0)*(all_lmics[[2017_births]:[2017_births]]))*0.95</f>
        <v>6.4681494370425379E-3</v>
      </c>
      <c r="R7">
        <f>SUMPRODUCT((all_lmics[[worldbank_region]:[worldbank_region]]=$A7)*(LEN(all_lmics[mu_59])&gt;0)*(all_lmics[mu_59])*(all_lmics[[2017_births]:[2017_births]]))/SUMPRODUCT((all_lmics[[worldbank_region]:[worldbank_region]]=$A7)*(LEN(all_lmics[mu_59])&gt;0)*(all_lmics[[2017_births]:[2017_births]]))*0.95</f>
        <v>2.7428209080636841E-3</v>
      </c>
      <c r="S7">
        <f>SUMPRODUCT((all_lmics[[worldbank_region]:[worldbank_region]]=$A7)*(LEN(all_lmics[mu_1014])&gt;0)*(all_lmics[mu_1014])*(all_lmics[[2017_births]:[2017_births]]))/SUMPRODUCT((all_lmics[[worldbank_region]:[worldbank_region]]=$A7)*(LEN(all_lmics[mu_1014])&gt;0)*(all_lmics[[2017_births]:[2017_births]]))*0.95</f>
        <v>1.7011483534484591E-3</v>
      </c>
      <c r="T7">
        <f>SUMPRODUCT((all_lmics[[worldbank_region]:[worldbank_region]]=$A7)*(LEN(all_lmics[mu_1519])&gt;0)*(all_lmics[mu_1519])*(all_lmics[[2017_births]:[2017_births]]))/SUMPRODUCT((all_lmics[[worldbank_region]:[worldbank_region]]=$A7)*(LEN(all_lmics[mu_1519])&gt;0)*(all_lmics[[2017_births]:[2017_births]]))*0.95</f>
        <v>2.5573385581477296E-3</v>
      </c>
      <c r="U7">
        <f>SUMPRODUCT((all_lmics[[worldbank_region]:[worldbank_region]]=$A7)*(LEN(all_lmics[mu_2024])&gt;0)*(all_lmics[mu_2024])*(all_lmics[[2017_births]:[2017_births]]))/SUMPRODUCT((all_lmics[[worldbank_region]:[worldbank_region]]=$A7)*(LEN(all_lmics[mu_2024])&gt;0)*(all_lmics[[2017_births]:[2017_births]]))*0.95</f>
        <v>3.4202921459336615E-3</v>
      </c>
      <c r="V7">
        <f>SUMPRODUCT((all_lmics[[worldbank_region]:[worldbank_region]]=$A7)*(LEN(all_lmics[mu_2529])&gt;0)*(all_lmics[mu_2529])*(all_lmics[[2017_births]:[2017_births]]))/SUMPRODUCT((all_lmics[[worldbank_region]:[worldbank_region]]=$A7)*(LEN(all_lmics[mu_2529])&gt;0)*(all_lmics[[2017_births]:[2017_births]]))*0.95</f>
        <v>4.0512745354172024E-3</v>
      </c>
      <c r="W7">
        <f>SUMPRODUCT((all_lmics[[worldbank_region]:[worldbank_region]]=$A7)*(LEN(all_lmics[mu_3034])&gt;0)*(all_lmics[mu_3034])*(all_lmics[[2017_births]:[2017_births]]))/SUMPRODUCT((all_lmics[[worldbank_region]:[worldbank_region]]=$A7)*(LEN(all_lmics[mu_3034])&gt;0)*(all_lmics[[2017_births]:[2017_births]]))*0.95</f>
        <v>4.7202844701818162E-3</v>
      </c>
      <c r="X7">
        <f>SUMPRODUCT((all_lmics[[worldbank_region]:[worldbank_region]]=$A7)*(LEN(all_lmics[mu_3539])&gt;0)*(all_lmics[mu_3539])*(all_lmics[[2017_births]:[2017_births]]))/SUMPRODUCT((all_lmics[[worldbank_region]:[worldbank_region]]=$A7)*(LEN(all_lmics[mu_3539])&gt;0)*(all_lmics[[2017_births]:[2017_births]]))*0.95</f>
        <v>5.7535136304124306E-3</v>
      </c>
      <c r="Y7">
        <f>SUMPRODUCT((all_lmics[[worldbank_region]:[worldbank_region]]=$A7)*(LEN(all_lmics[mu_4044])&gt;0)*(all_lmics[mu_4044])*(all_lmics[[2017_births]:[2017_births]]))/SUMPRODUCT((all_lmics[[worldbank_region]:[worldbank_region]]=$A7)*(LEN(all_lmics[mu_4044])&gt;0)*(all_lmics[[2017_births]:[2017_births]]))*0.95</f>
        <v>6.9032081508854015E-3</v>
      </c>
      <c r="Z7">
        <f>SUMPRODUCT((all_lmics[[worldbank_region]:[worldbank_region]]=$A7)*(LEN(all_lmics[mu_4549])&gt;0)*(all_lmics[mu_4549])*(all_lmics[[2017_births]:[2017_births]]))/SUMPRODUCT((all_lmics[[worldbank_region]:[worldbank_region]]=$A7)*(LEN(all_lmics[mu_4549])&gt;0)*(all_lmics[[2017_births]:[2017_births]]))*0.95</f>
        <v>8.3246901453658852E-3</v>
      </c>
      <c r="AA7">
        <f>SUMPRODUCT((all_lmics[[worldbank_region]:[worldbank_region]]=$A7)*(LEN(all_lmics[mu_5054])&gt;0)*(all_lmics[mu_5054])*(all_lmics[[2017_births]:[2017_births]]))/SUMPRODUCT((all_lmics[[worldbank_region]:[worldbank_region]]=$A7)*(LEN(all_lmics[mu_5054])&gt;0)*(all_lmics[[2017_births]:[2017_births]]))*0.95</f>
        <v>1.1100648711374728E-2</v>
      </c>
      <c r="AB7">
        <f>SUMPRODUCT((all_lmics[[worldbank_region]:[worldbank_region]]=$A7)*(LEN(all_lmics[mu_5559])&gt;0)*(all_lmics[mu_5559])*(all_lmics[[2017_births]:[2017_births]]))/SUMPRODUCT((all_lmics[[worldbank_region]:[worldbank_region]]=$A7)*(LEN(all_lmics[mu_5559])&gt;0)*(all_lmics[[2017_births]:[2017_births]]))*0.95</f>
        <v>1.4909778148969011E-2</v>
      </c>
      <c r="AC7">
        <f>SUMPRODUCT((all_lmics[[worldbank_region]:[worldbank_region]]=$A7)*(LEN(all_lmics[mu_6064])&gt;0)*(all_lmics[mu_6064])*(all_lmics[[2017_births]:[2017_births]]))/SUMPRODUCT((all_lmics[[worldbank_region]:[worldbank_region]]=$A7)*(LEN(all_lmics[mu_6064])&gt;0)*(all_lmics[[2017_births]:[2017_births]]))*0.95</f>
        <v>2.2426823271807304E-2</v>
      </c>
      <c r="AD7">
        <f>SUMPRODUCT((all_lmics[[worldbank_region]:[worldbank_region]]=$A7)*(LEN(all_lmics[mu_6569])&gt;0)*(all_lmics[mu_6569])*(all_lmics[[2017_births]:[2017_births]]))/SUMPRODUCT((all_lmics[[worldbank_region]:[worldbank_region]]=$A7)*(LEN(all_lmics[mu_6569])&gt;0)*(all_lmics[[2017_births]:[2017_births]]))*0.95</f>
        <v>3.4644954635511073E-2</v>
      </c>
      <c r="AE7">
        <f>SUMPRODUCT((all_lmics[[worldbank_region]:[worldbank_region]]=$A7)*(LEN(all_lmics[mu_7074])&gt;0)*(all_lmics[mu_7074])*(all_lmics[[2017_births]:[2017_births]]))/SUMPRODUCT((all_lmics[[worldbank_region]:[worldbank_region]]=$A7)*(LEN(all_lmics[mu_7074])&gt;0)*(all_lmics[[2017_births]:[2017_births]]))*0.95</f>
        <v>5.5984714108881492E-2</v>
      </c>
      <c r="AF7">
        <f>SUMPRODUCT((all_lmics[[worldbank_region]:[worldbank_region]]=$A7)*(LEN(all_lmics[mu_7579])&gt;0)*(all_lmics[mu_7579])*(all_lmics[[2017_births]:[2017_births]]))/SUMPRODUCT((all_lmics[[worldbank_region]:[worldbank_region]]=$A7)*(LEN(all_lmics[mu_7579])&gt;0)*(all_lmics[[2017_births]:[2017_births]]))*0.95</f>
        <v>9.0957427995520063E-2</v>
      </c>
      <c r="AG7">
        <f>SUMPRODUCT((all_lmics[[worldbank_region]:[worldbank_region]]=$A7)*(LEN(all_lmics[mu_8084])&gt;0)*(all_lmics[mu_8084])*(all_lmics[[2017_births]:[2017_births]]))/SUMPRODUCT((all_lmics[[worldbank_region]:[worldbank_region]]=$A7)*(LEN(all_lmics[mu_8084])&gt;0)*(all_lmics[[2017_births]:[2017_births]]))*0.95</f>
        <v>0.14871250469799094</v>
      </c>
      <c r="AH7">
        <f>SUMPRODUCT((all_lmics[[worldbank_region]:[worldbank_region]]=$A7)*(LEN(all_lmics[mu_8589])&gt;0)*(all_lmics[mu_8589])*(all_lmics[[2017_births]:[2017_births]]))/SUMPRODUCT((all_lmics[[worldbank_region]:[worldbank_region]]=$A7)*(LEN(all_lmics[mu_8589])&gt;0)*(all_lmics[[2017_births]:[2017_births]]))*0.95</f>
        <v>0.23532759906533415</v>
      </c>
      <c r="AI7">
        <f>SUMPRODUCT((all_lmics[[worldbank_region]:[worldbank_region]]=$A7)*(LEN(all_lmics[mu_9094])&gt;0)*(all_lmics[mu_9094])*(all_lmics[[2017_births]:[2017_births]]))/SUMPRODUCT((all_lmics[[worldbank_region]:[worldbank_region]]=$A7)*(LEN(all_lmics[mu_9094])&gt;0)*(all_lmics[[2017_births]:[2017_births]]))*0.95</f>
        <v>0.35742083783014622</v>
      </c>
      <c r="AJ7">
        <f>SUMPRODUCT((all_lmics[[worldbank_region]:[worldbank_region]]=$A7)*(LEN(all_lmics[mu_9599])&gt;0)*(all_lmics[mu_9599])*(all_lmics[[2017_births]:[2017_births]]))/SUMPRODUCT((all_lmics[[worldbank_region]:[worldbank_region]]=$A7)*(LEN(all_lmics[mu_9599])&gt;0)*(all_lmics[[2017_births]:[2017_births]]))*0.95</f>
        <v>0.48372622516139141</v>
      </c>
      <c r="AK7">
        <f>SUMPRODUCT((all_lmics[[worldbank_region]:[worldbank_region]]=$A7)*(LEN(all_lmics[mu_100])&gt;0)*(all_lmics[mu_100])*(all_lmics[[2017_births]:[2017_births]]))/SUMPRODUCT((all_lmics[[worldbank_region]:[worldbank_region]]=$A7)*(LEN(all_lmics[mu_100])&gt;0)*(all_lmics[[2017_births]:[2017_births]]))*0.95</f>
        <v>0.64877818385866359</v>
      </c>
      <c r="AL7">
        <f>SUMPRODUCT((all_lmics[[worldbank_region]:[worldbank_region]]=$A7)*(LEN(all_lmics[c_A])&gt;0)*(all_lmics[c_A])*(all_lmics[[2017_births]:[2017_births]]))/SUMPRODUCT((all_lmics[[worldbank_region]:[worldbank_region]]=$A7)*(LEN(all_lmics[c_A])&gt;0)*(all_lmics[[2017_births]:[2017_births]]))*0.95</f>
        <v>28.416651749999978</v>
      </c>
      <c r="AM7">
        <f>SUMPRODUCT((all_lmics[[worldbank_region]:[worldbank_region]]=$A7)*(LEN(all_lmics[c_C])&gt;0)*(all_lmics[c_C])*(all_lmics[[2017_births]:[2017_births]]))/SUMPRODUCT((all_lmics[[worldbank_region]:[worldbank_region]]=$A7)*(LEN(all_lmics[c_C])&gt;0)*(all_lmics[[2017_births]:[2017_births]]))*0.95</f>
        <v>28.416651749999978</v>
      </c>
      <c r="AN7">
        <f>SUMPRODUCT((all_lmics[[worldbank_region]:[worldbank_region]]=$A7)*(LEN(all_lmics[c_CC])&gt;0)*(all_lmics[c_CC])*(all_lmics[[2017_births]:[2017_births]]))/SUMPRODUCT((all_lmics[[worldbank_region]:[worldbank_region]]=$A7)*(LEN(all_lmics[c_CC])&gt;0)*(all_lmics[[2017_births]:[2017_births]]))*0.95</f>
        <v>73.759068749999983</v>
      </c>
      <c r="AO7">
        <f>SUMPRODUCT((all_lmics[[worldbank_region]:[worldbank_region]]=$A7)*(LEN(all_lmics[c_DC])&gt;0)*(all_lmics[c_DC])*(all_lmics[[2017_births]:[2017_births]]))/SUMPRODUCT((all_lmics[[worldbank_region]:[worldbank_region]]=$A7)*(LEN(all_lmics[c_DC])&gt;0)*(all_lmics[[2017_births]:[2017_births]]))*0.95</f>
        <v>73.759068749999983</v>
      </c>
      <c r="AP7">
        <f>SUMPRODUCT((all_lmics[[worldbank_region]:[worldbank_region]]=$A7)*(LEN(all_lmics[c_HCC])&gt;0)*(all_lmics[c_HCC])*(all_lmics[[2017_births]:[2017_births]]))/SUMPRODUCT((all_lmics[[worldbank_region]:[worldbank_region]]=$A7)*(LEN(all_lmics[c_HCC])&gt;0)*(all_lmics[[2017_births]:[2017_births]]))*0.95</f>
        <v>73.759068749999983</v>
      </c>
      <c r="AQ7">
        <f>SUMPRODUCT((all_lmics[[worldbank_region]:[worldbank_region]]=$A7)*(LEN(all_lmics[fac_cc])&gt;0)*(all_lmics[fac_cc])*(all_lmics[[2017_births]:[2017_births]]))/SUMPRODUCT((all_lmics[[worldbank_region]:[worldbank_region]]=$A7)*(LEN(all_lmics[fac_cc])&gt;0)*(all_lmics[[2017_births]:[2017_births]]))*0.95</f>
        <v>0.92130239999999963</v>
      </c>
      <c r="AR7">
        <f>SUMPRODUCT((all_lmics[[worldbank_region]:[worldbank_region]]=$A7)*(LEN(all_lmics[fac_ctc])&gt;0)*(all_lmics[fac_ctc])*(all_lmics[[2017_births]:[2017_births]]))/SUMPRODUCT((all_lmics[[worldbank_region]:[worldbank_region]]=$A7)*(LEN(all_lmics[fac_ctc])&gt;0)*(all_lmics[[2017_births]:[2017_births]]))*0.95</f>
        <v>1.5079273999999994</v>
      </c>
      <c r="AS7">
        <f>SUMPRODUCT((all_lmics[[worldbank_region]:[worldbank_region]]=$A7)*(LEN(all_lmics[com_cc])&gt;0)*(all_lmics[com_cc])*(all_lmics[[2017_births]:[2017_births]]))/SUMPRODUCT((all_lmics[[worldbank_region]:[worldbank_region]]=$A7)*(LEN(all_lmics[com_cc])&gt;0)*(all_lmics[[2017_births]:[2017_births]]))*0.95</f>
        <v>5.5073048499999979</v>
      </c>
      <c r="AT7">
        <f>SUMPRODUCT((all_lmics[[worldbank_region]:[worldbank_region]]=$A7)*(LEN(all_lmics[com_ctc])&gt;0)*(all_lmics[com_ctc])*(all_lmics[[2017_births]:[2017_births]]))/SUMPRODUCT((all_lmics[[worldbank_region]:[worldbank_region]]=$A7)*(LEN(all_lmics[com_ctc])&gt;0)*(all_lmics[[2017_births]:[2017_births]]))*0.95</f>
        <v>6.0939298499999976</v>
      </c>
      <c r="AU7">
        <f>SUMPRODUCT((all_lmics[[worldbank_region]:[worldbank_region]]=$A7)*(LEN(all_lmics[com_cpad])&gt;0)*(all_lmics[com_cpad])*(all_lmics[[2017_births]:[2017_births]]))/SUMPRODUCT((all_lmics[[worldbank_region]:[worldbank_region]]=$A7)*(LEN(all_lmics[com_cpad])&gt;0)*(all_lmics[[2017_births]:[2017_births]]))*0.95</f>
        <v>6.6356692499999967</v>
      </c>
      <c r="AV7">
        <f>SUMPRODUCT((all_lmics[[worldbank_region]:[worldbank_region]]=$A7)*(LEN(all_lmics[SBA_nfac])&gt;1)*(all_lmics[SBA_nfac])*(all_lmics[[2017_births]:[2017_births]]))/SUMPRODUCT((all_lmics[[worldbank_region]:[worldbank_region]]=$A7)*(LEN(all_lmics[SBA_nfac])&gt;1)*(all_lmics[[2017_births]:[2017_births]]))*0.95</f>
        <v>5.6808131089849383E-2</v>
      </c>
      <c r="AW7">
        <f>VLOOKUP($A7, hbe[],3,FALSE)</f>
        <v>0.2</v>
      </c>
      <c r="AX7">
        <f>VLOOKUP($A7, hbe[], 6, FALSE)</f>
        <v>0.75</v>
      </c>
      <c r="AY7">
        <f>VLOOKUP($A7, hbe[], 9, FALSE)</f>
        <v>0.05</v>
      </c>
    </row>
    <row r="8" spans="1:51" x14ac:dyDescent="0.35">
      <c r="A8" t="s">
        <v>493</v>
      </c>
      <c r="D8">
        <f>SUM(D2:D7)</f>
        <v>6493976405</v>
      </c>
      <c r="F8" s="41">
        <f>SUM(F2:F7)</f>
        <v>131575101.23101401</v>
      </c>
      <c r="G8">
        <f>SUMPRODUCT((LEN(all_lmics[birth_dose])&gt;0)*(all_lmics[birth_dose])*(all_lmics[2017_births]))/SUMPRODUCT((LEN(all_lmics[birth_dose])&gt;0)*(all_lmics[2017_births]))*0.95</f>
        <v>0.41968409483144675</v>
      </c>
      <c r="H8">
        <f>SUMPRODUCT((LEN(all_lmics[HBV3])&gt;0)*(all_lmics[HBV3])*(all_lmics[2017_births]))/SUMPRODUCT((LEN(all_lmics[HBV3])&gt;0)*(all_lmics[2017_births]))*0.95</f>
        <v>0.80037485245167372</v>
      </c>
      <c r="I8">
        <f>SUMPRODUCT((LEN(all_lmics[prev])&gt;1)*(all_lmics[prev])*(all_lmics[[2017_population]:[2017_population]]))/SUMPRODUCT(((LEN(all_lmics[prev])&gt;1)*(all_lmics[[2017_population]:[2017_population]])))</f>
        <v>4.4456665816163476E-2</v>
      </c>
      <c r="J8">
        <f>SUMPRODUCT((LEN(all_lmics[prev_lb])&gt;1)*(all_lmics[prev_lb])*(all_lmics[[2017_population]:[2017_population]]))/SUMPRODUCT((LEN(all_lmics[prev_lb])&gt;1)*(all_lmics[[2017_population]:[2017_population]]))</f>
        <v>3.8260166662956445E-2</v>
      </c>
      <c r="K8">
        <f>SUMPRODUCT((LEN(all_lmics[prev_ub])&gt;1)*(all_lmics[prev_ub])*(all_lmics[[2017_population]:[2017_population]]))/SUMPRODUCT((LEN(all_lmics[prev_ub])&gt;1)*(all_lmics[[2017_population]:[2017_population]]))</f>
        <v>5.1622846411637627E-2</v>
      </c>
      <c r="L8">
        <f>SUMPRODUCT((LEN(all_lmics[sigma])&gt;1)*(all_lmics[sigma])*(all_lmics[[2017_population]:[2017_population]]))/SUMPRODUCT((LEN(all_lmics[sigma])&gt;1)*(all_lmics[[2017_population]:[2017_population]]))</f>
        <v>3.6562535926171502E-3</v>
      </c>
      <c r="N8">
        <f>SUMPRODUCT((LEN(all_lmics[SBA])&gt;0)*(all_lmics[SBA])*(all_lmics[[2017_births]:[2017_births]]))/SUMPRODUCT((LEN(all_lmics[SBA])&gt;0)*(all_lmics[[2017_births]:[2017_births]]))*0.95</f>
        <v>0.74102546600723962</v>
      </c>
      <c r="O8">
        <f>SUMPRODUCT((LEN(all_lmics[Facility])&gt;0)*(all_lmics[Facility])*(all_lmics[[2017_births]:[2017_births]]))/SUMPRODUCT((LEN(all_lmics[Facility])&gt;0)*(all_lmics[[2017_births]:[2017_births]]))*0.95</f>
        <v>0.70356337673985792</v>
      </c>
      <c r="P8">
        <f>SUMPRODUCT((LEN(all_lmics[mu_01])&gt;0)*(all_lmics[mu_01])*(all_lmics[[2017_births]:[2017_births]]))/SUMPRODUCT((LEN(all_lmics[mu_01])&gt;0)*(all_lmics[[2017_births]:[2017_births]]))*0.95</f>
        <v>3.0852741309603426E-2</v>
      </c>
      <c r="Q8">
        <f>SUMPRODUCT((LEN(all_lmics[mu_14])&gt;0)*(all_lmics[mu_14])*(all_lmics[[2017_births]:[2017_births]]))/SUMPRODUCT((LEN(all_lmics[mu_14])&gt;0)*(all_lmics[[2017_births]:[2017_births]]))*0.95</f>
        <v>2.8945458512594038E-3</v>
      </c>
      <c r="R8">
        <f>SUMPRODUCT((LEN(all_lmics[mu_59])&gt;0)*(all_lmics[mu_59])*(all_lmics[[2017_births]:[2017_births]]))/SUMPRODUCT((LEN(all_lmics[mu_59])&gt;0)*(all_lmics[[2017_births]:[2017_births]]))*0.95</f>
        <v>1.1943503175172508E-3</v>
      </c>
      <c r="S8">
        <f>SUMPRODUCT((LEN(all_lmics[mu_1014])&gt;0)*(all_lmics[mu_1014])*(all_lmics[[2017_births]:[2017_births]]))/SUMPRODUCT((LEN(all_lmics[mu_1014])&gt;0)*(all_lmics[[2017_births]:[2017_births]]))*0.95</f>
        <v>8.2701784893616235E-4</v>
      </c>
      <c r="T8">
        <f>SUMPRODUCT((LEN(all_lmics[mu_1519])&gt;0)*(all_lmics[mu_1519])*(all_lmics[[2017_births]:[2017_births]]))/SUMPRODUCT((LEN(all_lmics[mu_1519])&gt;0)*(all_lmics[[2017_births]:[2017_births]]))*0.95</f>
        <v>1.3006780986043393E-3</v>
      </c>
      <c r="U8">
        <f>SUMPRODUCT((LEN(all_lmics[mu_2024])&gt;0)*(all_lmics[mu_2024])*(all_lmics[[2017_births]:[2017_births]]))/SUMPRODUCT((LEN(all_lmics[mu_2024])&gt;0)*(all_lmics[[2017_births]:[2017_births]]))*0.95</f>
        <v>1.7824614969451039E-3</v>
      </c>
      <c r="V8">
        <f>SUMPRODUCT((LEN(all_lmics[mu_2529])&gt;0)*(all_lmics[mu_2529])*(all_lmics[[2017_births]:[2017_births]]))/SUMPRODUCT((LEN(all_lmics[mu_2529])&gt;0)*(all_lmics[[2017_births]:[2017_births]]))*0.95</f>
        <v>2.0815322304494305E-3</v>
      </c>
      <c r="W8">
        <f>SUMPRODUCT((LEN(all_lmics[mu_3034])&gt;0)*(all_lmics[mu_3034])*(all_lmics[[2017_births]:[2017_births]]))/SUMPRODUCT((LEN(all_lmics[mu_3034])&gt;0)*(all_lmics[[2017_births]:[2017_births]]))*0.95</f>
        <v>2.4884313390048673E-3</v>
      </c>
      <c r="X8">
        <f>SUMPRODUCT((LEN(all_lmics[mu_3539])&gt;0)*(all_lmics[mu_3539])*(all_lmics[[2017_births]:[2017_births]]))/SUMPRODUCT((LEN(all_lmics[mu_3539])&gt;0)*(all_lmics[[2017_births]:[2017_births]]))*0.95</f>
        <v>3.1430084981332318E-3</v>
      </c>
      <c r="Y8">
        <f>SUMPRODUCT((LEN(all_lmics[mu_4044])&gt;0)*(all_lmics[mu_4044])*(all_lmics[[2017_births]:[2017_births]]))/SUMPRODUCT((LEN(all_lmics[mu_4044])&gt;0)*(all_lmics[[2017_births]:[2017_births]]))*0.95</f>
        <v>3.9980436556421714E-3</v>
      </c>
      <c r="Z8">
        <f>SUMPRODUCT((LEN(all_lmics[mu_4549])&gt;0)*(all_lmics[mu_4549])*(all_lmics[[2017_births]:[2017_births]]))/SUMPRODUCT((LEN(all_lmics[mu_4549])&gt;0)*(all_lmics[[2017_births]:[2017_births]]))*0.95</f>
        <v>5.3128821198893238E-3</v>
      </c>
      <c r="AA8">
        <f>SUMPRODUCT((LEN(all_lmics[mu_5054])&gt;0)*(all_lmics[mu_5054])*(all_lmics[[2017_births]:[2017_births]]))/SUMPRODUCT((LEN(all_lmics[mu_5054])&gt;0)*(all_lmics[[2017_births]:[2017_births]]))*0.95</f>
        <v>7.752704677264053E-3</v>
      </c>
      <c r="AB8">
        <f>SUMPRODUCT((LEN(all_lmics[mu_5559])&gt;0)*(all_lmics[mu_5559])*(all_lmics[[2017_births]:[2017_births]]))/SUMPRODUCT((LEN(all_lmics[mu_5559])&gt;0)*(all_lmics[[2017_births]:[2017_births]]))*0.95</f>
        <v>1.1221661874074022E-2</v>
      </c>
      <c r="AC8">
        <f>SUMPRODUCT((LEN(all_lmics[mu_6064])&gt;0)*(all_lmics[mu_6064])*(all_lmics[[2017_births]:[2017_births]]))/SUMPRODUCT((LEN(all_lmics[mu_6064])&gt;0)*(all_lmics[[2017_births]:[2017_births]]))*0.95</f>
        <v>1.738469178245225E-2</v>
      </c>
      <c r="AD8">
        <f>SUMPRODUCT((LEN(all_lmics[mu_6569])&gt;0)*(all_lmics[mu_6569])*(all_lmics[[2017_births]:[2017_births]]))/SUMPRODUCT((LEN(all_lmics[mu_6569])&gt;0)*(all_lmics[[2017_births]:[2017_births]]))*0.95</f>
        <v>2.7174109830655525E-2</v>
      </c>
      <c r="AE8">
        <f>SUMPRODUCT((LEN(all_lmics[mu_7074])&gt;0)*(all_lmics[mu_7074])*(all_lmics[[2017_births]:[2017_births]]))/SUMPRODUCT((LEN(all_lmics[mu_7074])&gt;0)*(all_lmics[[2017_births]:[2017_births]]))*0.95</f>
        <v>4.4226046545017099E-2</v>
      </c>
      <c r="AF8">
        <f>SUMPRODUCT((LEN(all_lmics[mu_7579])&gt;0)*(all_lmics[mu_7579])*(all_lmics[[2017_births]:[2017_births]]))/SUMPRODUCT((LEN(all_lmics[mu_7579])&gt;0)*(all_lmics[[2017_births]:[2017_births]]))*0.95</f>
        <v>7.0697222655049283E-2</v>
      </c>
      <c r="AG8">
        <f>SUMPRODUCT((LEN(all_lmics[mu_8084])&gt;0)*(all_lmics[mu_8084])*(all_lmics[[2017_births]:[2017_births]]))/SUMPRODUCT((LEN(all_lmics[mu_8084])&gt;0)*(all_lmics[[2017_births]:[2017_births]]))*0.95</f>
        <v>0.11317612022570631</v>
      </c>
      <c r="AH8">
        <f>SUMPRODUCT((LEN(all_lmics[mu_8589])&gt;0)*(all_lmics[mu_8589])*(all_lmics[[2017_births]:[2017_births]]))/SUMPRODUCT((LEN(all_lmics[mu_8589])&gt;0)*(all_lmics[[2017_births]:[2017_births]]))*0.95</f>
        <v>0.1768039062259468</v>
      </c>
      <c r="AI8">
        <f>SUMPRODUCT((LEN(all_lmics[mu_9094])&gt;0)*(all_lmics[mu_9094])*(all_lmics[[2017_births]:[2017_births]]))/SUMPRODUCT((LEN(all_lmics[mu_9094])&gt;0)*(all_lmics[[2017_births]:[2017_births]]))*0.95</f>
        <v>0.26346837765605857</v>
      </c>
      <c r="AJ8">
        <f>SUMPRODUCT((LEN(all_lmics[mu_9599])&gt;0)*(all_lmics[mu_9599])*(all_lmics[[2017_births]:[2017_births]]))/SUMPRODUCT((LEN(all_lmics[mu_9599])&gt;0)*(all_lmics[[2017_births]:[2017_births]]))*0.95</f>
        <v>0.34340451189331594</v>
      </c>
      <c r="AK8">
        <f>SUMPRODUCT((LEN(all_lmics[mu_100])&gt;0)*(all_lmics[mu_100])*(all_lmics[[2017_births]:[2017_births]]))/SUMPRODUCT((LEN(all_lmics[mu_100])&gt;0)*(all_lmics[[2017_births]:[2017_births]]))*0.95</f>
        <v>0.46120485858277166</v>
      </c>
      <c r="AL8">
        <f>SUMPRODUCT((LEN(all_lmics[c_A])&gt;0)*(all_lmics[c_A])*(all_lmics[[2017_births]:[2017_births]]))/SUMPRODUCT((LEN(all_lmics[c_A])&gt;0)*(all_lmics[[2017_births]:[2017_births]]))*0.95</f>
        <v>52.018005739714717</v>
      </c>
      <c r="AM8">
        <f>SUMPRODUCT((LEN(all_lmics[c_C])&gt;0)*(all_lmics[c_C])*(all_lmics[[2017_births]:[2017_births]]))/SUMPRODUCT((LEN(all_lmics[c_C])&gt;0)*(all_lmics[[2017_births]:[2017_births]]))*0.95</f>
        <v>52.018005739714717</v>
      </c>
      <c r="AN8">
        <f>SUMPRODUCT((LEN(all_lmics[c_CC])&gt;0)*(all_lmics[c_CC])*(all_lmics[[2017_births]:[2017_births]]))/SUMPRODUCT((LEN(all_lmics[c_CC])&gt;0)*(all_lmics[[2017_births]:[2017_births]]))*0.95</f>
        <v>97.360422739714707</v>
      </c>
      <c r="AO8">
        <f>SUMPRODUCT((LEN(all_lmics[c_DC])&gt;0)*(all_lmics[c_DC])*(all_lmics[[2017_births]:[2017_births]]))/SUMPRODUCT((LEN(all_lmics[c_DC])&gt;0)*(all_lmics[[2017_births]:[2017_births]]))*0.95</f>
        <v>97.360422739714707</v>
      </c>
      <c r="AP8">
        <f>SUMPRODUCT((LEN(all_lmics[c_HCC])&gt;0)*(all_lmics[c_HCC])*(all_lmics[[2017_births]:[2017_births]]))/SUMPRODUCT((LEN(all_lmics[c_HCC])&gt;0)*(all_lmics[[2017_births]:[2017_births]]))*0.95</f>
        <v>97.360422739714707</v>
      </c>
      <c r="AQ8">
        <f>SUMPRODUCT((LEN(all_lmics[fac_cc])&gt;0)*(all_lmics[fac_cc])*(all_lmics[[2017_births]:[2017_births]]))/SUMPRODUCT((LEN(all_lmics[fac_cc])&gt;0)*(all_lmics[[2017_births]:[2017_births]]))*0.95</f>
        <v>1.3684589940799057</v>
      </c>
      <c r="AR8">
        <f>SUMPRODUCT((LEN(all_lmics[fac_ctc])&gt;0)*(all_lmics[fac_ctc])*(all_lmics[[2017_births]:[2017_births]]))/SUMPRODUCT((LEN(all_lmics[fac_ctc])&gt;0)*(all_lmics[[2017_births]:[2017_births]]))*0.95</f>
        <v>1.9550839940799061</v>
      </c>
      <c r="AS8">
        <f>SUMPRODUCT((LEN(all_lmics[com_cc])&gt;0)*(all_lmics[com_cc])*(all_lmics[[2017_births]:[2017_births]]))/SUMPRODUCT((LEN(all_lmics[com_cc])&gt;0)*(all_lmics[[2017_births]:[2017_births]]))*0.95</f>
        <v>10.13539838390296</v>
      </c>
      <c r="AT8">
        <f>SUMPRODUCT((LEN(all_lmics[com_ctc])&gt;0)*(all_lmics[com_ctc])*(all_lmics[[2017_births]:[2017_births]]))/SUMPRODUCT((LEN(all_lmics[com_ctc])&gt;0)*(all_lmics[[2017_births]:[2017_births]]))*0.95</f>
        <v>10.722023383902958</v>
      </c>
      <c r="AU8">
        <f>SUMPRODUCT((LEN(all_lmics[com_cpad])&gt;0)*(all_lmics[com_cpad])*(all_lmics[[2017_births]:[2017_births]]))/SUMPRODUCT((LEN(all_lmics[com_cpad])&gt;0)*(all_lmics[[2017_births]:[2017_births]]))*0.95</f>
        <v>11.263762783902953</v>
      </c>
      <c r="AV8">
        <f>SUMPRODUCT((LEN(all_lmics[SBA_nfac])&gt;1)*(all_lmics[SBA_nfac])*(all_lmics[[2017_births]:[2017_births]]))/SUMPRODUCT((LEN(all_lmics[SBA_nfac])&gt;1)*(all_lmics[[2017_births]:[2017_births]]))*0.95</f>
        <v>0.14138964683797905</v>
      </c>
      <c r="AW8">
        <f>SUMPRODUCT(AW2:AW7,$F$2:$F$7)/SUM($F$2:$F$7)</f>
        <v>0.19999999999999998</v>
      </c>
      <c r="AX8">
        <f t="shared" ref="AX8:AY8" si="0">SUMPRODUCT(AX2:AX7,$F$2:$F$7)/SUM($F$2:$F$7)</f>
        <v>0.75</v>
      </c>
      <c r="AY8">
        <f t="shared" si="0"/>
        <v>4.9999999999999996E-2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Y8"/>
  <sheetViews>
    <sheetView topLeftCell="AG1" workbookViewId="0">
      <selection activeCell="AY8" sqref="AY8"/>
    </sheetView>
  </sheetViews>
  <sheetFormatPr defaultRowHeight="14.5" x14ac:dyDescent="0.35"/>
  <cols>
    <col min="1" max="1" width="42" customWidth="1"/>
    <col min="6" max="6" width="14" customWidth="1"/>
  </cols>
  <sheetData>
    <row r="1" spans="1:51" x14ac:dyDescent="0.35">
      <c r="A1" t="s">
        <v>441</v>
      </c>
      <c r="B1" t="s">
        <v>442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240</v>
      </c>
      <c r="J1" t="s">
        <v>450</v>
      </c>
      <c r="K1" t="s">
        <v>451</v>
      </c>
      <c r="L1" t="s">
        <v>244</v>
      </c>
      <c r="M1" t="s">
        <v>452</v>
      </c>
      <c r="N1" t="s">
        <v>453</v>
      </c>
      <c r="O1" t="s">
        <v>454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455</v>
      </c>
      <c r="AW1" t="s">
        <v>374</v>
      </c>
      <c r="AX1" t="s">
        <v>377</v>
      </c>
      <c r="AY1" t="s">
        <v>456</v>
      </c>
    </row>
    <row r="2" spans="1:51" x14ac:dyDescent="0.35">
      <c r="A2" s="14" t="s">
        <v>11</v>
      </c>
      <c r="D2">
        <f>SUMPRODUCT((all_lmics[[worldbank_region]:[worldbank_region]]=Table202425[[#This Row],[Setting]])*(all_lmics[[2017_population]:[2017_population]]))</f>
        <v>465351556</v>
      </c>
      <c r="F2" s="41">
        <f>SUMPRODUCT((all_lmics[[worldbank_region]:[worldbank_region]]=Table202425[[#This Row],[Setting]])*(all_lmics[[2017_births]:[2017_births]]))</f>
        <v>6695467.8521889988</v>
      </c>
      <c r="G2">
        <f>SUMPRODUCT((all_lmics[worldbank_region]=$A2)*(LEN(all_lmics[birth_dose])&gt;0)*(all_lmics[birth_dose])*(all_lmics[2017_births]))/SUMPRODUCT((all_lmics[worldbank_region]=$A2)*(LEN(all_lmics[birth_dose])&gt;0)*(all_lmics[2017_births]))*1.05</f>
        <v>0.66684687915879803</v>
      </c>
      <c r="H2">
        <f>SUMPRODUCT((all_lmics[worldbank_region]=$A2)*(LEN(all_lmics[HBV3])&gt;0)*(all_lmics[HBV3])*(all_lmics[2017_births]))/SUMPRODUCT((all_lmics[worldbank_region]=$A2)*(LEN(all_lmics[HBV3])&gt;0)*(all_lmics[2017_births]))*1.05</f>
        <v>0.96575504920197819</v>
      </c>
      <c r="I2">
        <f>SUMPRODUCT((all_lmics[[worldbank_region]:[worldbank_region]]=$A2)*(LEN(all_lmics[prev])&gt;1)*(all_lmics[prev])*(all_lmics[[2017_population]:[2017_population]]))/SUMPRODUCT((all_lmics[[worldbank_region]:[worldbank_region]]=$A2)*(LEN(all_lmics[prev])&gt;1)*(all_lmics[[2017_population]:[2017_population]]))</f>
        <v>2.6627910862122694E-2</v>
      </c>
      <c r="J2">
        <f>SUMPRODUCT((all_lmics[[worldbank_region]:[worldbank_region]]=$A2)*(LEN(all_lmics[prev_lb])&gt;1)*(all_lmics[prev_lb])*(all_lmics[[2017_population]:[2017_population]]))/SUMPRODUCT((all_lmics[[worldbank_region]:[worldbank_region]]=$A2)*(LEN(all_lmics[prev_lb])&gt;1)*(all_lmics[[2017_population]:[2017_population]]))</f>
        <v>1.7978947126464931E-2</v>
      </c>
      <c r="K2">
        <f>SUMPRODUCT((all_lmics[[worldbank_region]:[worldbank_region]]=$A2)*(LEN(all_lmics[prev_ub])&gt;1)*(all_lmics[prev_ub])*(all_lmics[[2017_population]:[2017_population]]))/SUMPRODUCT((all_lmics[[worldbank_region]:[worldbank_region]]=$A2)*(LEN(all_lmics[prev_ub])&gt;1)*(all_lmics[[2017_population]:[2017_population]]))</f>
        <v>3.4613649020426379E-2</v>
      </c>
      <c r="L2">
        <f>SUMPRODUCT((all_lmics[[worldbank_region]:[worldbank_region]]=$A2)*(LEN(all_lmics[sigma])&gt;1)*(all_lmics[sigma])*(all_lmics[[2017_population]:[2017_population]]))/SUMPRODUCT((all_lmics[[worldbank_region]:[worldbank_region]]=$A2)*(LEN(all_lmics[sigma])&gt;1)*(all_lmics[[2017_population]:[2017_population]]))</f>
        <v>4.0743562032161717E-3</v>
      </c>
      <c r="N2">
        <f>MIN(SUMPRODUCT((all_lmics[[worldbank_region]:[worldbank_region]]=$A2)*(LEN(all_lmics[SBA])&gt;0)*(all_lmics[SBA])*(all_lmics[[2017_births]:[2017_births]]))/SUMPRODUCT((all_lmics[[worldbank_region]:[worldbank_region]]=$A2)*(LEN(all_lmics[SBA])&gt;0)*(all_lmics[[2017_births]:[2017_births]]))*1.05, 0.9999)</f>
        <v>0.99990000000000001</v>
      </c>
      <c r="O2">
        <f>MIN(SUMPRODUCT((all_lmics[[worldbank_region]:[worldbank_region]]=$A2)*(LEN(all_lmics[Facility])&gt;0)*(all_lmics[Facility])*(all_lmics[[2017_births]:[2017_births]]))/SUMPRODUCT((all_lmics[[worldbank_region]:[worldbank_region]]=$A2)*(LEN(all_lmics[Facility])&gt;0)*(all_lmics[[2017_births]:[2017_births]]))*1.05, 0.9999)</f>
        <v>0.9955528032826293</v>
      </c>
      <c r="P2">
        <f>SUMPRODUCT((all_lmics[[worldbank_region]:[worldbank_region]]=$A2)*(LEN(all_lmics[mu_01])&gt;0)*(all_lmics[mu_01])*(all_lmics[[2017_births]:[2017_births]]))/SUMPRODUCT((all_lmics[[worldbank_region]:[worldbank_region]]=$A2)*(LEN(all_lmics[mu_01])&gt;0)*(all_lmics[[2017_births]:[2017_births]]))*1.05</f>
        <v>1.1168070641050286E-2</v>
      </c>
      <c r="Q2">
        <f>SUMPRODUCT((all_lmics[[worldbank_region]:[worldbank_region]]=$A2)*(LEN(all_lmics[mu_14])&gt;0)*(all_lmics[mu_14])*(all_lmics[[2017_births]:[2017_births]]))/SUMPRODUCT((all_lmics[[worldbank_region]:[worldbank_region]]=$A2)*(LEN(all_lmics[mu_14])&gt;0)*(all_lmics[[2017_births]:[2017_births]]))*1.05</f>
        <v>7.0244500022207865E-4</v>
      </c>
      <c r="R2">
        <f>SUMPRODUCT((all_lmics[[worldbank_region]:[worldbank_region]]=$A2)*(LEN(all_lmics[mu_59])&gt;0)*(all_lmics[mu_59])*(all_lmics[[2017_births]:[2017_births]]))/SUMPRODUCT((all_lmics[[worldbank_region]:[worldbank_region]]=$A2)*(LEN(all_lmics[mu_59])&gt;0)*(all_lmics[[2017_births]:[2017_births]]))*1.05</f>
        <v>3.2009807787000477E-4</v>
      </c>
      <c r="S2">
        <f>SUMPRODUCT((all_lmics[[worldbank_region]:[worldbank_region]]=$A2)*(LEN(all_lmics[mu_1014])&gt;0)*(all_lmics[mu_1014])*(all_lmics[[2017_births]:[2017_births]]))/SUMPRODUCT((all_lmics[[worldbank_region]:[worldbank_region]]=$A2)*(LEN(all_lmics[mu_1014])&gt;0)*(all_lmics[[2017_births]:[2017_births]]))*1.05</f>
        <v>3.3141187038105731E-4</v>
      </c>
      <c r="T2">
        <f>SUMPRODUCT((all_lmics[[worldbank_region]:[worldbank_region]]=$A2)*(LEN(all_lmics[mu_1519])&gt;0)*(all_lmics[mu_1519])*(all_lmics[[2017_births]:[2017_births]]))/SUMPRODUCT((all_lmics[[worldbank_region]:[worldbank_region]]=$A2)*(LEN(all_lmics[mu_1519])&gt;0)*(all_lmics[[2017_births]:[2017_births]]))*1.05</f>
        <v>5.9001460841381686E-4</v>
      </c>
      <c r="U2">
        <f>SUMPRODUCT((all_lmics[[worldbank_region]:[worldbank_region]]=$A2)*(LEN(all_lmics[mu_2024])&gt;0)*(all_lmics[mu_2024])*(all_lmics[[2017_births]:[2017_births]]))/SUMPRODUCT((all_lmics[[worldbank_region]:[worldbank_region]]=$A2)*(LEN(all_lmics[mu_2024])&gt;0)*(all_lmics[[2017_births]:[2017_births]]))*1.05</f>
        <v>9.1619203053379861E-4</v>
      </c>
      <c r="V2">
        <f>SUMPRODUCT((all_lmics[[worldbank_region]:[worldbank_region]]=$A2)*(LEN(all_lmics[mu_2529])&gt;0)*(all_lmics[mu_2529])*(all_lmics[[2017_births]:[2017_births]]))/SUMPRODUCT((all_lmics[[worldbank_region]:[worldbank_region]]=$A2)*(LEN(all_lmics[mu_2529])&gt;0)*(all_lmics[[2017_births]:[2017_births]]))*1.05</f>
        <v>1.2984405771696379E-3</v>
      </c>
      <c r="W2">
        <f>SUMPRODUCT((all_lmics[[worldbank_region]:[worldbank_region]]=$A2)*(LEN(all_lmics[mu_3034])&gt;0)*(all_lmics[mu_3034])*(all_lmics[[2017_births]:[2017_births]]))/SUMPRODUCT((all_lmics[[worldbank_region]:[worldbank_region]]=$A2)*(LEN(all_lmics[mu_3034])&gt;0)*(all_lmics[[2017_births]:[2017_births]]))*1.05</f>
        <v>1.9511105304122584E-3</v>
      </c>
      <c r="X2">
        <f>SUMPRODUCT((all_lmics[[worldbank_region]:[worldbank_region]]=$A2)*(LEN(all_lmics[mu_3539])&gt;0)*(all_lmics[mu_3539])*(all_lmics[[2017_births]:[2017_births]]))/SUMPRODUCT((all_lmics[[worldbank_region]:[worldbank_region]]=$A2)*(LEN(all_lmics[mu_3539])&gt;0)*(all_lmics[[2017_births]:[2017_births]]))*1.05</f>
        <v>2.7883191694939163E-3</v>
      </c>
      <c r="Y2">
        <f>SUMPRODUCT((all_lmics[[worldbank_region]:[worldbank_region]]=$A2)*(LEN(all_lmics[mu_4044])&gt;0)*(all_lmics[mu_4044])*(all_lmics[[2017_births]:[2017_births]]))/SUMPRODUCT((all_lmics[[worldbank_region]:[worldbank_region]]=$A2)*(LEN(all_lmics[mu_4044])&gt;0)*(all_lmics[[2017_births]:[2017_births]]))*1.05</f>
        <v>3.6180901095543535E-3</v>
      </c>
      <c r="Z2">
        <f>SUMPRODUCT((all_lmics[[worldbank_region]:[worldbank_region]]=$A2)*(LEN(all_lmics[mu_4549])&gt;0)*(all_lmics[mu_4549])*(all_lmics[[2017_births]:[2017_births]]))/SUMPRODUCT((all_lmics[[worldbank_region]:[worldbank_region]]=$A2)*(LEN(all_lmics[mu_4549])&gt;0)*(all_lmics[[2017_births]:[2017_births]]))*1.05</f>
        <v>4.8972614117128105E-3</v>
      </c>
      <c r="AA2">
        <f>SUMPRODUCT((all_lmics[[worldbank_region]:[worldbank_region]]=$A2)*(LEN(all_lmics[mu_5054])&gt;0)*(all_lmics[mu_5054])*(all_lmics[[2017_births]:[2017_births]]))/SUMPRODUCT((all_lmics[[worldbank_region]:[worldbank_region]]=$A2)*(LEN(all_lmics[mu_5054])&gt;0)*(all_lmics[[2017_births]:[2017_births]]))*1.05</f>
        <v>7.1655820560986364E-3</v>
      </c>
      <c r="AB2">
        <f>SUMPRODUCT((all_lmics[[worldbank_region]:[worldbank_region]]=$A2)*(LEN(all_lmics[mu_5559])&gt;0)*(all_lmics[mu_5559])*(all_lmics[[2017_births]:[2017_births]]))/SUMPRODUCT((all_lmics[[worldbank_region]:[worldbank_region]]=$A2)*(LEN(all_lmics[mu_5559])&gt;0)*(all_lmics[[2017_births]:[2017_births]]))*1.05</f>
        <v>1.080068054666013E-2</v>
      </c>
      <c r="AC2">
        <f>SUMPRODUCT((all_lmics[[worldbank_region]:[worldbank_region]]=$A2)*(LEN(all_lmics[mu_6064])&gt;0)*(all_lmics[mu_6064])*(all_lmics[[2017_births]:[2017_births]]))/SUMPRODUCT((all_lmics[[worldbank_region]:[worldbank_region]]=$A2)*(LEN(all_lmics[mu_6064])&gt;0)*(all_lmics[[2017_births]:[2017_births]]))*1.05</f>
        <v>1.6689388595598053E-2</v>
      </c>
      <c r="AD2">
        <f>SUMPRODUCT((all_lmics[[worldbank_region]:[worldbank_region]]=$A2)*(LEN(all_lmics[mu_6569])&gt;0)*(all_lmics[mu_6569])*(all_lmics[[2017_births]:[2017_births]]))/SUMPRODUCT((all_lmics[[worldbank_region]:[worldbank_region]]=$A2)*(LEN(all_lmics[mu_6569])&gt;0)*(all_lmics[[2017_births]:[2017_births]]))*1.05</f>
        <v>2.4487504801664867E-2</v>
      </c>
      <c r="AE2">
        <f>SUMPRODUCT((all_lmics[[worldbank_region]:[worldbank_region]]=$A2)*(LEN(all_lmics[mu_7074])&gt;0)*(all_lmics[mu_7074])*(all_lmics[[2017_births]:[2017_births]]))/SUMPRODUCT((all_lmics[[worldbank_region]:[worldbank_region]]=$A2)*(LEN(all_lmics[mu_7074])&gt;0)*(all_lmics[[2017_births]:[2017_births]]))*1.05</f>
        <v>3.8543492833356965E-2</v>
      </c>
      <c r="AF2">
        <f>SUMPRODUCT((all_lmics[[worldbank_region]:[worldbank_region]]=$A2)*(LEN(all_lmics[mu_7579])&gt;0)*(all_lmics[mu_7579])*(all_lmics[[2017_births]:[2017_births]]))/SUMPRODUCT((all_lmics[[worldbank_region]:[worldbank_region]]=$A2)*(LEN(all_lmics[mu_7579])&gt;0)*(all_lmics[[2017_births]:[2017_births]]))*1.05</f>
        <v>6.3053092121314769E-2</v>
      </c>
      <c r="AG2">
        <f>SUMPRODUCT((all_lmics[[worldbank_region]:[worldbank_region]]=$A2)*(LEN(all_lmics[mu_8084])&gt;0)*(all_lmics[mu_8084])*(all_lmics[[2017_births]:[2017_births]]))/SUMPRODUCT((all_lmics[[worldbank_region]:[worldbank_region]]=$A2)*(LEN(all_lmics[mu_8084])&gt;0)*(all_lmics[[2017_births]:[2017_births]]))*1.05</f>
        <v>0.10388458800964598</v>
      </c>
      <c r="AH2">
        <f>SUMPRODUCT((all_lmics[[worldbank_region]:[worldbank_region]]=$A2)*(LEN(all_lmics[mu_8589])&gt;0)*(all_lmics[mu_8589])*(all_lmics[[2017_births]:[2017_births]]))/SUMPRODUCT((all_lmics[[worldbank_region]:[worldbank_region]]=$A2)*(LEN(all_lmics[mu_8589])&gt;0)*(all_lmics[[2017_births]:[2017_births]]))*1.05</f>
        <v>0.16237736431995983</v>
      </c>
      <c r="AI2">
        <f>SUMPRODUCT((all_lmics[[worldbank_region]:[worldbank_region]]=$A2)*(LEN(all_lmics[mu_9094])&gt;0)*(all_lmics[mu_9094])*(all_lmics[[2017_births]:[2017_births]]))/SUMPRODUCT((all_lmics[[worldbank_region]:[worldbank_region]]=$A2)*(LEN(all_lmics[mu_9094])&gt;0)*(all_lmics[[2017_births]:[2017_births]]))*1.05</f>
        <v>0.24753866713681516</v>
      </c>
      <c r="AJ2">
        <f>SUMPRODUCT((all_lmics[[worldbank_region]:[worldbank_region]]=$A2)*(LEN(all_lmics[mu_9599])&gt;0)*(all_lmics[mu_9599])*(all_lmics[[2017_births]:[2017_births]]))/SUMPRODUCT((all_lmics[[worldbank_region]:[worldbank_region]]=$A2)*(LEN(all_lmics[mu_9599])&gt;0)*(all_lmics[[2017_births]:[2017_births]]))*1.05</f>
        <v>0.35893482570881152</v>
      </c>
      <c r="AK2">
        <f>SUMPRODUCT((all_lmics[[worldbank_region]:[worldbank_region]]=$A2)*(LEN(all_lmics[mu_100])&gt;0)*(all_lmics[mu_100])*(all_lmics[[2017_births]:[2017_births]]))/SUMPRODUCT((all_lmics[[worldbank_region]:[worldbank_region]]=$A2)*(LEN(all_lmics[mu_100])&gt;0)*(all_lmics[[2017_births]:[2017_births]]))*1.05</f>
        <v>0.49608473620890381</v>
      </c>
      <c r="AL2">
        <f>SUMPRODUCT((all_lmics[[worldbank_region]:[worldbank_region]]=$A2)*(LEN(all_lmics[c_A])&gt;0)*(all_lmics[c_A])*(all_lmics[[2017_births]:[2017_births]]))/SUMPRODUCT((all_lmics[[worldbank_region]:[worldbank_region]]=$A2)*(LEN(all_lmics[c_A])&gt;0)*(all_lmics[[2017_births]:[2017_births]]))*1.05</f>
        <v>46.751399100000008</v>
      </c>
      <c r="AM2">
        <f>SUMPRODUCT((all_lmics[[worldbank_region]:[worldbank_region]]=$A2)*(LEN(all_lmics[c_C])&gt;0)*(all_lmics[c_C])*(all_lmics[[2017_births]:[2017_births]]))/SUMPRODUCT((all_lmics[[worldbank_region]:[worldbank_region]]=$A2)*(LEN(all_lmics[c_C])&gt;0)*(all_lmics[[2017_births]:[2017_births]]))*1.05</f>
        <v>46.751399100000008</v>
      </c>
      <c r="AN2">
        <f>SUMPRODUCT((all_lmics[[worldbank_region]:[worldbank_region]]=$A2)*(LEN(all_lmics[c_CC])&gt;0)*(all_lmics[c_CC])*(all_lmics[[2017_births]:[2017_births]]))/SUMPRODUCT((all_lmics[[worldbank_region]:[worldbank_region]]=$A2)*(LEN(all_lmics[c_CC])&gt;0)*(all_lmics[[2017_births]:[2017_births]]))*1.05</f>
        <v>96.866702099999998</v>
      </c>
      <c r="AO2">
        <f>SUMPRODUCT((all_lmics[[worldbank_region]:[worldbank_region]]=$A2)*(LEN(all_lmics[c_DC])&gt;0)*(all_lmics[c_DC])*(all_lmics[[2017_births]:[2017_births]]))/SUMPRODUCT((all_lmics[[worldbank_region]:[worldbank_region]]=$A2)*(LEN(all_lmics[c_DC])&gt;0)*(all_lmics[[2017_births]:[2017_births]]))*1.05</f>
        <v>96.866702099999998</v>
      </c>
      <c r="AP2">
        <f>SUMPRODUCT((all_lmics[[worldbank_region]:[worldbank_region]]=$A2)*(LEN(all_lmics[c_HCC])&gt;0)*(all_lmics[c_HCC])*(all_lmics[[2017_births]:[2017_births]]))/SUMPRODUCT((all_lmics[[worldbank_region]:[worldbank_region]]=$A2)*(LEN(all_lmics[c_HCC])&gt;0)*(all_lmics[[2017_births]:[2017_births]]))*1.05</f>
        <v>96.866702099999998</v>
      </c>
      <c r="AQ2">
        <f>SUMPRODUCT((all_lmics[[worldbank_region]:[worldbank_region]]=$A2)*(LEN(all_lmics[fac_cc])&gt;0)*(all_lmics[fac_cc])*(all_lmics[[2017_births]:[2017_births]]))/SUMPRODUCT((all_lmics[[worldbank_region]:[worldbank_region]]=$A2)*(LEN(all_lmics[fac_cc])&gt;0)*(all_lmics[[2017_births]:[2017_births]]))*1.05</f>
        <v>6.739206600000001</v>
      </c>
      <c r="AR2">
        <f>SUMPRODUCT((all_lmics[[worldbank_region]:[worldbank_region]]=$A2)*(LEN(all_lmics[fac_ctc])&gt;0)*(all_lmics[fac_ctc])*(all_lmics[[2017_births]:[2017_births]]))/SUMPRODUCT((all_lmics[[worldbank_region]:[worldbank_region]]=$A2)*(LEN(all_lmics[fac_ctc])&gt;0)*(all_lmics[[2017_births]:[2017_births]]))*1.05</f>
        <v>7.3875816000000016</v>
      </c>
      <c r="AS2">
        <f>SUMPRODUCT((all_lmics[[worldbank_region]:[worldbank_region]]=$A2)*(LEN(all_lmics[com_cc])&gt;0)*(all_lmics[com_cc])*(all_lmics[[2017_births]:[2017_births]]))/SUMPRODUCT((all_lmics[[worldbank_region]:[worldbank_region]]=$A2)*(LEN(all_lmics[com_cc])&gt;0)*(all_lmics[[2017_births]:[2017_births]]))*1.05</f>
        <v>11.007016649999999</v>
      </c>
      <c r="AT2">
        <f>SUMPRODUCT((all_lmics[[worldbank_region]:[worldbank_region]]=$A2)*(LEN(all_lmics[com_ctc])&gt;0)*(all_lmics[com_ctc])*(all_lmics[[2017_births]:[2017_births]]))/SUMPRODUCT((all_lmics[[worldbank_region]:[worldbank_region]]=$A2)*(LEN(all_lmics[com_ctc])&gt;0)*(all_lmics[[2017_births]:[2017_births]]))*1.05</f>
        <v>11.65539165</v>
      </c>
      <c r="AU2">
        <f>SUMPRODUCT((all_lmics[[worldbank_region]:[worldbank_region]]=$A2)*(LEN(all_lmics[com_cpad])&gt;0)*(all_lmics[com_cpad])*(all_lmics[[2017_births]:[2017_births]]))/SUMPRODUCT((all_lmics[[worldbank_region]:[worldbank_region]]=$A2)*(LEN(all_lmics[com_cpad])&gt;0)*(all_lmics[[2017_births]:[2017_births]]))*1.05</f>
        <v>12.254156250000001</v>
      </c>
      <c r="AV2">
        <f>SUMPRODUCT((all_lmics[[worldbank_region]:[worldbank_region]]=$A2)*(LEN(all_lmics[SBA_nfac])&gt;1)*(all_lmics[SBA_nfac])*(all_lmics[[2017_births]:[2017_births]]))/SUMPRODUCT((all_lmics[[worldbank_region]:[worldbank_region]]=$A2)*(LEN(all_lmics[SBA_nfac])&gt;1)*(all_lmics[[2017_births]:[2017_births]]))*1.05</f>
        <v>0.4564604134618413</v>
      </c>
      <c r="AW2">
        <f>VLOOKUP($A2, hbe[],4,FALSE)</f>
        <v>0.5</v>
      </c>
      <c r="AX2">
        <f>VLOOKUP($A2, hbe[], 7, FALSE)</f>
        <v>1</v>
      </c>
      <c r="AY2">
        <f>VLOOKUP($A2, hbe[], 10, FALSE)</f>
        <v>0.25</v>
      </c>
    </row>
    <row r="3" spans="1:51" x14ac:dyDescent="0.35">
      <c r="A3" t="s">
        <v>58</v>
      </c>
      <c r="D3">
        <f>SUMPRODUCT((all_lmics[[worldbank_region]:[worldbank_region]]=Table202425[[#This Row],[Setting]])*(all_lmics[[2017_population]:[2017_population]]))</f>
        <v>2061045828</v>
      </c>
      <c r="F3" s="41">
        <f>SUMPRODUCT((all_lmics[[worldbank_region]:[worldbank_region]]=Table202425[[#This Row],[Setting]])*(all_lmics[[2017_births]:[2017_births]]))</f>
        <v>28561621.330693997</v>
      </c>
      <c r="G3">
        <f>SUMPRODUCT((all_lmics[worldbank_region]=$A3)*(LEN(all_lmics[birth_dose])&gt;0)*(all_lmics[birth_dose])*(all_lmics[2017_births]))/SUMPRODUCT((all_lmics[worldbank_region]=$A3)*(LEN(all_lmics[birth_dose])&gt;0)*(all_lmics[2017_births]))*1.05</f>
        <v>0.82905797313240193</v>
      </c>
      <c r="H3">
        <f>SUMPRODUCT((all_lmics[worldbank_region]=$A3)*(LEN(all_lmics[HBV3])&gt;0)*(all_lmics[HBV3])*(all_lmics[2017_births]))/SUMPRODUCT((all_lmics[worldbank_region]=$A3)*(LEN(all_lmics[HBV3])&gt;0)*(all_lmics[2017_births]))*1.05</f>
        <v>0.98411814063741121</v>
      </c>
      <c r="I3">
        <f>SUMPRODUCT((all_lmics[[worldbank_region]:[worldbank_region]]=$A3)*(LEN(all_lmics[prev])&gt;1)*(all_lmics[prev])*(all_lmics[[2017_population]:[2017_population]]))/SUMPRODUCT((all_lmics[[worldbank_region]:[worldbank_region]]=$A3)*(LEN(all_lmics[prev])&gt;1)*(all_lmics[[2017_population]:[2017_population]]))</f>
        <v>6.1492053108410077E-2</v>
      </c>
      <c r="J3">
        <f>SUMPRODUCT((all_lmics[[worldbank_region]:[worldbank_region]]=$A3)*(LEN(all_lmics[prev_lb])&gt;1)*(all_lmics[prev_lb])*(all_lmics[[2017_population]:[2017_population]]))/SUMPRODUCT((all_lmics[[worldbank_region]:[worldbank_region]]=$A3)*(LEN(all_lmics[prev_lb])&gt;1)*(all_lmics[[2017_population]:[2017_population]]))</f>
        <v>5.5031425358848182E-2</v>
      </c>
      <c r="K3">
        <f>SUMPRODUCT((all_lmics[[worldbank_region]:[worldbank_region]]=$A3)*(LEN(all_lmics[prev_ub])&gt;1)*(all_lmics[prev_ub])*(all_lmics[[2017_population]:[2017_population]]))/SUMPRODUCT((all_lmics[[worldbank_region]:[worldbank_region]]=$A3)*(LEN(all_lmics[prev_ub])&gt;1)*(all_lmics[[2017_population]:[2017_population]]))</f>
        <v>7.0878206742383237E-2</v>
      </c>
      <c r="L3">
        <f>SUMPRODUCT((all_lmics[[worldbank_region]:[worldbank_region]]=$A3)*(LEN(all_lmics[sigma])&gt;1)*(all_lmics[sigma])*(all_lmics[[2017_population]:[2017_population]]))/SUMPRODUCT((all_lmics[[worldbank_region]:[worldbank_region]]=$A3)*(LEN(all_lmics[sigma])&gt;1)*(all_lmics[[2017_population]:[2017_population]]))</f>
        <v>4.7888538948842648E-3</v>
      </c>
      <c r="N3">
        <f>MIN(SUMPRODUCT((all_lmics[[worldbank_region]:[worldbank_region]]=$A3)*(LEN(all_lmics[SBA])&gt;0)*(all_lmics[SBA])*(all_lmics[[2017_births]:[2017_births]]))/SUMPRODUCT((all_lmics[[worldbank_region]:[worldbank_region]]=$A3)*(LEN(all_lmics[SBA])&gt;0)*(all_lmics[[2017_births]:[2017_births]]))*1.05, 0.9999)</f>
        <v>0.99691855775951277</v>
      </c>
      <c r="O3">
        <f>MIN(SUMPRODUCT((all_lmics[[worldbank_region]:[worldbank_region]]=$A3)*(LEN(all_lmics[Facility])&gt;0)*(all_lmics[Facility])*(all_lmics[[2017_births]:[2017_births]]))/SUMPRODUCT((all_lmics[[worldbank_region]:[worldbank_region]]=$A3)*(LEN(all_lmics[Facility])&gt;0)*(all_lmics[[2017_births]:[2017_births]]))*1.05, 0.9999)</f>
        <v>0.96044909619811281</v>
      </c>
      <c r="P3">
        <f>SUMPRODUCT((all_lmics[[worldbank_region]:[worldbank_region]]=$A3)*(LEN(all_lmics[mu_01])&gt;0)*(all_lmics[mu_01])*(all_lmics[[2017_births]:[2017_births]]))/SUMPRODUCT((all_lmics[[worldbank_region]:[worldbank_region]]=$A3)*(LEN(all_lmics[mu_01])&gt;0)*(all_lmics[[2017_births]:[2017_births]]))*1.05</f>
        <v>1.391526049048733E-2</v>
      </c>
      <c r="Q3">
        <f>SUMPRODUCT((all_lmics[[worldbank_region]:[worldbank_region]]=$A3)*(LEN(all_lmics[mu_14])&gt;0)*(all_lmics[mu_14])*(all_lmics[[2017_births]:[2017_births]]))/SUMPRODUCT((all_lmics[[worldbank_region]:[worldbank_region]]=$A3)*(LEN(all_lmics[mu_14])&gt;0)*(all_lmics[[2017_births]:[2017_births]]))*1.05</f>
        <v>8.5859227163717319E-4</v>
      </c>
      <c r="R3">
        <f>SUMPRODUCT((all_lmics[[worldbank_region]:[worldbank_region]]=$A3)*(LEN(all_lmics[mu_59])&gt;0)*(all_lmics[mu_59])*(all_lmics[[2017_births]:[2017_births]]))/SUMPRODUCT((all_lmics[[worldbank_region]:[worldbank_region]]=$A3)*(LEN(all_lmics[mu_59])&gt;0)*(all_lmics[[2017_births]:[2017_births]]))*1.05</f>
        <v>4.2524885682768826E-4</v>
      </c>
      <c r="S3">
        <f>SUMPRODUCT((all_lmics[[worldbank_region]:[worldbank_region]]=$A3)*(LEN(all_lmics[mu_1014])&gt;0)*(all_lmics[mu_1014])*(all_lmics[[2017_births]:[2017_births]]))/SUMPRODUCT((all_lmics[[worldbank_region]:[worldbank_region]]=$A3)*(LEN(all_lmics[mu_1014])&gt;0)*(all_lmics[[2017_births]:[2017_births]]))*1.05</f>
        <v>3.5068837601385486E-4</v>
      </c>
      <c r="T3">
        <f>SUMPRODUCT((all_lmics[[worldbank_region]:[worldbank_region]]=$A3)*(LEN(all_lmics[mu_1519])&gt;0)*(all_lmics[mu_1519])*(all_lmics[[2017_births]:[2017_births]]))/SUMPRODUCT((all_lmics[[worldbank_region]:[worldbank_region]]=$A3)*(LEN(all_lmics[mu_1519])&gt;0)*(all_lmics[[2017_births]:[2017_births]]))*1.05</f>
        <v>6.1580974059366987E-4</v>
      </c>
      <c r="U3">
        <f>SUMPRODUCT((all_lmics[[worldbank_region]:[worldbank_region]]=$A3)*(LEN(all_lmics[mu_2024])&gt;0)*(all_lmics[mu_2024])*(all_lmics[[2017_births]:[2017_births]]))/SUMPRODUCT((all_lmics[[worldbank_region]:[worldbank_region]]=$A3)*(LEN(all_lmics[mu_2024])&gt;0)*(all_lmics[[2017_births]:[2017_births]]))*1.05</f>
        <v>8.3225652433890581E-4</v>
      </c>
      <c r="V3">
        <f>SUMPRODUCT((all_lmics[[worldbank_region]:[worldbank_region]]=$A3)*(LEN(all_lmics[mu_2529])&gt;0)*(all_lmics[mu_2529])*(all_lmics[[2017_births]:[2017_births]]))/SUMPRODUCT((all_lmics[[worldbank_region]:[worldbank_region]]=$A3)*(LEN(all_lmics[mu_2529])&gt;0)*(all_lmics[[2017_births]:[2017_births]]))*1.05</f>
        <v>9.8914468557994759E-4</v>
      </c>
      <c r="W3">
        <f>SUMPRODUCT((all_lmics[[worldbank_region]:[worldbank_region]]=$A3)*(LEN(all_lmics[mu_3034])&gt;0)*(all_lmics[mu_3034])*(all_lmics[[2017_births]:[2017_births]]))/SUMPRODUCT((all_lmics[[worldbank_region]:[worldbank_region]]=$A3)*(LEN(all_lmics[mu_3034])&gt;0)*(all_lmics[[2017_births]:[2017_births]]))*1.05</f>
        <v>1.2227441021118682E-3</v>
      </c>
      <c r="X3">
        <f>SUMPRODUCT((all_lmics[[worldbank_region]:[worldbank_region]]=$A3)*(LEN(all_lmics[mu_3539])&gt;0)*(all_lmics[mu_3539])*(all_lmics[[2017_births]:[2017_births]]))/SUMPRODUCT((all_lmics[[worldbank_region]:[worldbank_region]]=$A3)*(LEN(all_lmics[mu_3539])&gt;0)*(all_lmics[[2017_births]:[2017_births]]))*1.05</f>
        <v>1.6030008481765663E-3</v>
      </c>
      <c r="Y3">
        <f>SUMPRODUCT((all_lmics[[worldbank_region]:[worldbank_region]]=$A3)*(LEN(all_lmics[mu_4044])&gt;0)*(all_lmics[mu_4044])*(all_lmics[[2017_births]:[2017_births]]))/SUMPRODUCT((all_lmics[[worldbank_region]:[worldbank_region]]=$A3)*(LEN(all_lmics[mu_4044])&gt;0)*(all_lmics[[2017_births]:[2017_births]]))*1.05</f>
        <v>2.2704821307435218E-3</v>
      </c>
      <c r="Z3">
        <f>SUMPRODUCT((all_lmics[[worldbank_region]:[worldbank_region]]=$A3)*(LEN(all_lmics[mu_4549])&gt;0)*(all_lmics[mu_4549])*(all_lmics[[2017_births]:[2017_births]]))/SUMPRODUCT((all_lmics[[worldbank_region]:[worldbank_region]]=$A3)*(LEN(all_lmics[mu_4549])&gt;0)*(all_lmics[[2017_births]:[2017_births]]))*1.05</f>
        <v>3.3646713180590579E-3</v>
      </c>
      <c r="AA3">
        <f>SUMPRODUCT((all_lmics[[worldbank_region]:[worldbank_region]]=$A3)*(LEN(all_lmics[mu_5054])&gt;0)*(all_lmics[mu_5054])*(all_lmics[[2017_births]:[2017_births]]))/SUMPRODUCT((all_lmics[[worldbank_region]:[worldbank_region]]=$A3)*(LEN(all_lmics[mu_5054])&gt;0)*(all_lmics[[2017_births]:[2017_births]]))*1.05</f>
        <v>5.3010856875957864E-3</v>
      </c>
      <c r="AB3">
        <f>SUMPRODUCT((all_lmics[[worldbank_region]:[worldbank_region]]=$A3)*(LEN(all_lmics[mu_5559])&gt;0)*(all_lmics[mu_5559])*(all_lmics[[2017_births]:[2017_births]]))/SUMPRODUCT((all_lmics[[worldbank_region]:[worldbank_region]]=$A3)*(LEN(all_lmics[mu_5559])&gt;0)*(all_lmics[[2017_births]:[2017_births]]))*1.05</f>
        <v>8.4130340466660545E-3</v>
      </c>
      <c r="AC3">
        <f>SUMPRODUCT((all_lmics[[worldbank_region]:[worldbank_region]]=$A3)*(LEN(all_lmics[mu_6064])&gt;0)*(all_lmics[mu_6064])*(all_lmics[[2017_births]:[2017_births]]))/SUMPRODUCT((all_lmics[[worldbank_region]:[worldbank_region]]=$A3)*(LEN(all_lmics[mu_6064])&gt;0)*(all_lmics[[2017_births]:[2017_births]]))*1.05</f>
        <v>1.3973817148564381E-2</v>
      </c>
      <c r="AD3">
        <f>SUMPRODUCT((all_lmics[[worldbank_region]:[worldbank_region]]=$A3)*(LEN(all_lmics[mu_6569])&gt;0)*(all_lmics[mu_6569])*(all_lmics[[2017_births]:[2017_births]]))/SUMPRODUCT((all_lmics[[worldbank_region]:[worldbank_region]]=$A3)*(LEN(all_lmics[mu_6569])&gt;0)*(all_lmics[[2017_births]:[2017_births]]))*1.05</f>
        <v>2.3267098262858551E-2</v>
      </c>
      <c r="AE3">
        <f>SUMPRODUCT((all_lmics[[worldbank_region]:[worldbank_region]]=$A3)*(LEN(all_lmics[mu_7074])&gt;0)*(all_lmics[mu_7074])*(all_lmics[[2017_births]:[2017_births]]))/SUMPRODUCT((all_lmics[[worldbank_region]:[worldbank_region]]=$A3)*(LEN(all_lmics[mu_7074])&gt;0)*(all_lmics[[2017_births]:[2017_births]]))*1.05</f>
        <v>3.9814077640250446E-2</v>
      </c>
      <c r="AF3">
        <f>SUMPRODUCT((all_lmics[[worldbank_region]:[worldbank_region]]=$A3)*(LEN(all_lmics[mu_7579])&gt;0)*(all_lmics[mu_7579])*(all_lmics[[2017_births]:[2017_births]]))/SUMPRODUCT((all_lmics[[worldbank_region]:[worldbank_region]]=$A3)*(LEN(all_lmics[mu_7579])&gt;0)*(all_lmics[[2017_births]:[2017_births]]))*1.05</f>
        <v>6.5789366351573494E-2</v>
      </c>
      <c r="AG3">
        <f>SUMPRODUCT((all_lmics[[worldbank_region]:[worldbank_region]]=$A3)*(LEN(all_lmics[mu_8084])&gt;0)*(all_lmics[mu_8084])*(all_lmics[[2017_births]:[2017_births]]))/SUMPRODUCT((all_lmics[[worldbank_region]:[worldbank_region]]=$A3)*(LEN(all_lmics[mu_8084])&gt;0)*(all_lmics[[2017_births]:[2017_births]]))*1.05</f>
        <v>0.10262607452509444</v>
      </c>
      <c r="AH3">
        <f>SUMPRODUCT((all_lmics[[worldbank_region]:[worldbank_region]]=$A3)*(LEN(all_lmics[mu_8589])&gt;0)*(all_lmics[mu_8589])*(all_lmics[[2017_births]:[2017_births]]))/SUMPRODUCT((all_lmics[[worldbank_region]:[worldbank_region]]=$A3)*(LEN(all_lmics[mu_8589])&gt;0)*(all_lmics[[2017_births]:[2017_births]]))*1.05</f>
        <v>0.16005602085371942</v>
      </c>
      <c r="AI3">
        <f>SUMPRODUCT((all_lmics[[worldbank_region]:[worldbank_region]]=$A3)*(LEN(all_lmics[mu_9094])&gt;0)*(all_lmics[mu_9094])*(all_lmics[[2017_births]:[2017_births]]))/SUMPRODUCT((all_lmics[[worldbank_region]:[worldbank_region]]=$A3)*(LEN(all_lmics[mu_9094])&gt;0)*(all_lmics[[2017_births]:[2017_births]]))*1.05</f>
        <v>0.2318596246751527</v>
      </c>
      <c r="AJ3">
        <f>SUMPRODUCT((all_lmics[[worldbank_region]:[worldbank_region]]=$A3)*(LEN(all_lmics[mu_9599])&gt;0)*(all_lmics[mu_9599])*(all_lmics[[2017_births]:[2017_births]]))/SUMPRODUCT((all_lmics[[worldbank_region]:[worldbank_region]]=$A3)*(LEN(all_lmics[mu_9599])&gt;0)*(all_lmics[[2017_births]:[2017_births]]))*1.05</f>
        <v>0.32028559954561409</v>
      </c>
      <c r="AK3">
        <f>SUMPRODUCT((all_lmics[[worldbank_region]:[worldbank_region]]=$A3)*(LEN(all_lmics[mu_100])&gt;0)*(all_lmics[mu_100])*(all_lmics[[2017_births]:[2017_births]]))/SUMPRODUCT((all_lmics[[worldbank_region]:[worldbank_region]]=$A3)*(LEN(all_lmics[mu_100])&gt;0)*(all_lmics[[2017_births]:[2017_births]]))*1.05</f>
        <v>0.41151447171523131</v>
      </c>
      <c r="AL3">
        <f>SUMPRODUCT((all_lmics[[worldbank_region]:[worldbank_region]]=$A3)*(LEN(all_lmics[c_A])&gt;0)*(all_lmics[c_A])*(all_lmics[[2017_births]:[2017_births]]))/SUMPRODUCT((all_lmics[[worldbank_region]:[worldbank_region]]=$A3)*(LEN(all_lmics[c_A])&gt;0)*(all_lmics[[2017_births]:[2017_births]]))*1.05</f>
        <v>76.717604250000008</v>
      </c>
      <c r="AM3">
        <f>SUMPRODUCT((all_lmics[[worldbank_region]:[worldbank_region]]=$A3)*(LEN(all_lmics[c_C])&gt;0)*(all_lmics[c_C])*(all_lmics[[2017_births]:[2017_births]]))/SUMPRODUCT((all_lmics[[worldbank_region]:[worldbank_region]]=$A3)*(LEN(all_lmics[c_C])&gt;0)*(all_lmics[[2017_births]:[2017_births]]))*1.05</f>
        <v>76.717604250000008</v>
      </c>
      <c r="AN3">
        <f>SUMPRODUCT((all_lmics[[worldbank_region]:[worldbank_region]]=$A3)*(LEN(all_lmics[c_CC])&gt;0)*(all_lmics[c_CC])*(all_lmics[[2017_births]:[2017_births]]))/SUMPRODUCT((all_lmics[[worldbank_region]:[worldbank_region]]=$A3)*(LEN(all_lmics[c_CC])&gt;0)*(all_lmics[[2017_births]:[2017_births]]))*1.05</f>
        <v>126.83290725000002</v>
      </c>
      <c r="AO3">
        <f>SUMPRODUCT((all_lmics[[worldbank_region]:[worldbank_region]]=$A3)*(LEN(all_lmics[c_DC])&gt;0)*(all_lmics[c_DC])*(all_lmics[[2017_births]:[2017_births]]))/SUMPRODUCT((all_lmics[[worldbank_region]:[worldbank_region]]=$A3)*(LEN(all_lmics[c_DC])&gt;0)*(all_lmics[[2017_births]:[2017_births]]))*1.05</f>
        <v>126.83290725000002</v>
      </c>
      <c r="AP3">
        <f>SUMPRODUCT((all_lmics[[worldbank_region]:[worldbank_region]]=$A3)*(LEN(all_lmics[c_HCC])&gt;0)*(all_lmics[c_HCC])*(all_lmics[[2017_births]:[2017_births]]))/SUMPRODUCT((all_lmics[[worldbank_region]:[worldbank_region]]=$A3)*(LEN(all_lmics[c_HCC])&gt;0)*(all_lmics[[2017_births]:[2017_births]]))*1.05</f>
        <v>126.83290725000002</v>
      </c>
      <c r="AQ3">
        <f>SUMPRODUCT((all_lmics[[worldbank_region]:[worldbank_region]]=$A3)*(LEN(all_lmics[fac_cc])&gt;0)*(all_lmics[fac_cc])*(all_lmics[[2017_births]:[2017_births]]))/SUMPRODUCT((all_lmics[[worldbank_region]:[worldbank_region]]=$A3)*(LEN(all_lmics[fac_cc])&gt;0)*(all_lmics[[2017_births]:[2017_births]]))*1.05</f>
        <v>1.4073044999999997</v>
      </c>
      <c r="AR3">
        <f>SUMPRODUCT((all_lmics[[worldbank_region]:[worldbank_region]]=$A3)*(LEN(all_lmics[fac_ctc])&gt;0)*(all_lmics[fac_ctc])*(all_lmics[[2017_births]:[2017_births]]))/SUMPRODUCT((all_lmics[[worldbank_region]:[worldbank_region]]=$A3)*(LEN(all_lmics[fac_ctc])&gt;0)*(all_lmics[[2017_births]:[2017_births]]))*1.05</f>
        <v>2.0556795000000005</v>
      </c>
      <c r="AS3">
        <f>SUMPRODUCT((all_lmics[[worldbank_region]:[worldbank_region]]=$A3)*(LEN(all_lmics[com_cc])&gt;0)*(all_lmics[com_cc])*(all_lmics[[2017_births]:[2017_births]]))/SUMPRODUCT((all_lmics[[worldbank_region]:[worldbank_region]]=$A3)*(LEN(all_lmics[com_cc])&gt;0)*(all_lmics[[2017_births]:[2017_births]]))*1.05</f>
        <v>2.0709318000000003</v>
      </c>
      <c r="AT3">
        <f>SUMPRODUCT((all_lmics[[worldbank_region]:[worldbank_region]]=$A3)*(LEN(all_lmics[com_ctc])&gt;0)*(all_lmics[com_ctc])*(all_lmics[[2017_births]:[2017_births]]))/SUMPRODUCT((all_lmics[[worldbank_region]:[worldbank_region]]=$A3)*(LEN(all_lmics[com_ctc])&gt;0)*(all_lmics[[2017_births]:[2017_births]]))*1.05</f>
        <v>2.7193067999999996</v>
      </c>
      <c r="AU3">
        <f>SUMPRODUCT((all_lmics[[worldbank_region]:[worldbank_region]]=$A3)*(LEN(all_lmics[com_cpad])&gt;0)*(all_lmics[com_cpad])*(all_lmics[[2017_births]:[2017_births]]))/SUMPRODUCT((all_lmics[[worldbank_region]:[worldbank_region]]=$A3)*(LEN(all_lmics[com_cpad])&gt;0)*(all_lmics[[2017_births]:[2017_births]]))*1.05</f>
        <v>3.3180714000000004</v>
      </c>
      <c r="AV3">
        <f>SUMPRODUCT((all_lmics[[worldbank_region]:[worldbank_region]]=$A3)*(LEN(all_lmics[SBA_nfac])&gt;1)*(all_lmics[SBA_nfac])*(all_lmics[[2017_births]:[2017_births]]))/SUMPRODUCT((all_lmics[[worldbank_region]:[worldbank_region]]=$A3)*(LEN(all_lmics[SBA_nfac])&gt;1)*(all_lmics[[2017_births]:[2017_births]]))*1.05</f>
        <v>0.45812328428396182</v>
      </c>
      <c r="AW3">
        <f>VLOOKUP($A3, hbe[],4,FALSE)</f>
        <v>0.5</v>
      </c>
      <c r="AX3">
        <f>VLOOKUP($A3, hbe[], 7, FALSE)</f>
        <v>1</v>
      </c>
      <c r="AY3">
        <f>VLOOKUP($A3, hbe[], 10, FALSE)</f>
        <v>0.25</v>
      </c>
    </row>
    <row r="4" spans="1:51" x14ac:dyDescent="0.35">
      <c r="A4" t="s">
        <v>383</v>
      </c>
      <c r="D4">
        <f>SUMPRODUCT((all_lmics[[worldbank_region]:[worldbank_region]]=Table202425[[#This Row],[Setting]])*(all_lmics[[2017_population]:[2017_population]]))</f>
        <v>628740872</v>
      </c>
      <c r="F4" s="41">
        <f>SUMPRODUCT((all_lmics[[worldbank_region]:[worldbank_region]]=Table202425[[#This Row],[Setting]])*(all_lmics[[2017_births]:[2017_births]]))</f>
        <v>10690279.573499</v>
      </c>
      <c r="G4">
        <f>SUMPRODUCT((all_lmics[worldbank_region]=$A4)*(LEN(all_lmics[birth_dose])&gt;0)*(all_lmics[birth_dose])*(all_lmics[2017_births]))/SUMPRODUCT((all_lmics[worldbank_region]=$A4)*(LEN(all_lmics[birth_dose])&gt;0)*(all_lmics[2017_births]))*1.05</f>
        <v>0.76127419763562332</v>
      </c>
      <c r="H4">
        <f>SUMPRODUCT((all_lmics[worldbank_region]=$A4)*(LEN(all_lmics[HBV3])&gt;0)*(all_lmics[HBV3])*(all_lmics[2017_births]))/SUMPRODUCT((all_lmics[worldbank_region]=$A4)*(LEN(all_lmics[HBV3])&gt;0)*(all_lmics[2017_births]))*1.05</f>
        <v>0.93669532944692002</v>
      </c>
      <c r="I4">
        <f>SUMPRODUCT((all_lmics[[worldbank_region]:[worldbank_region]]=$A4)*(LEN(all_lmics[prev])&gt;1)*(all_lmics[prev])*(all_lmics[[2017_population]:[2017_population]]))/SUMPRODUCT((all_lmics[[worldbank_region]:[worldbank_region]]=$A4)*(LEN(all_lmics[prev])&gt;1)*(all_lmics[[2017_population]:[2017_population]]))</f>
        <v>5.0774217375026661E-3</v>
      </c>
      <c r="J4">
        <f>SUMPRODUCT((all_lmics[[worldbank_region]:[worldbank_region]]=$A4)*(LEN(all_lmics[prev_lb])&gt;1)*(all_lmics[prev_lb])*(all_lmics[[2017_population]:[2017_population]]))/SUMPRODUCT((all_lmics[[worldbank_region]:[worldbank_region]]=$A4)*(LEN(all_lmics[prev_lb])&gt;1)*(all_lmics[[2017_population]:[2017_population]]))</f>
        <v>3.3602627132557658E-3</v>
      </c>
      <c r="K4">
        <f>SUMPRODUCT((all_lmics[[worldbank_region]:[worldbank_region]]=$A4)*(LEN(all_lmics[prev_ub])&gt;1)*(all_lmics[prev_ub])*(all_lmics[[2017_population]:[2017_population]]))/SUMPRODUCT((all_lmics[[worldbank_region]:[worldbank_region]]=$A4)*(LEN(all_lmics[prev_ub])&gt;1)*(all_lmics[[2017_population]:[2017_population]]))</f>
        <v>8.9215754971632005E-3</v>
      </c>
      <c r="L4">
        <f>SUMPRODUCT((all_lmics[[worldbank_region]:[worldbank_region]]=$A4)*(LEN(all_lmics[sigma])&gt;1)*(all_lmics[sigma])*(all_lmics[[2017_population]:[2017_population]]))/SUMPRODUCT((all_lmics[[worldbank_region]:[worldbank_region]]=$A4)*(LEN(all_lmics[sigma])&gt;1)*(all_lmics[[2017_population]:[2017_population]]))</f>
        <v>1.9617236112760531E-3</v>
      </c>
      <c r="N4">
        <f>MIN(SUMPRODUCT((all_lmics[[worldbank_region]:[worldbank_region]]=$A4)*(LEN(all_lmics[SBA])&gt;0)*(all_lmics[SBA])*(all_lmics[[2017_births]:[2017_births]]))/SUMPRODUCT((all_lmics[[worldbank_region]:[worldbank_region]]=$A4)*(LEN(all_lmics[SBA])&gt;0)*(all_lmics[[2017_births]:[2017_births]]))*1.05, 0.9999)</f>
        <v>0.99126821713437507</v>
      </c>
      <c r="O4">
        <f>MIN(SUMPRODUCT((all_lmics[[worldbank_region]:[worldbank_region]]=$A4)*(LEN(all_lmics[Facility])&gt;0)*(all_lmics[Facility])*(all_lmics[[2017_births]:[2017_births]]))/SUMPRODUCT((all_lmics[[worldbank_region]:[worldbank_region]]=$A4)*(LEN(all_lmics[Facility])&gt;0)*(all_lmics[[2017_births]:[2017_births]]))*1.05, 0.9999)</f>
        <v>0.98186130889002887</v>
      </c>
      <c r="P4">
        <f>SUMPRODUCT((all_lmics[[worldbank_region]:[worldbank_region]]=$A4)*(LEN(all_lmics[mu_01])&gt;0)*(all_lmics[mu_01])*(all_lmics[[2017_births]:[2017_births]]))/SUMPRODUCT((all_lmics[[worldbank_region]:[worldbank_region]]=$A4)*(LEN(all_lmics[mu_01])&gt;0)*(all_lmics[[2017_births]:[2017_births]]))*1.05</f>
        <v>1.6705998142256866E-2</v>
      </c>
      <c r="Q4">
        <f>SUMPRODUCT((all_lmics[[worldbank_region]:[worldbank_region]]=$A4)*(LEN(all_lmics[mu_14])&gt;0)*(all_lmics[mu_14])*(all_lmics[[2017_births]:[2017_births]]))/SUMPRODUCT((all_lmics[[worldbank_region]:[worldbank_region]]=$A4)*(LEN(all_lmics[mu_14])&gt;0)*(all_lmics[[2017_births]:[2017_births]]))*1.05</f>
        <v>9.8517993573721241E-4</v>
      </c>
      <c r="R4">
        <f>SUMPRODUCT((all_lmics[[worldbank_region]:[worldbank_region]]=$A4)*(LEN(all_lmics[mu_59])&gt;0)*(all_lmics[mu_59])*(all_lmics[[2017_births]:[2017_births]]))/SUMPRODUCT((all_lmics[[worldbank_region]:[worldbank_region]]=$A4)*(LEN(all_lmics[mu_59])&gt;0)*(all_lmics[[2017_births]:[2017_births]]))*1.05</f>
        <v>3.9565540341250822E-4</v>
      </c>
      <c r="S4">
        <f>SUMPRODUCT((all_lmics[[worldbank_region]:[worldbank_region]]=$A4)*(LEN(all_lmics[mu_1014])&gt;0)*(all_lmics[mu_1014])*(all_lmics[[2017_births]:[2017_births]]))/SUMPRODUCT((all_lmics[[worldbank_region]:[worldbank_region]]=$A4)*(LEN(all_lmics[mu_1014])&gt;0)*(all_lmics[[2017_births]:[2017_births]]))*1.05</f>
        <v>4.2714971822425035E-4</v>
      </c>
      <c r="T4">
        <f>SUMPRODUCT((all_lmics[[worldbank_region]:[worldbank_region]]=$A4)*(LEN(all_lmics[mu_1519])&gt;0)*(all_lmics[mu_1519])*(all_lmics[[2017_births]:[2017_births]]))/SUMPRODUCT((all_lmics[[worldbank_region]:[worldbank_region]]=$A4)*(LEN(all_lmics[mu_1519])&gt;0)*(all_lmics[[2017_births]:[2017_births]]))*1.05</f>
        <v>1.0597980708491532E-3</v>
      </c>
      <c r="U4">
        <f>SUMPRODUCT((all_lmics[[worldbank_region]:[worldbank_region]]=$A4)*(LEN(all_lmics[mu_2024])&gt;0)*(all_lmics[mu_2024])*(all_lmics[[2017_births]:[2017_births]]))/SUMPRODUCT((all_lmics[[worldbank_region]:[worldbank_region]]=$A4)*(LEN(all_lmics[mu_2024])&gt;0)*(all_lmics[[2017_births]:[2017_births]]))*1.05</f>
        <v>1.6458063105471894E-3</v>
      </c>
      <c r="V4">
        <f>SUMPRODUCT((all_lmics[[worldbank_region]:[worldbank_region]]=$A4)*(LEN(all_lmics[mu_2529])&gt;0)*(all_lmics[mu_2529])*(all_lmics[[2017_births]:[2017_births]]))/SUMPRODUCT((all_lmics[[worldbank_region]:[worldbank_region]]=$A4)*(LEN(all_lmics[mu_2529])&gt;0)*(all_lmics[[2017_births]:[2017_births]]))*1.05</f>
        <v>1.823769884614225E-3</v>
      </c>
      <c r="W4">
        <f>SUMPRODUCT((all_lmics[[worldbank_region]:[worldbank_region]]=$A4)*(LEN(all_lmics[mu_3034])&gt;0)*(all_lmics[mu_3034])*(all_lmics[[2017_births]:[2017_births]]))/SUMPRODUCT((all_lmics[[worldbank_region]:[worldbank_region]]=$A4)*(LEN(all_lmics[mu_3034])&gt;0)*(all_lmics[[2017_births]:[2017_births]]))*1.05</f>
        <v>2.0396904522867569E-3</v>
      </c>
      <c r="X4">
        <f>SUMPRODUCT((all_lmics[[worldbank_region]:[worldbank_region]]=$A4)*(LEN(all_lmics[mu_3539])&gt;0)*(all_lmics[mu_3539])*(all_lmics[[2017_births]:[2017_births]]))/SUMPRODUCT((all_lmics[[worldbank_region]:[worldbank_region]]=$A4)*(LEN(all_lmics[mu_3539])&gt;0)*(all_lmics[[2017_births]:[2017_births]]))*1.05</f>
        <v>2.4124761314350462E-3</v>
      </c>
      <c r="Y4">
        <f>SUMPRODUCT((all_lmics[[worldbank_region]:[worldbank_region]]=$A4)*(LEN(all_lmics[mu_4044])&gt;0)*(all_lmics[mu_4044])*(all_lmics[[2017_births]:[2017_births]]))/SUMPRODUCT((all_lmics[[worldbank_region]:[worldbank_region]]=$A4)*(LEN(all_lmics[mu_4044])&gt;0)*(all_lmics[[2017_births]:[2017_births]]))*1.05</f>
        <v>3.0568677526327465E-3</v>
      </c>
      <c r="Z4">
        <f>SUMPRODUCT((all_lmics[[worldbank_region]:[worldbank_region]]=$A4)*(LEN(all_lmics[mu_4549])&gt;0)*(all_lmics[mu_4549])*(all_lmics[[2017_births]:[2017_births]]))/SUMPRODUCT((all_lmics[[worldbank_region]:[worldbank_region]]=$A4)*(LEN(all_lmics[mu_4549])&gt;0)*(all_lmics[[2017_births]:[2017_births]]))*1.05</f>
        <v>4.258401056302286E-3</v>
      </c>
      <c r="AA4">
        <f>SUMPRODUCT((all_lmics[[worldbank_region]:[worldbank_region]]=$A4)*(LEN(all_lmics[mu_5054])&gt;0)*(all_lmics[mu_5054])*(all_lmics[[2017_births]:[2017_births]]))/SUMPRODUCT((all_lmics[[worldbank_region]:[worldbank_region]]=$A4)*(LEN(all_lmics[mu_5054])&gt;0)*(all_lmics[[2017_births]:[2017_births]]))*1.05</f>
        <v>6.1832571798329577E-3</v>
      </c>
      <c r="AB4">
        <f>SUMPRODUCT((all_lmics[[worldbank_region]:[worldbank_region]]=$A4)*(LEN(all_lmics[mu_5559])&gt;0)*(all_lmics[mu_5559])*(all_lmics[[2017_births]:[2017_births]]))/SUMPRODUCT((all_lmics[[worldbank_region]:[worldbank_region]]=$A4)*(LEN(all_lmics[mu_5559])&gt;0)*(all_lmics[[2017_births]:[2017_births]]))*1.05</f>
        <v>9.0594046624061526E-3</v>
      </c>
      <c r="AC4">
        <f>SUMPRODUCT((all_lmics[[worldbank_region]:[worldbank_region]]=$A4)*(LEN(all_lmics[mu_6064])&gt;0)*(all_lmics[mu_6064])*(all_lmics[[2017_births]:[2017_births]]))/SUMPRODUCT((all_lmics[[worldbank_region]:[worldbank_region]]=$A4)*(LEN(all_lmics[mu_6064])&gt;0)*(all_lmics[[2017_births]:[2017_births]]))*1.05</f>
        <v>1.3672999529356878E-2</v>
      </c>
      <c r="AD4">
        <f>SUMPRODUCT((all_lmics[[worldbank_region]:[worldbank_region]]=$A4)*(LEN(all_lmics[mu_6569])&gt;0)*(all_lmics[mu_6569])*(all_lmics[[2017_births]:[2017_births]]))/SUMPRODUCT((all_lmics[[worldbank_region]:[worldbank_region]]=$A4)*(LEN(all_lmics[mu_6569])&gt;0)*(all_lmics[[2017_births]:[2017_births]]))*1.05</f>
        <v>2.0701889977293338E-2</v>
      </c>
      <c r="AE4">
        <f>SUMPRODUCT((all_lmics[[worldbank_region]:[worldbank_region]]=$A4)*(LEN(all_lmics[mu_7074])&gt;0)*(all_lmics[mu_7074])*(all_lmics[[2017_births]:[2017_births]]))/SUMPRODUCT((all_lmics[[worldbank_region]:[worldbank_region]]=$A4)*(LEN(all_lmics[mu_7074])&gt;0)*(all_lmics[[2017_births]:[2017_births]]))*1.05</f>
        <v>3.1222681325874951E-2</v>
      </c>
      <c r="AF4">
        <f>SUMPRODUCT((all_lmics[[worldbank_region]:[worldbank_region]]=$A4)*(LEN(all_lmics[mu_7579])&gt;0)*(all_lmics[mu_7579])*(all_lmics[[2017_births]:[2017_births]]))/SUMPRODUCT((all_lmics[[worldbank_region]:[worldbank_region]]=$A4)*(LEN(all_lmics[mu_7579])&gt;0)*(all_lmics[[2017_births]:[2017_births]]))*1.05</f>
        <v>4.8437987055664593E-2</v>
      </c>
      <c r="AG4">
        <f>SUMPRODUCT((all_lmics[[worldbank_region]:[worldbank_region]]=$A4)*(LEN(all_lmics[mu_8084])&gt;0)*(all_lmics[mu_8084])*(all_lmics[[2017_births]:[2017_births]]))/SUMPRODUCT((all_lmics[[worldbank_region]:[worldbank_region]]=$A4)*(LEN(all_lmics[mu_8084])&gt;0)*(all_lmics[[2017_births]:[2017_births]]))*1.05</f>
        <v>7.5271511907571725E-2</v>
      </c>
      <c r="AH4">
        <f>SUMPRODUCT((all_lmics[[worldbank_region]:[worldbank_region]]=$A4)*(LEN(all_lmics[mu_8589])&gt;0)*(all_lmics[mu_8589])*(all_lmics[[2017_births]:[2017_births]]))/SUMPRODUCT((all_lmics[[worldbank_region]:[worldbank_region]]=$A4)*(LEN(all_lmics[mu_8589])&gt;0)*(all_lmics[[2017_births]:[2017_births]]))*1.05</f>
        <v>0.11714321005512089</v>
      </c>
      <c r="AI4">
        <f>SUMPRODUCT((all_lmics[[worldbank_region]:[worldbank_region]]=$A4)*(LEN(all_lmics[mu_9094])&gt;0)*(all_lmics[mu_9094])*(all_lmics[[2017_births]:[2017_births]]))/SUMPRODUCT((all_lmics[[worldbank_region]:[worldbank_region]]=$A4)*(LEN(all_lmics[mu_9094])&gt;0)*(all_lmics[[2017_births]:[2017_births]]))*1.05</f>
        <v>0.17254214704537849</v>
      </c>
      <c r="AJ4">
        <f>SUMPRODUCT((all_lmics[[worldbank_region]:[worldbank_region]]=$A4)*(LEN(all_lmics[mu_9599])&gt;0)*(all_lmics[mu_9599])*(all_lmics[[2017_births]:[2017_births]]))/SUMPRODUCT((all_lmics[[worldbank_region]:[worldbank_region]]=$A4)*(LEN(all_lmics[mu_9599])&gt;0)*(all_lmics[[2017_births]:[2017_births]]))*1.05</f>
        <v>0.26332043679436068</v>
      </c>
      <c r="AK4">
        <f>SUMPRODUCT((all_lmics[[worldbank_region]:[worldbank_region]]=$A4)*(LEN(all_lmics[mu_100])&gt;0)*(all_lmics[mu_100])*(all_lmics[[2017_births]:[2017_births]]))/SUMPRODUCT((all_lmics[[worldbank_region]:[worldbank_region]]=$A4)*(LEN(all_lmics[mu_100])&gt;0)*(all_lmics[[2017_births]:[2017_births]]))*1.05</f>
        <v>0.39898079205756165</v>
      </c>
      <c r="AL4">
        <f>SUMPRODUCT((all_lmics[[worldbank_region]:[worldbank_region]]=$A4)*(LEN(all_lmics[c_A])&gt;0)*(all_lmics[c_A])*(all_lmics[[2017_births]:[2017_births]]))/SUMPRODUCT((all_lmics[[worldbank_region]:[worldbank_region]]=$A4)*(LEN(all_lmics[c_A])&gt;0)*(all_lmics[[2017_births]:[2017_births]]))*1.05</f>
        <v>91.202986349999975</v>
      </c>
      <c r="AM4">
        <f>SUMPRODUCT((all_lmics[[worldbank_region]:[worldbank_region]]=$A4)*(LEN(all_lmics[c_C])&gt;0)*(all_lmics[c_C])*(all_lmics[[2017_births]:[2017_births]]))/SUMPRODUCT((all_lmics[[worldbank_region]:[worldbank_region]]=$A4)*(LEN(all_lmics[c_C])&gt;0)*(all_lmics[[2017_births]:[2017_births]]))*1.05</f>
        <v>91.202986349999975</v>
      </c>
      <c r="AN4">
        <f>SUMPRODUCT((all_lmics[[worldbank_region]:[worldbank_region]]=$A4)*(LEN(all_lmics[c_CC])&gt;0)*(all_lmics[c_CC])*(all_lmics[[2017_births]:[2017_births]]))/SUMPRODUCT((all_lmics[[worldbank_region]:[worldbank_region]]=$A4)*(LEN(all_lmics[c_CC])&gt;0)*(all_lmics[[2017_births]:[2017_births]]))*1.05</f>
        <v>141.31828934999999</v>
      </c>
      <c r="AO4">
        <f>SUMPRODUCT((all_lmics[[worldbank_region]:[worldbank_region]]=$A4)*(LEN(all_lmics[c_DC])&gt;0)*(all_lmics[c_DC])*(all_lmics[[2017_births]:[2017_births]]))/SUMPRODUCT((all_lmics[[worldbank_region]:[worldbank_region]]=$A4)*(LEN(all_lmics[c_DC])&gt;0)*(all_lmics[[2017_births]:[2017_births]]))*1.05</f>
        <v>141.31828934999999</v>
      </c>
      <c r="AP4">
        <f>SUMPRODUCT((all_lmics[[worldbank_region]:[worldbank_region]]=$A4)*(LEN(all_lmics[c_HCC])&gt;0)*(all_lmics[c_HCC])*(all_lmics[[2017_births]:[2017_births]]))/SUMPRODUCT((all_lmics[[worldbank_region]:[worldbank_region]]=$A4)*(LEN(all_lmics[c_HCC])&gt;0)*(all_lmics[[2017_births]:[2017_births]]))*1.05</f>
        <v>141.31828934999999</v>
      </c>
      <c r="AQ4">
        <f>SUMPRODUCT((all_lmics[[worldbank_region]:[worldbank_region]]=$A4)*(LEN(all_lmics[fac_cc])&gt;0)*(all_lmics[fac_cc])*(all_lmics[[2017_births]:[2017_births]]))/SUMPRODUCT((all_lmics[[worldbank_region]:[worldbank_region]]=$A4)*(LEN(all_lmics[fac_cc])&gt;0)*(all_lmics[[2017_births]:[2017_births]]))*1.05</f>
        <v>1.5903741</v>
      </c>
      <c r="AR4">
        <f>SUMPRODUCT((all_lmics[[worldbank_region]:[worldbank_region]]=$A4)*(LEN(all_lmics[fac_ctc])&gt;0)*(all_lmics[fac_ctc])*(all_lmics[[2017_births]:[2017_births]]))/SUMPRODUCT((all_lmics[[worldbank_region]:[worldbank_region]]=$A4)*(LEN(all_lmics[fac_ctc])&gt;0)*(all_lmics[[2017_births]:[2017_births]]))*1.05</f>
        <v>2.2387491000000006</v>
      </c>
      <c r="AS4">
        <f>SUMPRODUCT((all_lmics[[worldbank_region]:[worldbank_region]]=$A4)*(LEN(all_lmics[com_cc])&gt;0)*(all_lmics[com_cc])*(all_lmics[[2017_births]:[2017_births]]))/SUMPRODUCT((all_lmics[[worldbank_region]:[worldbank_region]]=$A4)*(LEN(all_lmics[com_cc])&gt;0)*(all_lmics[[2017_births]:[2017_births]]))*1.05</f>
        <v>1.6132578000000004</v>
      </c>
      <c r="AT4">
        <f>SUMPRODUCT((all_lmics[[worldbank_region]:[worldbank_region]]=$A4)*(LEN(all_lmics[com_ctc])&gt;0)*(all_lmics[com_ctc])*(all_lmics[[2017_births]:[2017_births]]))/SUMPRODUCT((all_lmics[[worldbank_region]:[worldbank_region]]=$A4)*(LEN(all_lmics[com_ctc])&gt;0)*(all_lmics[[2017_births]:[2017_births]]))*1.05</f>
        <v>2.2616327999999992</v>
      </c>
      <c r="AU4">
        <f>SUMPRODUCT((all_lmics[[worldbank_region]:[worldbank_region]]=$A4)*(LEN(all_lmics[com_cpad])&gt;0)*(all_lmics[com_cpad])*(all_lmics[[2017_births]:[2017_births]]))/SUMPRODUCT((all_lmics[[worldbank_region]:[worldbank_region]]=$A4)*(LEN(all_lmics[com_cpad])&gt;0)*(all_lmics[[2017_births]:[2017_births]]))*1.05</f>
        <v>2.860397400000001</v>
      </c>
      <c r="AV4">
        <f>SUMPRODUCT((all_lmics[[worldbank_region]:[worldbank_region]]=$A4)*(LEN(all_lmics[SBA_nfac])&gt;1)*(all_lmics[SBA_nfac])*(all_lmics[[2017_births]:[2017_births]]))/SUMPRODUCT((all_lmics[[worldbank_region]:[worldbank_region]]=$A4)*(LEN(all_lmics[SBA_nfac])&gt;1)*(all_lmics[[2017_births]:[2017_births]]))*1.05</f>
        <v>0.1834174773962946</v>
      </c>
      <c r="AW4">
        <f>VLOOKUP($A4, hbe[],4,FALSE)</f>
        <v>0.5</v>
      </c>
      <c r="AX4">
        <f>VLOOKUP($A4, hbe[], 7, FALSE)</f>
        <v>1</v>
      </c>
      <c r="AY4">
        <f>VLOOKUP($A4, hbe[], 10, FALSE)</f>
        <v>0.25</v>
      </c>
    </row>
    <row r="5" spans="1:51" x14ac:dyDescent="0.35">
      <c r="A5" t="s">
        <v>7</v>
      </c>
      <c r="D5">
        <f>SUMPRODUCT((all_lmics[[worldbank_region]:[worldbank_region]]=Table202425[[#This Row],[Setting]])*(all_lmics[[2017_population]:[2017_population]]))</f>
        <v>676963695</v>
      </c>
      <c r="F5" s="41">
        <f>SUMPRODUCT((all_lmics[[worldbank_region]:[worldbank_region]]=Table202425[[#This Row],[Setting]])*(all_lmics[[2017_births]:[2017_births]]))</f>
        <v>17561556.567988999</v>
      </c>
      <c r="G5">
        <f>SUMPRODUCT((all_lmics[worldbank_region]=$A5)*(LEN(all_lmics[birth_dose])&gt;0)*(all_lmics[birth_dose])*(all_lmics[2017_births]))/SUMPRODUCT((all_lmics[worldbank_region]=$A5)*(LEN(all_lmics[birth_dose])&gt;0)*(all_lmics[2017_births]))*1.05</f>
        <v>0.35513919941498662</v>
      </c>
      <c r="H5">
        <f>SUMPRODUCT((all_lmics[worldbank_region]=$A5)*(LEN(all_lmics[HBV3])&gt;0)*(all_lmics[HBV3])*(all_lmics[2017_births]))/SUMPRODUCT((all_lmics[worldbank_region]=$A5)*(LEN(all_lmics[HBV3])&gt;0)*(all_lmics[2017_births]))*1.05</f>
        <v>0.84561788452208508</v>
      </c>
      <c r="I5">
        <f>SUMPRODUCT((all_lmics[[worldbank_region]:[worldbank_region]]=$A5)*(LEN(all_lmics[prev])&gt;1)*(all_lmics[prev])*(all_lmics[[2017_population]:[2017_population]]))/SUMPRODUCT((all_lmics[[worldbank_region]:[worldbank_region]]=$A5)*(LEN(all_lmics[prev])&gt;1)*(all_lmics[[2017_population]:[2017_population]]))</f>
        <v>2.4824149407185619E-2</v>
      </c>
      <c r="J5">
        <f>SUMPRODUCT((all_lmics[[worldbank_region]:[worldbank_region]]=$A5)*(LEN(all_lmics[prev_lb])&gt;1)*(all_lmics[prev_lb])*(all_lmics[[2017_population]:[2017_population]]))/SUMPRODUCT((all_lmics[[worldbank_region]:[worldbank_region]]=$A5)*(LEN(all_lmics[prev_lb])&gt;1)*(all_lmics[[2017_population]:[2017_population]]))</f>
        <v>2.087906907906284E-2</v>
      </c>
      <c r="K5">
        <f>SUMPRODUCT((all_lmics[[worldbank_region]:[worldbank_region]]=$A5)*(LEN(all_lmics[prev_ub])&gt;1)*(all_lmics[prev_ub])*(all_lmics[[2017_population]:[2017_population]]))/SUMPRODUCT((all_lmics[[worldbank_region]:[worldbank_region]]=$A5)*(LEN(all_lmics[prev_ub])&gt;1)*(all_lmics[[2017_population]:[2017_population]]))</f>
        <v>3.219088912667746E-2</v>
      </c>
      <c r="L5">
        <f>SUMPRODUCT((all_lmics[[worldbank_region]:[worldbank_region]]=$A5)*(LEN(all_lmics[sigma])&gt;1)*(all_lmics[sigma])*(all_lmics[[2017_population]:[2017_population]]))/SUMPRODUCT((all_lmics[[worldbank_region]:[worldbank_region]]=$A5)*(LEN(all_lmics[sigma])&gt;1)*(all_lmics[[2017_population]:[2017_population]]))</f>
        <v>3.7585406732101216E-3</v>
      </c>
      <c r="N5">
        <f>MIN(SUMPRODUCT((all_lmics[[worldbank_region]:[worldbank_region]]=$A5)*(LEN(all_lmics[SBA])&gt;0)*(all_lmics[SBA])*(all_lmics[[2017_births]:[2017_births]]))/SUMPRODUCT((all_lmics[[worldbank_region]:[worldbank_region]]=$A5)*(LEN(all_lmics[SBA])&gt;0)*(all_lmics[[2017_births]:[2017_births]]))*1.05, 0.9999)</f>
        <v>0.72486631244465682</v>
      </c>
      <c r="O5">
        <f>MIN(SUMPRODUCT((all_lmics[[worldbank_region]:[worldbank_region]]=$A5)*(LEN(all_lmics[Facility])&gt;0)*(all_lmics[Facility])*(all_lmics[[2017_births]:[2017_births]]))/SUMPRODUCT((all_lmics[[worldbank_region]:[worldbank_region]]=$A5)*(LEN(all_lmics[Facility])&gt;0)*(all_lmics[[2017_births]:[2017_births]]))*1.05, 0.9999)</f>
        <v>0.64692514696465442</v>
      </c>
      <c r="P5">
        <f>SUMPRODUCT((all_lmics[[worldbank_region]:[worldbank_region]]=$A5)*(LEN(all_lmics[mu_01])&gt;0)*(all_lmics[mu_01])*(all_lmics[[2017_births]:[2017_births]]))/SUMPRODUCT((all_lmics[[worldbank_region]:[worldbank_region]]=$A5)*(LEN(all_lmics[mu_01])&gt;0)*(all_lmics[[2017_births]:[2017_births]]))*1.05</f>
        <v>4.147903904147425E-2</v>
      </c>
      <c r="Q5">
        <f>SUMPRODUCT((all_lmics[[worldbank_region]:[worldbank_region]]=$A5)*(LEN(all_lmics[mu_14])&gt;0)*(all_lmics[mu_14])*(all_lmics[[2017_births]:[2017_births]]))/SUMPRODUCT((all_lmics[[worldbank_region]:[worldbank_region]]=$A5)*(LEN(all_lmics[mu_14])&gt;0)*(all_lmics[[2017_births]:[2017_births]]))*1.05</f>
        <v>3.0058147979090976E-3</v>
      </c>
      <c r="R5">
        <f>SUMPRODUCT((all_lmics[[worldbank_region]:[worldbank_region]]=$A5)*(LEN(all_lmics[mu_59])&gt;0)*(all_lmics[mu_59])*(all_lmics[[2017_births]:[2017_births]]))/SUMPRODUCT((all_lmics[[worldbank_region]:[worldbank_region]]=$A5)*(LEN(all_lmics[mu_59])&gt;0)*(all_lmics[[2017_births]:[2017_births]]))*1.05</f>
        <v>1.0271591969654619E-3</v>
      </c>
      <c r="S5">
        <f>SUMPRODUCT((all_lmics[[worldbank_region]:[worldbank_region]]=$A5)*(LEN(all_lmics[mu_1014])&gt;0)*(all_lmics[mu_1014])*(all_lmics[[2017_births]:[2017_births]]))/SUMPRODUCT((all_lmics[[worldbank_region]:[worldbank_region]]=$A5)*(LEN(all_lmics[mu_1014])&gt;0)*(all_lmics[[2017_births]:[2017_births]]))*1.05</f>
        <v>7.5548140773310879E-4</v>
      </c>
      <c r="T5">
        <f>SUMPRODUCT((all_lmics[[worldbank_region]:[worldbank_region]]=$A5)*(LEN(all_lmics[mu_1519])&gt;0)*(all_lmics[mu_1519])*(all_lmics[[2017_births]:[2017_births]]))/SUMPRODUCT((all_lmics[[worldbank_region]:[worldbank_region]]=$A5)*(LEN(all_lmics[mu_1519])&gt;0)*(all_lmics[[2017_births]:[2017_births]]))*1.05</f>
        <v>1.0923084426842961E-3</v>
      </c>
      <c r="U5">
        <f>SUMPRODUCT((all_lmics[[worldbank_region]:[worldbank_region]]=$A5)*(LEN(all_lmics[mu_2024])&gt;0)*(all_lmics[mu_2024])*(all_lmics[[2017_births]:[2017_births]]))/SUMPRODUCT((all_lmics[[worldbank_region]:[worldbank_region]]=$A5)*(LEN(all_lmics[mu_2024])&gt;0)*(all_lmics[[2017_births]:[2017_births]]))*1.05</f>
        <v>1.4976692873905119E-3</v>
      </c>
      <c r="V5">
        <f>SUMPRODUCT((all_lmics[[worldbank_region]:[worldbank_region]]=$A5)*(LEN(all_lmics[mu_2529])&gt;0)*(all_lmics[mu_2529])*(all_lmics[[2017_births]:[2017_births]]))/SUMPRODUCT((all_lmics[[worldbank_region]:[worldbank_region]]=$A5)*(LEN(all_lmics[mu_2529])&gt;0)*(all_lmics[[2017_births]:[2017_births]]))*1.05</f>
        <v>1.6874340891406556E-3</v>
      </c>
      <c r="W5">
        <f>SUMPRODUCT((all_lmics[[worldbank_region]:[worldbank_region]]=$A5)*(LEN(all_lmics[mu_3034])&gt;0)*(all_lmics[mu_3034])*(all_lmics[[2017_births]:[2017_births]]))/SUMPRODUCT((all_lmics[[worldbank_region]:[worldbank_region]]=$A5)*(LEN(all_lmics[mu_3034])&gt;0)*(all_lmics[[2017_births]:[2017_births]]))*1.05</f>
        <v>1.9787113141469057E-3</v>
      </c>
      <c r="X5">
        <f>SUMPRODUCT((all_lmics[[worldbank_region]:[worldbank_region]]=$A5)*(LEN(all_lmics[mu_3539])&gt;0)*(all_lmics[mu_3539])*(all_lmics[[2017_births]:[2017_births]]))/SUMPRODUCT((all_lmics[[worldbank_region]:[worldbank_region]]=$A5)*(LEN(all_lmics[mu_3539])&gt;0)*(all_lmics[[2017_births]:[2017_births]]))*1.05</f>
        <v>2.4743381504863447E-3</v>
      </c>
      <c r="Y5">
        <f>SUMPRODUCT((all_lmics[[worldbank_region]:[worldbank_region]]=$A5)*(LEN(all_lmics[mu_4044])&gt;0)*(all_lmics[mu_4044])*(all_lmics[[2017_births]:[2017_births]]))/SUMPRODUCT((all_lmics[[worldbank_region]:[worldbank_region]]=$A5)*(LEN(all_lmics[mu_4044])&gt;0)*(all_lmics[[2017_births]:[2017_births]]))*1.05</f>
        <v>3.326816391727249E-3</v>
      </c>
      <c r="Z5">
        <f>SUMPRODUCT((all_lmics[[worldbank_region]:[worldbank_region]]=$A5)*(LEN(all_lmics[mu_4549])&gt;0)*(all_lmics[mu_4549])*(all_lmics[[2017_births]:[2017_births]]))/SUMPRODUCT((all_lmics[[worldbank_region]:[worldbank_region]]=$A5)*(LEN(all_lmics[mu_4549])&gt;0)*(all_lmics[[2017_births]:[2017_births]]))*1.05</f>
        <v>4.9065139641846951E-3</v>
      </c>
      <c r="AA5">
        <f>SUMPRODUCT((all_lmics[[worldbank_region]:[worldbank_region]]=$A5)*(LEN(all_lmics[mu_5054])&gt;0)*(all_lmics[mu_5054])*(all_lmics[[2017_births]:[2017_births]]))/SUMPRODUCT((all_lmics[[worldbank_region]:[worldbank_region]]=$A5)*(LEN(all_lmics[mu_5054])&gt;0)*(all_lmics[[2017_births]:[2017_births]]))*1.05</f>
        <v>7.5946327197085372E-3</v>
      </c>
      <c r="AB5">
        <f>SUMPRODUCT((all_lmics[[worldbank_region]:[worldbank_region]]=$A5)*(LEN(all_lmics[mu_5559])&gt;0)*(all_lmics[mu_5559])*(all_lmics[[2017_births]:[2017_births]]))/SUMPRODUCT((all_lmics[[worldbank_region]:[worldbank_region]]=$A5)*(LEN(all_lmics[mu_5559])&gt;0)*(all_lmics[[2017_births]:[2017_births]]))*1.05</f>
        <v>1.1294798397144586E-2</v>
      </c>
      <c r="AC5">
        <f>SUMPRODUCT((all_lmics[[worldbank_region]:[worldbank_region]]=$A5)*(LEN(all_lmics[mu_6064])&gt;0)*(all_lmics[mu_6064])*(all_lmics[[2017_births]:[2017_births]]))/SUMPRODUCT((all_lmics[[worldbank_region]:[worldbank_region]]=$A5)*(LEN(all_lmics[mu_6064])&gt;0)*(all_lmics[[2017_births]:[2017_births]]))*1.05</f>
        <v>1.8407118900589145E-2</v>
      </c>
      <c r="AD5">
        <f>SUMPRODUCT((all_lmics[[worldbank_region]:[worldbank_region]]=$A5)*(LEN(all_lmics[mu_6569])&gt;0)*(all_lmics[mu_6569])*(all_lmics[[2017_births]:[2017_births]]))/SUMPRODUCT((all_lmics[[worldbank_region]:[worldbank_region]]=$A5)*(LEN(all_lmics[mu_6569])&gt;0)*(all_lmics[[2017_births]:[2017_births]]))*1.05</f>
        <v>2.9502918083612519E-2</v>
      </c>
      <c r="AE5">
        <f>SUMPRODUCT((all_lmics[[worldbank_region]:[worldbank_region]]=$A5)*(LEN(all_lmics[mu_7074])&gt;0)*(all_lmics[mu_7074])*(all_lmics[[2017_births]:[2017_births]]))/SUMPRODUCT((all_lmics[[worldbank_region]:[worldbank_region]]=$A5)*(LEN(all_lmics[mu_7074])&gt;0)*(all_lmics[[2017_births]:[2017_births]]))*1.05</f>
        <v>4.8867538844596027E-2</v>
      </c>
      <c r="AF5">
        <f>SUMPRODUCT((all_lmics[[worldbank_region]:[worldbank_region]]=$A5)*(LEN(all_lmics[mu_7579])&gt;0)*(all_lmics[mu_7579])*(all_lmics[[2017_births]:[2017_births]]))/SUMPRODUCT((all_lmics[[worldbank_region]:[worldbank_region]]=$A5)*(LEN(all_lmics[mu_7579])&gt;0)*(all_lmics[[2017_births]:[2017_births]]))*1.05</f>
        <v>8.0464780458348317E-2</v>
      </c>
      <c r="AG5">
        <f>SUMPRODUCT((all_lmics[[worldbank_region]:[worldbank_region]]=$A5)*(LEN(all_lmics[mu_8084])&gt;0)*(all_lmics[mu_8084])*(all_lmics[[2017_births]:[2017_births]]))/SUMPRODUCT((all_lmics[[worldbank_region]:[worldbank_region]]=$A5)*(LEN(all_lmics[mu_8084])&gt;0)*(all_lmics[[2017_births]:[2017_births]]))*1.05</f>
        <v>0.13130422405718606</v>
      </c>
      <c r="AH5">
        <f>SUMPRODUCT((all_lmics[[worldbank_region]:[worldbank_region]]=$A5)*(LEN(all_lmics[mu_8589])&gt;0)*(all_lmics[mu_8589])*(all_lmics[[2017_births]:[2017_births]]))/SUMPRODUCT((all_lmics[[worldbank_region]:[worldbank_region]]=$A5)*(LEN(all_lmics[mu_8589])&gt;0)*(all_lmics[[2017_births]:[2017_births]]))*1.05</f>
        <v>0.20866514776463857</v>
      </c>
      <c r="AI5">
        <f>SUMPRODUCT((all_lmics[[worldbank_region]:[worldbank_region]]=$A5)*(LEN(all_lmics[mu_9094])&gt;0)*(all_lmics[mu_9094])*(all_lmics[[2017_births]:[2017_births]]))/SUMPRODUCT((all_lmics[[worldbank_region]:[worldbank_region]]=$A5)*(LEN(all_lmics[mu_9094])&gt;0)*(all_lmics[[2017_births]:[2017_births]]))*1.05</f>
        <v>0.3131088755322276</v>
      </c>
      <c r="AJ5">
        <f>SUMPRODUCT((all_lmics[[worldbank_region]:[worldbank_region]]=$A5)*(LEN(all_lmics[mu_9599])&gt;0)*(all_lmics[mu_9599])*(all_lmics[[2017_births]:[2017_births]]))/SUMPRODUCT((all_lmics[[worldbank_region]:[worldbank_region]]=$A5)*(LEN(all_lmics[mu_9599])&gt;0)*(all_lmics[[2017_births]:[2017_births]]))*1.05</f>
        <v>0.43766777369953991</v>
      </c>
      <c r="AK5">
        <f>SUMPRODUCT((all_lmics[[worldbank_region]:[worldbank_region]]=$A5)*(LEN(all_lmics[mu_100])&gt;0)*(all_lmics[mu_100])*(all_lmics[[2017_births]:[2017_births]]))/SUMPRODUCT((all_lmics[[worldbank_region]:[worldbank_region]]=$A5)*(LEN(all_lmics[mu_100])&gt;0)*(all_lmics[[2017_births]:[2017_births]]))*1.05</f>
        <v>0.56369028832804835</v>
      </c>
      <c r="AL5">
        <f>SUMPRODUCT((all_lmics[[worldbank_region]:[worldbank_region]]=$A5)*(LEN(all_lmics[c_A])&gt;0)*(all_lmics[c_A])*(all_lmics[[2017_births]:[2017_births]]))/SUMPRODUCT((all_lmics[[worldbank_region]:[worldbank_region]]=$A5)*(LEN(all_lmics[c_A])&gt;0)*(all_lmics[[2017_births]:[2017_births]]))*1.05</f>
        <v>60.801990900000007</v>
      </c>
      <c r="AM5">
        <f>SUMPRODUCT((all_lmics[[worldbank_region]:[worldbank_region]]=$A5)*(LEN(all_lmics[c_C])&gt;0)*(all_lmics[c_C])*(all_lmics[[2017_births]:[2017_births]]))/SUMPRODUCT((all_lmics[[worldbank_region]:[worldbank_region]]=$A5)*(LEN(all_lmics[c_C])&gt;0)*(all_lmics[[2017_births]:[2017_births]]))*1.05</f>
        <v>60.801990900000007</v>
      </c>
      <c r="AN5">
        <f>SUMPRODUCT((all_lmics[[worldbank_region]:[worldbank_region]]=$A5)*(LEN(all_lmics[c_CC])&gt;0)*(all_lmics[c_CC])*(all_lmics[[2017_births]:[2017_births]]))/SUMPRODUCT((all_lmics[[worldbank_region]:[worldbank_region]]=$A5)*(LEN(all_lmics[c_CC])&gt;0)*(all_lmics[[2017_births]:[2017_births]]))*1.05</f>
        <v>110.91729389999999</v>
      </c>
      <c r="AO5">
        <f>SUMPRODUCT((all_lmics[[worldbank_region]:[worldbank_region]]=$A5)*(LEN(all_lmics[c_DC])&gt;0)*(all_lmics[c_DC])*(all_lmics[[2017_births]:[2017_births]]))/SUMPRODUCT((all_lmics[[worldbank_region]:[worldbank_region]]=$A5)*(LEN(all_lmics[c_DC])&gt;0)*(all_lmics[[2017_births]:[2017_births]]))*1.05</f>
        <v>110.91729389999999</v>
      </c>
      <c r="AP5">
        <f>SUMPRODUCT((all_lmics[[worldbank_region]:[worldbank_region]]=$A5)*(LEN(all_lmics[c_HCC])&gt;0)*(all_lmics[c_HCC])*(all_lmics[[2017_births]:[2017_births]]))/SUMPRODUCT((all_lmics[[worldbank_region]:[worldbank_region]]=$A5)*(LEN(all_lmics[c_HCC])&gt;0)*(all_lmics[[2017_births]:[2017_births]]))*1.05</f>
        <v>110.91729389999999</v>
      </c>
      <c r="AQ5">
        <f>SUMPRODUCT((all_lmics[[worldbank_region]:[worldbank_region]]=$A5)*(LEN(all_lmics[fac_cc])&gt;0)*(all_lmics[fac_cc])*(all_lmics[[2017_births]:[2017_births]]))/SUMPRODUCT((all_lmics[[worldbank_region]:[worldbank_region]]=$A5)*(LEN(all_lmics[fac_cc])&gt;0)*(all_lmics[[2017_births]:[2017_births]]))*1.05</f>
        <v>1.5789322500000003</v>
      </c>
      <c r="AR5">
        <f>SUMPRODUCT((all_lmics[[worldbank_region]:[worldbank_region]]=$A5)*(LEN(all_lmics[fac_ctc])&gt;0)*(all_lmics[fac_ctc])*(all_lmics[[2017_births]:[2017_births]]))/SUMPRODUCT((all_lmics[[worldbank_region]:[worldbank_region]]=$A5)*(LEN(all_lmics[fac_ctc])&gt;0)*(all_lmics[[2017_births]:[2017_births]]))*1.05</f>
        <v>2.22730725</v>
      </c>
      <c r="AS5">
        <f>SUMPRODUCT((all_lmics[[worldbank_region]:[worldbank_region]]=$A5)*(LEN(all_lmics[com_cc])&gt;0)*(all_lmics[com_cc])*(all_lmics[[2017_births]:[2017_births]]))/SUMPRODUCT((all_lmics[[worldbank_region]:[worldbank_region]]=$A5)*(LEN(all_lmics[com_cc])&gt;0)*(all_lmics[[2017_births]:[2017_births]]))*1.05</f>
        <v>2.0823736500000001</v>
      </c>
      <c r="AT5">
        <f>SUMPRODUCT((all_lmics[[worldbank_region]:[worldbank_region]]=$A5)*(LEN(all_lmics[com_ctc])&gt;0)*(all_lmics[com_ctc])*(all_lmics[[2017_births]:[2017_births]]))/SUMPRODUCT((all_lmics[[worldbank_region]:[worldbank_region]]=$A5)*(LEN(all_lmics[com_ctc])&gt;0)*(all_lmics[[2017_births]:[2017_births]]))*1.05</f>
        <v>2.7307486500000002</v>
      </c>
      <c r="AU5">
        <f>SUMPRODUCT((all_lmics[[worldbank_region]:[worldbank_region]]=$A5)*(LEN(all_lmics[com_cpad])&gt;0)*(all_lmics[com_cpad])*(all_lmics[[2017_births]:[2017_births]]))/SUMPRODUCT((all_lmics[[worldbank_region]:[worldbank_region]]=$A5)*(LEN(all_lmics[com_cpad])&gt;0)*(all_lmics[[2017_births]:[2017_births]]))*1.05</f>
        <v>3.3295132500000002</v>
      </c>
      <c r="AV5">
        <f>SUMPRODUCT((all_lmics[[worldbank_region]:[worldbank_region]]=$A5)*(LEN(all_lmics[SBA_nfac])&gt;1)*(all_lmics[SBA_nfac])*(all_lmics[[2017_births]:[2017_births]]))/SUMPRODUCT((all_lmics[[worldbank_region]:[worldbank_region]]=$A5)*(LEN(all_lmics[SBA_nfac])&gt;1)*(all_lmics[[2017_births]:[2017_births]]))*1.05</f>
        <v>0.21680499050414137</v>
      </c>
      <c r="AW5">
        <f>VLOOKUP($A5, hbe[],4,FALSE)</f>
        <v>0.5</v>
      </c>
      <c r="AX5">
        <f>VLOOKUP($A5, hbe[], 7, FALSE)</f>
        <v>1</v>
      </c>
      <c r="AY5">
        <f>VLOOKUP($A5, hbe[], 10, FALSE)</f>
        <v>0.25</v>
      </c>
    </row>
    <row r="6" spans="1:51" x14ac:dyDescent="0.35">
      <c r="A6" t="s">
        <v>37</v>
      </c>
      <c r="D6">
        <f>SUMPRODUCT((all_lmics[[worldbank_region]:[worldbank_region]]=Table202425[[#This Row],[Setting]])*(all_lmics[[2017_population]:[2017_population]]))</f>
        <v>1614556701</v>
      </c>
      <c r="F6" s="41">
        <f>SUMPRODUCT((all_lmics[[worldbank_region]:[worldbank_region]]=Table202425[[#This Row],[Setting]])*(all_lmics[[2017_births]:[2017_births]]))</f>
        <v>30530318.765715003</v>
      </c>
      <c r="G6">
        <f>SUMPRODUCT((all_lmics[worldbank_region]=$A6)*(LEN(all_lmics[birth_dose])&gt;0)*(all_lmics[birth_dose])*(all_lmics[2017_births]))/SUMPRODUCT((all_lmics[worldbank_region]=$A6)*(LEN(all_lmics[birth_dose])&gt;0)*(all_lmics[2017_births]))*1.05</f>
        <v>0.47774439110205236</v>
      </c>
      <c r="H6">
        <f>SUMPRODUCT((all_lmics[worldbank_region]=$A6)*(LEN(all_lmics[HBV3])&gt;0)*(all_lmics[HBV3])*(all_lmics[2017_births]))/SUMPRODUCT((all_lmics[worldbank_region]=$A6)*(LEN(all_lmics[HBV3])&gt;0)*(all_lmics[2017_births]))*1.05</f>
        <v>0.93536735329554055</v>
      </c>
      <c r="I6">
        <f>SUMPRODUCT((all_lmics[[worldbank_region]:[worldbank_region]]=$A6)*(LEN(all_lmics[prev])&gt;1)*(all_lmics[prev])*(all_lmics[[2017_population]:[2017_population]]))/SUMPRODUCT((all_lmics[[worldbank_region]:[worldbank_region]]=$A6)*(LEN(all_lmics[prev])&gt;1)*(all_lmics[[2017_population]:[2017_population]]))</f>
        <v>2.9042976123168401E-2</v>
      </c>
      <c r="J6">
        <f>SUMPRODUCT((all_lmics[[worldbank_region]:[worldbank_region]]=$A6)*(LEN(all_lmics[prev_lb])&gt;1)*(all_lmics[prev_lb])*(all_lmics[[2017_population]:[2017_population]]))/SUMPRODUCT((all_lmics[[worldbank_region]:[worldbank_region]]=$A6)*(LEN(all_lmics[prev_lb])&gt;1)*(all_lmics[[2017_population]:[2017_population]]))</f>
        <v>2.3703460291678725E-2</v>
      </c>
      <c r="K6">
        <f>SUMPRODUCT((all_lmics[[worldbank_region]:[worldbank_region]]=$A6)*(LEN(all_lmics[prev_ub])&gt;1)*(all_lmics[prev_ub])*(all_lmics[[2017_population]:[2017_population]]))/SUMPRODUCT((all_lmics[[worldbank_region]:[worldbank_region]]=$A6)*(LEN(all_lmics[prev_ub])&gt;1)*(all_lmics[[2017_population]:[2017_population]]))</f>
        <v>3.2561757047722864E-2</v>
      </c>
      <c r="L6">
        <f>SUMPRODUCT((all_lmics[[worldbank_region]:[worldbank_region]]=$A6)*(LEN(all_lmics[sigma])&gt;1)*(all_lmics[sigma])*(all_lmics[[2017_population]:[2017_population]]))/SUMPRODUCT((all_lmics[[worldbank_region]:[worldbank_region]]=$A6)*(LEN(all_lmics[sigma])&gt;1)*(all_lmics[[2017_population]:[2017_population]]))</f>
        <v>1.7952963900788081E-3</v>
      </c>
      <c r="N6">
        <f>MIN(SUMPRODUCT((all_lmics[[worldbank_region]:[worldbank_region]]=$A6)*(LEN(all_lmics[SBA])&gt;0)*(all_lmics[SBA])*(all_lmics[[2017_births]:[2017_births]]))/SUMPRODUCT((all_lmics[[worldbank_region]:[worldbank_region]]=$A6)*(LEN(all_lmics[SBA])&gt;0)*(all_lmics[[2017_births]:[2017_births]]))*1.05, 0.9999)</f>
        <v>0.84881463654950018</v>
      </c>
      <c r="O6">
        <f>MIN(SUMPRODUCT((all_lmics[[worldbank_region]:[worldbank_region]]=$A6)*(LEN(all_lmics[Facility])&gt;0)*(all_lmics[Facility])*(all_lmics[[2017_births]:[2017_births]]))/SUMPRODUCT((all_lmics[[worldbank_region]:[worldbank_region]]=$A6)*(LEN(all_lmics[Facility])&gt;0)*(all_lmics[[2017_births]:[2017_births]]))*1.05, 0.9999)</f>
        <v>0.76702524245801662</v>
      </c>
      <c r="P6">
        <f>SUMPRODUCT((all_lmics[[worldbank_region]:[worldbank_region]]=$A6)*(LEN(all_lmics[mu_01])&gt;0)*(all_lmics[mu_01])*(all_lmics[[2017_births]:[2017_births]]))/SUMPRODUCT((all_lmics[[worldbank_region]:[worldbank_region]]=$A6)*(LEN(all_lmics[mu_01])&gt;0)*(all_lmics[[2017_births]:[2017_births]]))*1.05</f>
        <v>3.3876831301712533E-2</v>
      </c>
      <c r="Q6">
        <f>SUMPRODUCT((all_lmics[[worldbank_region]:[worldbank_region]]=$A6)*(LEN(all_lmics[mu_14])&gt;0)*(all_lmics[mu_14])*(all_lmics[[2017_births]:[2017_births]]))/SUMPRODUCT((all_lmics[[worldbank_region]:[worldbank_region]]=$A6)*(LEN(all_lmics[mu_14])&gt;0)*(all_lmics[[2017_births]:[2017_births]]))*1.05</f>
        <v>1.9669273110028396E-3</v>
      </c>
      <c r="R6">
        <f>SUMPRODUCT((all_lmics[[worldbank_region]:[worldbank_region]]=$A6)*(LEN(all_lmics[mu_59])&gt;0)*(all_lmics[mu_59])*(all_lmics[[2017_births]:[2017_births]]))/SUMPRODUCT((all_lmics[[worldbank_region]:[worldbank_region]]=$A6)*(LEN(all_lmics[mu_59])&gt;0)*(all_lmics[[2017_births]:[2017_births]]))*1.05</f>
        <v>7.6448376776530971E-4</v>
      </c>
      <c r="S6">
        <f>SUMPRODUCT((all_lmics[[worldbank_region]:[worldbank_region]]=$A6)*(LEN(all_lmics[mu_1014])&gt;0)*(all_lmics[mu_1014])*(all_lmics[[2017_births]:[2017_births]]))/SUMPRODUCT((all_lmics[[worldbank_region]:[worldbank_region]]=$A6)*(LEN(all_lmics[mu_1014])&gt;0)*(all_lmics[[2017_births]:[2017_births]]))*1.05</f>
        <v>6.4279237037907755E-4</v>
      </c>
      <c r="T6">
        <f>SUMPRODUCT((all_lmics[[worldbank_region]:[worldbank_region]]=$A6)*(LEN(all_lmics[mu_1519])&gt;0)*(all_lmics[mu_1519])*(all_lmics[[2017_births]:[2017_births]]))/SUMPRODUCT((all_lmics[[worldbank_region]:[worldbank_region]]=$A6)*(LEN(all_lmics[mu_1519])&gt;0)*(all_lmics[[2017_births]:[2017_births]]))*1.05</f>
        <v>1.0155095614826652E-3</v>
      </c>
      <c r="U6">
        <f>SUMPRODUCT((all_lmics[[worldbank_region]:[worldbank_region]]=$A6)*(LEN(all_lmics[mu_2024])&gt;0)*(all_lmics[mu_2024])*(all_lmics[[2017_births]:[2017_births]]))/SUMPRODUCT((all_lmics[[worldbank_region]:[worldbank_region]]=$A6)*(LEN(all_lmics[mu_2024])&gt;0)*(all_lmics[[2017_births]:[2017_births]]))*1.05</f>
        <v>1.4253548818461016E-3</v>
      </c>
      <c r="V6">
        <f>SUMPRODUCT((all_lmics[[worldbank_region]:[worldbank_region]]=$A6)*(LEN(all_lmics[mu_2529])&gt;0)*(all_lmics[mu_2529])*(all_lmics[[2017_births]:[2017_births]]))/SUMPRODUCT((all_lmics[[worldbank_region]:[worldbank_region]]=$A6)*(LEN(all_lmics[mu_2529])&gt;0)*(all_lmics[[2017_births]:[2017_births]]))*1.05</f>
        <v>1.590419313700718E-3</v>
      </c>
      <c r="W6">
        <f>SUMPRODUCT((all_lmics[[worldbank_region]:[worldbank_region]]=$A6)*(LEN(all_lmics[mu_3034])&gt;0)*(all_lmics[mu_3034])*(all_lmics[[2017_births]:[2017_births]]))/SUMPRODUCT((all_lmics[[worldbank_region]:[worldbank_region]]=$A6)*(LEN(all_lmics[mu_3034])&gt;0)*(all_lmics[[2017_births]:[2017_births]]))*1.05</f>
        <v>2.0146759963616027E-3</v>
      </c>
      <c r="X6">
        <f>SUMPRODUCT((all_lmics[[worldbank_region]:[worldbank_region]]=$A6)*(LEN(all_lmics[mu_3539])&gt;0)*(all_lmics[mu_3539])*(all_lmics[[2017_births]:[2017_births]]))/SUMPRODUCT((all_lmics[[worldbank_region]:[worldbank_region]]=$A6)*(LEN(all_lmics[mu_3539])&gt;0)*(all_lmics[[2017_births]:[2017_births]]))*1.05</f>
        <v>2.7736252900855242E-3</v>
      </c>
      <c r="Y6">
        <f>SUMPRODUCT((all_lmics[[worldbank_region]:[worldbank_region]]=$A6)*(LEN(all_lmics[mu_4044])&gt;0)*(all_lmics[mu_4044])*(all_lmics[[2017_births]:[2017_births]]))/SUMPRODUCT((all_lmics[[worldbank_region]:[worldbank_region]]=$A6)*(LEN(all_lmics[mu_4044])&gt;0)*(all_lmics[[2017_births]:[2017_births]]))*1.05</f>
        <v>3.7617113751751766E-3</v>
      </c>
      <c r="Z6">
        <f>SUMPRODUCT((all_lmics[[worldbank_region]:[worldbank_region]]=$A6)*(LEN(all_lmics[mu_4549])&gt;0)*(all_lmics[mu_4549])*(all_lmics[[2017_births]:[2017_births]]))/SUMPRODUCT((all_lmics[[worldbank_region]:[worldbank_region]]=$A6)*(LEN(all_lmics[mu_4549])&gt;0)*(all_lmics[[2017_births]:[2017_births]]))*1.05</f>
        <v>5.4595110246557135E-3</v>
      </c>
      <c r="AA6">
        <f>SUMPRODUCT((all_lmics[[worldbank_region]:[worldbank_region]]=$A6)*(LEN(all_lmics[mu_5054])&gt;0)*(all_lmics[mu_5054])*(all_lmics[[2017_births]:[2017_births]]))/SUMPRODUCT((all_lmics[[worldbank_region]:[worldbank_region]]=$A6)*(LEN(all_lmics[mu_5054])&gt;0)*(all_lmics[[2017_births]:[2017_births]]))*1.05</f>
        <v>8.7796818537037441E-3</v>
      </c>
      <c r="AB6">
        <f>SUMPRODUCT((all_lmics[[worldbank_region]:[worldbank_region]]=$A6)*(LEN(all_lmics[mu_5559])&gt;0)*(all_lmics[mu_5559])*(all_lmics[[2017_births]:[2017_births]]))/SUMPRODUCT((all_lmics[[worldbank_region]:[worldbank_region]]=$A6)*(LEN(all_lmics[mu_5559])&gt;0)*(all_lmics[[2017_births]:[2017_births]]))*1.05</f>
        <v>1.3283259798915472E-2</v>
      </c>
      <c r="AC6">
        <f>SUMPRODUCT((all_lmics[[worldbank_region]:[worldbank_region]]=$A6)*(LEN(all_lmics[mu_6064])&gt;0)*(all_lmics[mu_6064])*(all_lmics[[2017_births]:[2017_births]]))/SUMPRODUCT((all_lmics[[worldbank_region]:[worldbank_region]]=$A6)*(LEN(all_lmics[mu_6064])&gt;0)*(all_lmics[[2017_births]:[2017_births]]))*1.05</f>
        <v>2.0224654355283325E-2</v>
      </c>
      <c r="AD6">
        <f>SUMPRODUCT((all_lmics[[worldbank_region]:[worldbank_region]]=$A6)*(LEN(all_lmics[mu_6569])&gt;0)*(all_lmics[mu_6569])*(all_lmics[[2017_births]:[2017_births]]))/SUMPRODUCT((all_lmics[[worldbank_region]:[worldbank_region]]=$A6)*(LEN(all_lmics[mu_6569])&gt;0)*(all_lmics[[2017_births]:[2017_births]]))*1.05</f>
        <v>3.1003777893494532E-2</v>
      </c>
      <c r="AE6">
        <f>SUMPRODUCT((all_lmics[[worldbank_region]:[worldbank_region]]=$A6)*(LEN(all_lmics[mu_7074])&gt;0)*(all_lmics[mu_7074])*(all_lmics[[2017_births]:[2017_births]]))/SUMPRODUCT((all_lmics[[worldbank_region]:[worldbank_region]]=$A6)*(LEN(all_lmics[mu_7074])&gt;0)*(all_lmics[[2017_births]:[2017_births]]))*1.05</f>
        <v>4.9843874155148564E-2</v>
      </c>
      <c r="AF6">
        <f>SUMPRODUCT((all_lmics[[worldbank_region]:[worldbank_region]]=$A6)*(LEN(all_lmics[mu_7579])&gt;0)*(all_lmics[mu_7579])*(all_lmics[[2017_births]:[2017_births]]))/SUMPRODUCT((all_lmics[[worldbank_region]:[worldbank_region]]=$A6)*(LEN(all_lmics[mu_7579])&gt;0)*(all_lmics[[2017_births]:[2017_births]]))*1.05</f>
        <v>7.4531726286836977E-2</v>
      </c>
      <c r="AG6">
        <f>SUMPRODUCT((all_lmics[[worldbank_region]:[worldbank_region]]=$A6)*(LEN(all_lmics[mu_8084])&gt;0)*(all_lmics[mu_8084])*(all_lmics[[2017_births]:[2017_births]]))/SUMPRODUCT((all_lmics[[worldbank_region]:[worldbank_region]]=$A6)*(LEN(all_lmics[mu_8084])&gt;0)*(all_lmics[[2017_births]:[2017_births]]))*1.05</f>
        <v>0.11633390495234196</v>
      </c>
      <c r="AH6">
        <f>SUMPRODUCT((all_lmics[[worldbank_region]:[worldbank_region]]=$A6)*(LEN(all_lmics[mu_8589])&gt;0)*(all_lmics[mu_8589])*(all_lmics[[2017_births]:[2017_births]]))/SUMPRODUCT((all_lmics[[worldbank_region]:[worldbank_region]]=$A6)*(LEN(all_lmics[mu_8589])&gt;0)*(all_lmics[[2017_births]:[2017_births]]))*1.05</f>
        <v>0.1759975531323805</v>
      </c>
      <c r="AI6">
        <f>SUMPRODUCT((all_lmics[[worldbank_region]:[worldbank_region]]=$A6)*(LEN(all_lmics[mu_9094])&gt;0)*(all_lmics[mu_9094])*(all_lmics[[2017_births]:[2017_births]]))/SUMPRODUCT((all_lmics[[worldbank_region]:[worldbank_region]]=$A6)*(LEN(all_lmics[mu_9094])&gt;0)*(all_lmics[[2017_births]:[2017_births]]))*1.05</f>
        <v>0.25757094289714294</v>
      </c>
      <c r="AJ6">
        <f>SUMPRODUCT((all_lmics[[worldbank_region]:[worldbank_region]]=$A6)*(LEN(all_lmics[mu_9599])&gt;0)*(all_lmics[mu_9599])*(all_lmics[[2017_births]:[2017_births]]))/SUMPRODUCT((all_lmics[[worldbank_region]:[worldbank_region]]=$A6)*(LEN(all_lmics[mu_9599])&gt;0)*(all_lmics[[2017_births]:[2017_births]]))*1.05</f>
        <v>0.25610871184477568</v>
      </c>
      <c r="AK6">
        <f>SUMPRODUCT((all_lmics[[worldbank_region]:[worldbank_region]]=$A6)*(LEN(all_lmics[mu_100])&gt;0)*(all_lmics[mu_100])*(all_lmics[[2017_births]:[2017_births]]))/SUMPRODUCT((all_lmics[[worldbank_region]:[worldbank_region]]=$A6)*(LEN(all_lmics[mu_100])&gt;0)*(all_lmics[[2017_births]:[2017_births]]))*1.05</f>
        <v>0.3575256688362215</v>
      </c>
      <c r="AL6">
        <f>SUMPRODUCT((all_lmics[[worldbank_region]:[worldbank_region]]=$A6)*(LEN(all_lmics[c_A])&gt;0)*(all_lmics[c_A])*(all_lmics[[2017_births]:[2017_births]]))/SUMPRODUCT((all_lmics[[worldbank_region]:[worldbank_region]]=$A6)*(LEN(all_lmics[c_A])&gt;0)*(all_lmics[[2017_births]:[2017_births]]))*1.05</f>
        <v>60.229898400000003</v>
      </c>
      <c r="AM6">
        <f>SUMPRODUCT((all_lmics[[worldbank_region]:[worldbank_region]]=$A6)*(LEN(all_lmics[c_C])&gt;0)*(all_lmics[c_C])*(all_lmics[[2017_births]:[2017_births]]))/SUMPRODUCT((all_lmics[[worldbank_region]:[worldbank_region]]=$A6)*(LEN(all_lmics[c_C])&gt;0)*(all_lmics[[2017_births]:[2017_births]]))*1.05</f>
        <v>60.229898400000003</v>
      </c>
      <c r="AN6">
        <f>SUMPRODUCT((all_lmics[[worldbank_region]:[worldbank_region]]=$A6)*(LEN(all_lmics[c_CC])&gt;0)*(all_lmics[c_CC])*(all_lmics[[2017_births]:[2017_births]]))/SUMPRODUCT((all_lmics[[worldbank_region]:[worldbank_region]]=$A6)*(LEN(all_lmics[c_CC])&gt;0)*(all_lmics[[2017_births]:[2017_births]]))*1.05</f>
        <v>110.34520139999999</v>
      </c>
      <c r="AO6">
        <f>SUMPRODUCT((all_lmics[[worldbank_region]:[worldbank_region]]=$A6)*(LEN(all_lmics[c_DC])&gt;0)*(all_lmics[c_DC])*(all_lmics[[2017_births]:[2017_births]]))/SUMPRODUCT((all_lmics[[worldbank_region]:[worldbank_region]]=$A6)*(LEN(all_lmics[c_DC])&gt;0)*(all_lmics[[2017_births]:[2017_births]]))*1.05</f>
        <v>110.34520139999999</v>
      </c>
      <c r="AP6">
        <f>SUMPRODUCT((all_lmics[[worldbank_region]:[worldbank_region]]=$A6)*(LEN(all_lmics[c_HCC])&gt;0)*(all_lmics[c_HCC])*(all_lmics[[2017_births]:[2017_births]]))/SUMPRODUCT((all_lmics[[worldbank_region]:[worldbank_region]]=$A6)*(LEN(all_lmics[c_HCC])&gt;0)*(all_lmics[[2017_births]:[2017_births]]))*1.05</f>
        <v>110.34520139999999</v>
      </c>
      <c r="AQ6">
        <f>SUMPRODUCT((all_lmics[[worldbank_region]:[worldbank_region]]=$A6)*(LEN(all_lmics[fac_cc])&gt;0)*(all_lmics[fac_cc])*(all_lmics[[2017_births]:[2017_births]]))/SUMPRODUCT((all_lmics[[worldbank_region]:[worldbank_region]]=$A6)*(LEN(all_lmics[fac_cc])&gt;0)*(all_lmics[[2017_births]:[2017_births]]))*1.05</f>
        <v>1.0068397500000001</v>
      </c>
      <c r="AR6">
        <f>SUMPRODUCT((all_lmics[[worldbank_region]:[worldbank_region]]=$A6)*(LEN(all_lmics[fac_ctc])&gt;0)*(all_lmics[fac_ctc])*(all_lmics[[2017_births]:[2017_births]]))/SUMPRODUCT((all_lmics[[worldbank_region]:[worldbank_region]]=$A6)*(LEN(all_lmics[fac_ctc])&gt;0)*(all_lmics[[2017_births]:[2017_births]]))*1.05</f>
        <v>1.6552147500000001</v>
      </c>
      <c r="AS6">
        <f>SUMPRODUCT((all_lmics[[worldbank_region]:[worldbank_region]]=$A6)*(LEN(all_lmics[com_cc])&gt;0)*(all_lmics[com_cc])*(all_lmics[[2017_births]:[2017_births]]))/SUMPRODUCT((all_lmics[[worldbank_region]:[worldbank_region]]=$A6)*(LEN(all_lmics[com_cc])&gt;0)*(all_lmics[[2017_births]:[2017_births]]))*1.05</f>
        <v>34.6802043</v>
      </c>
      <c r="AT6">
        <f>SUMPRODUCT((all_lmics[[worldbank_region]:[worldbank_region]]=$A6)*(LEN(all_lmics[com_ctc])&gt;0)*(all_lmics[com_ctc])*(all_lmics[[2017_births]:[2017_births]]))/SUMPRODUCT((all_lmics[[worldbank_region]:[worldbank_region]]=$A6)*(LEN(all_lmics[com_ctc])&gt;0)*(all_lmics[[2017_births]:[2017_births]]))*1.05</f>
        <v>35.328579300000001</v>
      </c>
      <c r="AU6">
        <f>SUMPRODUCT((all_lmics[[worldbank_region]:[worldbank_region]]=$A6)*(LEN(all_lmics[com_cpad])&gt;0)*(all_lmics[com_cpad])*(all_lmics[[2017_births]:[2017_births]]))/SUMPRODUCT((all_lmics[[worldbank_region]:[worldbank_region]]=$A6)*(LEN(all_lmics[com_cpad])&gt;0)*(all_lmics[[2017_births]:[2017_births]]))*1.05</f>
        <v>35.927343900000004</v>
      </c>
      <c r="AV6">
        <f>SUMPRODUCT((all_lmics[[worldbank_region]:[worldbank_region]]=$A6)*(LEN(all_lmics[SBA_nfac])&gt;1)*(all_lmics[SBA_nfac])*(all_lmics[[2017_births]:[2017_births]]))/SUMPRODUCT((all_lmics[[worldbank_region]:[worldbank_region]]=$A6)*(LEN(all_lmics[SBA_nfac])&gt;1)*(all_lmics[[2017_births]:[2017_births]]))*1.05</f>
        <v>0.13510897497632865</v>
      </c>
      <c r="AW6">
        <f>VLOOKUP($A6, hbe[],4,FALSE)</f>
        <v>0.5</v>
      </c>
      <c r="AX6">
        <f>VLOOKUP($A6, hbe[], 7, FALSE)</f>
        <v>1</v>
      </c>
      <c r="AY6">
        <f>VLOOKUP($A6, hbe[], 10, FALSE)</f>
        <v>0.25</v>
      </c>
    </row>
    <row r="7" spans="1:51" x14ac:dyDescent="0.35">
      <c r="A7" t="s">
        <v>15</v>
      </c>
      <c r="D7">
        <f>SUMPRODUCT((all_lmics[[worldbank_region]:[worldbank_region]]=Table202425[[#This Row],[Setting]])*(all_lmics[[2017_population]:[2017_population]]))</f>
        <v>1047317753</v>
      </c>
      <c r="F7" s="41">
        <f>SUMPRODUCT((all_lmics[[worldbank_region]:[worldbank_region]]=Table202425[[#This Row],[Setting]])*(all_lmics[[2017_births]:[2017_births]]))</f>
        <v>37535857.140928008</v>
      </c>
      <c r="G7">
        <f>SUMPRODUCT((all_lmics[worldbank_region]=$A7)*(LEN(all_lmics[birth_dose])&gt;0)*(all_lmics[birth_dose])*(all_lmics[2017_births]))/SUMPRODUCT((all_lmics[worldbank_region]=$A7)*(LEN(all_lmics[birth_dose])&gt;0)*(all_lmics[2017_births]))*1.05</f>
        <v>0.10464114374694182</v>
      </c>
      <c r="H7">
        <f>SUMPRODUCT((all_lmics[worldbank_region]=$A7)*(LEN(all_lmics[HBV3])&gt;0)*(all_lmics[HBV3])*(all_lmics[2017_births]))/SUMPRODUCT((all_lmics[worldbank_region]=$A7)*(LEN(all_lmics[HBV3])&gt;0)*(all_lmics[2017_births]))*1.05</f>
        <v>0.75659511597092155</v>
      </c>
      <c r="I7">
        <f>SUMPRODUCT((all_lmics[[worldbank_region]:[worldbank_region]]=$A7)*(LEN(all_lmics[prev])&gt;1)*(all_lmics[prev])*(all_lmics[[2017_population]:[2017_population]]))/SUMPRODUCT((all_lmics[[worldbank_region]:[worldbank_region]]=$A7)*(LEN(all_lmics[prev])&gt;1)*(all_lmics[[2017_population]:[2017_population]]))</f>
        <v>7.7526856610941636E-2</v>
      </c>
      <c r="J7">
        <f>SUMPRODUCT((all_lmics[[worldbank_region]:[worldbank_region]]=$A7)*(LEN(all_lmics[prev_lb])&gt;1)*(all_lmics[prev_lb])*(all_lmics[[2017_population]:[2017_population]]))/SUMPRODUCT((all_lmics[[worldbank_region]:[worldbank_region]]=$A7)*(LEN(all_lmics[prev_lb])&gt;1)*(all_lmics[[2017_population]:[2017_population]]))</f>
        <v>6.7595842196222014E-2</v>
      </c>
      <c r="K7">
        <f>SUMPRODUCT((all_lmics[[worldbank_region]:[worldbank_region]]=$A7)*(LEN(all_lmics[prev_ub])&gt;1)*(all_lmics[prev_ub])*(all_lmics[[2017_population]:[2017_population]]))/SUMPRODUCT((all_lmics[[worldbank_region]:[worldbank_region]]=$A7)*(LEN(all_lmics[prev_ub])&gt;1)*(all_lmics[[2017_population]:[2017_population]]))</f>
        <v>8.7275545121572137E-2</v>
      </c>
      <c r="L7">
        <f>SUMPRODUCT((all_lmics[[worldbank_region]:[worldbank_region]]=$A7)*(LEN(all_lmics[sigma])&gt;1)*(all_lmics[sigma])*(all_lmics[[2017_population]:[2017_population]]))/SUMPRODUCT((all_lmics[[worldbank_region]:[worldbank_region]]=$A7)*(LEN(all_lmics[sigma])&gt;1)*(all_lmics[[2017_population]:[2017_population]]))</f>
        <v>4.9738206686890376E-3</v>
      </c>
      <c r="N7">
        <f>MIN(SUMPRODUCT((all_lmics[[worldbank_region]:[worldbank_region]]=$A7)*(LEN(all_lmics[SBA])&gt;0)*(all_lmics[SBA])*(all_lmics[[2017_births]:[2017_births]]))/SUMPRODUCT((all_lmics[[worldbank_region]:[worldbank_region]]=$A7)*(LEN(all_lmics[SBA])&gt;0)*(all_lmics[[2017_births]:[2017_births]]))*1.05, 0.9999)</f>
        <v>0.6155625866759814</v>
      </c>
      <c r="O7">
        <f>MIN(SUMPRODUCT((all_lmics[[worldbank_region]:[worldbank_region]]=$A7)*(LEN(all_lmics[Facility])&gt;0)*(all_lmics[Facility])*(all_lmics[[2017_births]:[2017_births]]))/SUMPRODUCT((all_lmics[[worldbank_region]:[worldbank_region]]=$A7)*(LEN(all_lmics[Facility])&gt;0)*(all_lmics[[2017_births]:[2017_births]]))*1.05, 0.9999)</f>
        <v>0.61123415675654758</v>
      </c>
      <c r="P7">
        <f>SUMPRODUCT((all_lmics[[worldbank_region]:[worldbank_region]]=$A7)*(LEN(all_lmics[mu_01])&gt;0)*(all_lmics[mu_01])*(all_lmics[[2017_births]:[2017_births]]))/SUMPRODUCT((all_lmics[[worldbank_region]:[worldbank_region]]=$A7)*(LEN(all_lmics[mu_01])&gt;0)*(all_lmics[[2017_births]:[2017_births]]))*1.05</f>
        <v>5.5233766229613686E-2</v>
      </c>
      <c r="Q7">
        <f>SUMPRODUCT((all_lmics[[worldbank_region]:[worldbank_region]]=$A7)*(LEN(all_lmics[mu_14])&gt;0)*(all_lmics[mu_14])*(all_lmics[[2017_births]:[2017_births]]))/SUMPRODUCT((all_lmics[[worldbank_region]:[worldbank_region]]=$A7)*(LEN(all_lmics[mu_14])&gt;0)*(all_lmics[[2017_births]:[2017_births]]))*1.05</f>
        <v>7.1490072725207002E-3</v>
      </c>
      <c r="R7">
        <f>SUMPRODUCT((all_lmics[[worldbank_region]:[worldbank_region]]=$A7)*(LEN(all_lmics[mu_59])&gt;0)*(all_lmics[mu_59])*(all_lmics[[2017_births]:[2017_births]]))/SUMPRODUCT((all_lmics[[worldbank_region]:[worldbank_region]]=$A7)*(LEN(all_lmics[mu_59])&gt;0)*(all_lmics[[2017_births]:[2017_births]]))*1.05</f>
        <v>3.0315388983861774E-3</v>
      </c>
      <c r="S7">
        <f>SUMPRODUCT((all_lmics[[worldbank_region]:[worldbank_region]]=$A7)*(LEN(all_lmics[mu_1014])&gt;0)*(all_lmics[mu_1014])*(all_lmics[[2017_births]:[2017_births]]))/SUMPRODUCT((all_lmics[[worldbank_region]:[worldbank_region]]=$A7)*(LEN(all_lmics[mu_1014])&gt;0)*(all_lmics[[2017_births]:[2017_births]]))*1.05</f>
        <v>1.8802166011798762E-3</v>
      </c>
      <c r="T7">
        <f>SUMPRODUCT((all_lmics[[worldbank_region]:[worldbank_region]]=$A7)*(LEN(all_lmics[mu_1519])&gt;0)*(all_lmics[mu_1519])*(all_lmics[[2017_births]:[2017_births]]))/SUMPRODUCT((all_lmics[[worldbank_region]:[worldbank_region]]=$A7)*(LEN(all_lmics[mu_1519])&gt;0)*(all_lmics[[2017_births]:[2017_births]]))*1.05</f>
        <v>2.8265320905843331E-3</v>
      </c>
      <c r="U7">
        <f>SUMPRODUCT((all_lmics[[worldbank_region]:[worldbank_region]]=$A7)*(LEN(all_lmics[mu_2024])&gt;0)*(all_lmics[mu_2024])*(all_lmics[[2017_births]:[2017_births]]))/SUMPRODUCT((all_lmics[[worldbank_region]:[worldbank_region]]=$A7)*(LEN(all_lmics[mu_2024])&gt;0)*(all_lmics[[2017_births]:[2017_births]]))*1.05</f>
        <v>3.7803228981372048E-3</v>
      </c>
      <c r="V7">
        <f>SUMPRODUCT((all_lmics[[worldbank_region]:[worldbank_region]]=$A7)*(LEN(all_lmics[mu_2529])&gt;0)*(all_lmics[mu_2529])*(all_lmics[[2017_births]:[2017_births]]))/SUMPRODUCT((all_lmics[[worldbank_region]:[worldbank_region]]=$A7)*(LEN(all_lmics[mu_2529])&gt;0)*(all_lmics[[2017_births]:[2017_births]]))*1.05</f>
        <v>4.4777244865137501E-3</v>
      </c>
      <c r="W7">
        <f>SUMPRODUCT((all_lmics[[worldbank_region]:[worldbank_region]]=$A7)*(LEN(all_lmics[mu_3034])&gt;0)*(all_lmics[mu_3034])*(all_lmics[[2017_births]:[2017_births]]))/SUMPRODUCT((all_lmics[[worldbank_region]:[worldbank_region]]=$A7)*(LEN(all_lmics[mu_3034])&gt;0)*(all_lmics[[2017_births]:[2017_births]]))*1.05</f>
        <v>5.2171565196746398E-3</v>
      </c>
      <c r="X7">
        <f>SUMPRODUCT((all_lmics[[worldbank_region]:[worldbank_region]]=$A7)*(LEN(all_lmics[mu_3539])&gt;0)*(all_lmics[mu_3539])*(all_lmics[[2017_births]:[2017_births]]))/SUMPRODUCT((all_lmics[[worldbank_region]:[worldbank_region]]=$A7)*(LEN(all_lmics[mu_3539])&gt;0)*(all_lmics[[2017_births]:[2017_births]]))*1.05</f>
        <v>6.3591466441400551E-3</v>
      </c>
      <c r="Y7">
        <f>SUMPRODUCT((all_lmics[[worldbank_region]:[worldbank_region]]=$A7)*(LEN(all_lmics[mu_4044])&gt;0)*(all_lmics[mu_4044])*(all_lmics[[2017_births]:[2017_births]]))/SUMPRODUCT((all_lmics[[worldbank_region]:[worldbank_region]]=$A7)*(LEN(all_lmics[mu_4044])&gt;0)*(all_lmics[[2017_births]:[2017_births]]))*1.05</f>
        <v>7.6298616404522858E-3</v>
      </c>
      <c r="Z7">
        <f>SUMPRODUCT((all_lmics[[worldbank_region]:[worldbank_region]]=$A7)*(LEN(all_lmics[mu_4549])&gt;0)*(all_lmics[mu_4549])*(all_lmics[[2017_births]:[2017_births]]))/SUMPRODUCT((all_lmics[[worldbank_region]:[worldbank_region]]=$A7)*(LEN(all_lmics[mu_4549])&gt;0)*(all_lmics[[2017_births]:[2017_births]]))*1.05</f>
        <v>9.2009733185622958E-3</v>
      </c>
      <c r="AA7">
        <f>SUMPRODUCT((all_lmics[[worldbank_region]:[worldbank_region]]=$A7)*(LEN(all_lmics[mu_5054])&gt;0)*(all_lmics[mu_5054])*(all_lmics[[2017_births]:[2017_births]]))/SUMPRODUCT((all_lmics[[worldbank_region]:[worldbank_region]]=$A7)*(LEN(all_lmics[mu_5054])&gt;0)*(all_lmics[[2017_births]:[2017_births]]))*1.05</f>
        <v>1.2269138049414173E-2</v>
      </c>
      <c r="AB7">
        <f>SUMPRODUCT((all_lmics[[worldbank_region]:[worldbank_region]]=$A7)*(LEN(all_lmics[mu_5559])&gt;0)*(all_lmics[mu_5559])*(all_lmics[[2017_births]:[2017_births]]))/SUMPRODUCT((all_lmics[[worldbank_region]:[worldbank_region]]=$A7)*(LEN(all_lmics[mu_5559])&gt;0)*(all_lmics[[2017_births]:[2017_births]]))*1.05</f>
        <v>1.6479228480439433E-2</v>
      </c>
      <c r="AC7">
        <f>SUMPRODUCT((all_lmics[[worldbank_region]:[worldbank_region]]=$A7)*(LEN(all_lmics[mu_6064])&gt;0)*(all_lmics[mu_6064])*(all_lmics[[2017_births]:[2017_births]]))/SUMPRODUCT((all_lmics[[worldbank_region]:[worldbank_region]]=$A7)*(LEN(all_lmics[mu_6064])&gt;0)*(all_lmics[[2017_births]:[2017_births]]))*1.05</f>
        <v>2.4787541510944915E-2</v>
      </c>
      <c r="AD7">
        <f>SUMPRODUCT((all_lmics[[worldbank_region]:[worldbank_region]]=$A7)*(LEN(all_lmics[mu_6569])&gt;0)*(all_lmics[mu_6569])*(all_lmics[[2017_births]:[2017_births]]))/SUMPRODUCT((all_lmics[[worldbank_region]:[worldbank_region]]=$A7)*(LEN(all_lmics[mu_6569])&gt;0)*(all_lmics[[2017_births]:[2017_births]]))*1.05</f>
        <v>3.8291791965564877E-2</v>
      </c>
      <c r="AE7">
        <f>SUMPRODUCT((all_lmics[[worldbank_region]:[worldbank_region]]=$A7)*(LEN(all_lmics[mu_7074])&gt;0)*(all_lmics[mu_7074])*(all_lmics[[2017_births]:[2017_births]]))/SUMPRODUCT((all_lmics[[worldbank_region]:[worldbank_region]]=$A7)*(LEN(all_lmics[mu_7074])&gt;0)*(all_lmics[[2017_births]:[2017_births]]))*1.05</f>
        <v>6.1877841909816392E-2</v>
      </c>
      <c r="AF7">
        <f>SUMPRODUCT((all_lmics[[worldbank_region]:[worldbank_region]]=$A7)*(LEN(all_lmics[mu_7579])&gt;0)*(all_lmics[mu_7579])*(all_lmics[[2017_births]:[2017_births]]))/SUMPRODUCT((all_lmics[[worldbank_region]:[worldbank_region]]=$A7)*(LEN(all_lmics[mu_7579])&gt;0)*(all_lmics[[2017_births]:[2017_births]]))*1.05</f>
        <v>0.10053189410031166</v>
      </c>
      <c r="AG7">
        <f>SUMPRODUCT((all_lmics[[worldbank_region]:[worldbank_region]]=$A7)*(LEN(all_lmics[mu_8084])&gt;0)*(all_lmics[mu_8084])*(all_lmics[[2017_births]:[2017_births]]))/SUMPRODUCT((all_lmics[[worldbank_region]:[worldbank_region]]=$A7)*(LEN(all_lmics[mu_8084])&gt;0)*(all_lmics[[2017_births]:[2017_births]]))*1.05</f>
        <v>0.16436645256093738</v>
      </c>
      <c r="AH7">
        <f>SUMPRODUCT((all_lmics[[worldbank_region]:[worldbank_region]]=$A7)*(LEN(all_lmics[mu_8589])&gt;0)*(all_lmics[mu_8589])*(all_lmics[[2017_births]:[2017_births]]))/SUMPRODUCT((all_lmics[[worldbank_region]:[worldbank_region]]=$A7)*(LEN(all_lmics[mu_8589])&gt;0)*(all_lmics[[2017_births]:[2017_births]]))*1.05</f>
        <v>0.26009892528273776</v>
      </c>
      <c r="AI7">
        <f>SUMPRODUCT((all_lmics[[worldbank_region]:[worldbank_region]]=$A7)*(LEN(all_lmics[mu_9094])&gt;0)*(all_lmics[mu_9094])*(all_lmics[[2017_births]:[2017_births]]))/SUMPRODUCT((all_lmics[[worldbank_region]:[worldbank_region]]=$A7)*(LEN(all_lmics[mu_9094])&gt;0)*(all_lmics[[2017_births]:[2017_births]]))*1.05</f>
        <v>0.3950440839175301</v>
      </c>
      <c r="AJ7">
        <f>SUMPRODUCT((all_lmics[[worldbank_region]:[worldbank_region]]=$A7)*(LEN(all_lmics[mu_9599])&gt;0)*(all_lmics[mu_9599])*(all_lmics[[2017_births]:[2017_births]]))/SUMPRODUCT((all_lmics[[worldbank_region]:[worldbank_region]]=$A7)*(LEN(all_lmics[mu_9599])&gt;0)*(all_lmics[[2017_births]:[2017_births]]))*1.05</f>
        <v>0.53464477517838005</v>
      </c>
      <c r="AK7">
        <f>SUMPRODUCT((all_lmics[[worldbank_region]:[worldbank_region]]=$A7)*(LEN(all_lmics[mu_100])&gt;0)*(all_lmics[mu_100])*(all_lmics[[2017_births]:[2017_births]]))/SUMPRODUCT((all_lmics[[worldbank_region]:[worldbank_region]]=$A7)*(LEN(all_lmics[mu_100])&gt;0)*(all_lmics[[2017_births]:[2017_births]]))*1.05</f>
        <v>0.7170706242648387</v>
      </c>
      <c r="AL7">
        <f>SUMPRODUCT((all_lmics[[worldbank_region]:[worldbank_region]]=$A7)*(LEN(all_lmics[c_A])&gt;0)*(all_lmics[c_A])*(all_lmics[[2017_births]:[2017_births]]))/SUMPRODUCT((all_lmics[[worldbank_region]:[worldbank_region]]=$A7)*(LEN(all_lmics[c_A])&gt;0)*(all_lmics[[2017_births]:[2017_births]]))*1.05</f>
        <v>31.407878249999982</v>
      </c>
      <c r="AM7">
        <f>SUMPRODUCT((all_lmics[[worldbank_region]:[worldbank_region]]=$A7)*(LEN(all_lmics[c_C])&gt;0)*(all_lmics[c_C])*(all_lmics[[2017_births]:[2017_births]]))/SUMPRODUCT((all_lmics[[worldbank_region]:[worldbank_region]]=$A7)*(LEN(all_lmics[c_C])&gt;0)*(all_lmics[[2017_births]:[2017_births]]))*1.05</f>
        <v>31.407878249999982</v>
      </c>
      <c r="AN7">
        <f>SUMPRODUCT((all_lmics[[worldbank_region]:[worldbank_region]]=$A7)*(LEN(all_lmics[c_CC])&gt;0)*(all_lmics[c_CC])*(all_lmics[[2017_births]:[2017_births]]))/SUMPRODUCT((all_lmics[[worldbank_region]:[worldbank_region]]=$A7)*(LEN(all_lmics[c_CC])&gt;0)*(all_lmics[[2017_births]:[2017_births]]))*1.05</f>
        <v>81.523181249999993</v>
      </c>
      <c r="AO7">
        <f>SUMPRODUCT((all_lmics[[worldbank_region]:[worldbank_region]]=$A7)*(LEN(all_lmics[c_DC])&gt;0)*(all_lmics[c_DC])*(all_lmics[[2017_births]:[2017_births]]))/SUMPRODUCT((all_lmics[[worldbank_region]:[worldbank_region]]=$A7)*(LEN(all_lmics[c_DC])&gt;0)*(all_lmics[[2017_births]:[2017_births]]))*1.05</f>
        <v>81.523181249999993</v>
      </c>
      <c r="AP7">
        <f>SUMPRODUCT((all_lmics[[worldbank_region]:[worldbank_region]]=$A7)*(LEN(all_lmics[c_HCC])&gt;0)*(all_lmics[c_HCC])*(all_lmics[[2017_births]:[2017_births]]))/SUMPRODUCT((all_lmics[[worldbank_region]:[worldbank_region]]=$A7)*(LEN(all_lmics[c_HCC])&gt;0)*(all_lmics[[2017_births]:[2017_births]]))*1.05</f>
        <v>81.523181249999993</v>
      </c>
      <c r="AQ7">
        <f>SUMPRODUCT((all_lmics[[worldbank_region]:[worldbank_region]]=$A7)*(LEN(all_lmics[fac_cc])&gt;0)*(all_lmics[fac_cc])*(all_lmics[[2017_births]:[2017_births]]))/SUMPRODUCT((all_lmics[[worldbank_region]:[worldbank_region]]=$A7)*(LEN(all_lmics[fac_cc])&gt;0)*(all_lmics[[2017_births]:[2017_births]]))*1.05</f>
        <v>1.0182815999999997</v>
      </c>
      <c r="AR7">
        <f>SUMPRODUCT((all_lmics[[worldbank_region]:[worldbank_region]]=$A7)*(LEN(all_lmics[fac_ctc])&gt;0)*(all_lmics[fac_ctc])*(all_lmics[[2017_births]:[2017_births]]))/SUMPRODUCT((all_lmics[[worldbank_region]:[worldbank_region]]=$A7)*(LEN(all_lmics[fac_ctc])&gt;0)*(all_lmics[[2017_births]:[2017_births]]))*1.05</f>
        <v>1.6666565999999996</v>
      </c>
      <c r="AS7">
        <f>SUMPRODUCT((all_lmics[[worldbank_region]:[worldbank_region]]=$A7)*(LEN(all_lmics[com_cc])&gt;0)*(all_lmics[com_cc])*(all_lmics[[2017_births]:[2017_births]]))/SUMPRODUCT((all_lmics[[worldbank_region]:[worldbank_region]]=$A7)*(LEN(all_lmics[com_cc])&gt;0)*(all_lmics[[2017_births]:[2017_births]]))*1.05</f>
        <v>6.0870211499999991</v>
      </c>
      <c r="AT7">
        <f>SUMPRODUCT((all_lmics[[worldbank_region]:[worldbank_region]]=$A7)*(LEN(all_lmics[com_ctc])&gt;0)*(all_lmics[com_ctc])*(all_lmics[[2017_births]:[2017_births]]))/SUMPRODUCT((all_lmics[[worldbank_region]:[worldbank_region]]=$A7)*(LEN(all_lmics[com_ctc])&gt;0)*(all_lmics[[2017_births]:[2017_births]]))*1.05</f>
        <v>6.7353961499999988</v>
      </c>
      <c r="AU7">
        <f>SUMPRODUCT((all_lmics[[worldbank_region]:[worldbank_region]]=$A7)*(LEN(all_lmics[com_cpad])&gt;0)*(all_lmics[com_cpad])*(all_lmics[[2017_births]:[2017_births]]))/SUMPRODUCT((all_lmics[[worldbank_region]:[worldbank_region]]=$A7)*(LEN(all_lmics[com_cpad])&gt;0)*(all_lmics[[2017_births]:[2017_births]]))*1.05</f>
        <v>7.3341607499999979</v>
      </c>
      <c r="AV7">
        <f>SUMPRODUCT((all_lmics[[worldbank_region]:[worldbank_region]]=$A7)*(LEN(all_lmics[SBA_nfac])&gt;1)*(all_lmics[SBA_nfac])*(all_lmics[[2017_births]:[2017_births]]))/SUMPRODUCT((all_lmics[[worldbank_region]:[worldbank_region]]=$A7)*(LEN(all_lmics[SBA_nfac])&gt;1)*(all_lmics[[2017_births]:[2017_births]]))*1.05</f>
        <v>6.2787934362465117E-2</v>
      </c>
      <c r="AW7">
        <f>VLOOKUP($A7, hbe[],4,FALSE)</f>
        <v>0.5</v>
      </c>
      <c r="AX7">
        <f>VLOOKUP($A7, hbe[], 7, FALSE)</f>
        <v>1</v>
      </c>
      <c r="AY7">
        <f>VLOOKUP($A7, hbe[], 10, FALSE)</f>
        <v>0.25</v>
      </c>
    </row>
    <row r="8" spans="1:51" x14ac:dyDescent="0.35">
      <c r="A8" t="s">
        <v>493</v>
      </c>
      <c r="D8">
        <f>SUM(D2:D7)</f>
        <v>6493976405</v>
      </c>
      <c r="F8" s="41">
        <f>SUM(F2:F7)</f>
        <v>131575101.23101401</v>
      </c>
      <c r="G8">
        <f>SUMPRODUCT((LEN(all_lmics[birth_dose])&gt;0)*(all_lmics[birth_dose])*(all_lmics[2017_births]))/SUMPRODUCT((LEN(all_lmics[birth_dose])&gt;0)*(all_lmics[2017_births]))*1.05</f>
        <v>0.46386136797159905</v>
      </c>
      <c r="H8">
        <f>SUMPRODUCT((LEN(all_lmics[HBV3])&gt;0)*(all_lmics[HBV3])*(all_lmics[2017_births]))/SUMPRODUCT((LEN(all_lmics[HBV3])&gt;0)*(all_lmics[2017_births]))*1.05</f>
        <v>0.88462483692027105</v>
      </c>
      <c r="I8">
        <f>SUMPRODUCT((LEN(all_lmics[prev])&gt;1)*(all_lmics[prev])*(all_lmics[[2017_population]:[2017_population]]))/SUMPRODUCT(((LEN(all_lmics[prev])&gt;1)*(all_lmics[[2017_population]:[2017_population]])))</f>
        <v>4.4456665816163476E-2</v>
      </c>
      <c r="J8">
        <f>SUMPRODUCT((LEN(all_lmics[prev_lb])&gt;1)*(all_lmics[prev_lb])*(all_lmics[[2017_population]:[2017_population]]))/SUMPRODUCT((LEN(all_lmics[prev_lb])&gt;1)*(all_lmics[[2017_population]:[2017_population]]))</f>
        <v>3.8260166662956445E-2</v>
      </c>
      <c r="K8">
        <f>SUMPRODUCT((LEN(all_lmics[prev_ub])&gt;1)*(all_lmics[prev_ub])*(all_lmics[[2017_population]:[2017_population]]))/SUMPRODUCT((LEN(all_lmics[prev_ub])&gt;1)*(all_lmics[[2017_population]:[2017_population]]))</f>
        <v>5.1622846411637627E-2</v>
      </c>
      <c r="L8">
        <f>SUMPRODUCT((LEN(all_lmics[sigma])&gt;1)*(all_lmics[sigma])*(all_lmics[[2017_population]:[2017_population]]))/SUMPRODUCT((LEN(all_lmics[sigma])&gt;1)*(all_lmics[[2017_population]:[2017_population]]))</f>
        <v>3.6562535926171502E-3</v>
      </c>
      <c r="N8">
        <f>SUMPRODUCT((LEN(all_lmics[SBA])&gt;0)*(all_lmics[SBA])*(all_lmics[[2017_births]:[2017_births]]))/SUMPRODUCT((LEN(all_lmics[SBA])&gt;0)*(all_lmics[[2017_births]:[2017_births]]))*1.05</f>
        <v>0.81902814663958068</v>
      </c>
      <c r="O8">
        <f>SUMPRODUCT((LEN(all_lmics[Facility])&gt;0)*(all_lmics[Facility])*(all_lmics[[2017_births]:[2017_births]]))/SUMPRODUCT((LEN(all_lmics[Facility])&gt;0)*(all_lmics[[2017_births]:[2017_births]]))*1.05</f>
        <v>0.77762267955457975</v>
      </c>
      <c r="P8">
        <f>SUMPRODUCT((LEN(all_lmics[mu_01])&gt;0)*(all_lmics[mu_01])*(all_lmics[[2017_births]:[2017_births]]))/SUMPRODUCT((LEN(all_lmics[mu_01])&gt;0)*(all_lmics[[2017_births]:[2017_births]]))*1.05</f>
        <v>3.4100398289561684E-2</v>
      </c>
      <c r="Q8">
        <f>SUMPRODUCT((LEN(all_lmics[mu_14])&gt;0)*(all_lmics[mu_14])*(all_lmics[[2017_births]:[2017_births]]))/SUMPRODUCT((LEN(all_lmics[mu_14])&gt;0)*(all_lmics[[2017_births]:[2017_births]]))*1.05</f>
        <v>3.1992348882340783E-3</v>
      </c>
      <c r="R8">
        <f>SUMPRODUCT((LEN(all_lmics[mu_59])&gt;0)*(all_lmics[mu_59])*(all_lmics[[2017_births]:[2017_births]]))/SUMPRODUCT((LEN(all_lmics[mu_59])&gt;0)*(all_lmics[[2017_births]:[2017_births]]))*1.05</f>
        <v>1.3200714035716983E-3</v>
      </c>
      <c r="S8">
        <f>SUMPRODUCT((LEN(all_lmics[mu_1014])&gt;0)*(all_lmics[mu_1014])*(all_lmics[[2017_births]:[2017_births]]))/SUMPRODUCT((LEN(all_lmics[mu_1014])&gt;0)*(all_lmics[[2017_births]:[2017_births]]))*1.05</f>
        <v>9.1407235935049536E-4</v>
      </c>
      <c r="T8">
        <f>SUMPRODUCT((LEN(all_lmics[mu_1519])&gt;0)*(all_lmics[mu_1519])*(all_lmics[[2017_births]:[2017_births]]))/SUMPRODUCT((LEN(all_lmics[mu_1519])&gt;0)*(all_lmics[[2017_births]:[2017_births]]))*1.05</f>
        <v>1.4375915826679542E-3</v>
      </c>
      <c r="U8">
        <f>SUMPRODUCT((LEN(all_lmics[mu_2024])&gt;0)*(all_lmics[mu_2024])*(all_lmics[[2017_births]:[2017_births]]))/SUMPRODUCT((LEN(all_lmics[mu_2024])&gt;0)*(all_lmics[[2017_births]:[2017_births]]))*1.05</f>
        <v>1.9700890229393257E-3</v>
      </c>
      <c r="V8">
        <f>SUMPRODUCT((LEN(all_lmics[mu_2529])&gt;0)*(all_lmics[mu_2529])*(all_lmics[[2017_births]:[2017_births]]))/SUMPRODUCT((LEN(all_lmics[mu_2529])&gt;0)*(all_lmics[[2017_births]:[2017_births]]))*1.05</f>
        <v>2.3006408862862129E-3</v>
      </c>
      <c r="W8">
        <f>SUMPRODUCT((LEN(all_lmics[mu_3034])&gt;0)*(all_lmics[mu_3034])*(all_lmics[[2017_births]:[2017_births]]))/SUMPRODUCT((LEN(all_lmics[mu_3034])&gt;0)*(all_lmics[[2017_births]:[2017_births]]))*1.05</f>
        <v>2.7503714799527487E-3</v>
      </c>
      <c r="X8">
        <f>SUMPRODUCT((LEN(all_lmics[mu_3539])&gt;0)*(all_lmics[mu_3539])*(all_lmics[[2017_births]:[2017_births]]))/SUMPRODUCT((LEN(all_lmics[mu_3539])&gt;0)*(all_lmics[[2017_births]:[2017_births]]))*1.05</f>
        <v>3.4738514979367301E-3</v>
      </c>
      <c r="Y8">
        <f>SUMPRODUCT((LEN(all_lmics[mu_4044])&gt;0)*(all_lmics[mu_4044])*(all_lmics[[2017_births]:[2017_births]]))/SUMPRODUCT((LEN(all_lmics[mu_4044])&gt;0)*(all_lmics[[2017_births]:[2017_births]]))*1.05</f>
        <v>4.4188903562360849E-3</v>
      </c>
      <c r="Z8">
        <f>SUMPRODUCT((LEN(all_lmics[mu_4549])&gt;0)*(all_lmics[mu_4549])*(all_lmics[[2017_births]:[2017_births]]))/SUMPRODUCT((LEN(all_lmics[mu_4549])&gt;0)*(all_lmics[[2017_births]:[2017_births]]))*1.05</f>
        <v>5.8721328693513587E-3</v>
      </c>
      <c r="AA8">
        <f>SUMPRODUCT((LEN(all_lmics[mu_5054])&gt;0)*(all_lmics[mu_5054])*(all_lmics[[2017_births]:[2017_births]]))/SUMPRODUCT((LEN(all_lmics[mu_5054])&gt;0)*(all_lmics[[2017_births]:[2017_births]]))*1.05</f>
        <v>8.5687788538181646E-3</v>
      </c>
      <c r="AB8">
        <f>SUMPRODUCT((LEN(all_lmics[mu_5559])&gt;0)*(all_lmics[mu_5559])*(all_lmics[[2017_births]:[2017_births]]))/SUMPRODUCT((LEN(all_lmics[mu_5559])&gt;0)*(all_lmics[[2017_births]:[2017_births]]))*1.05</f>
        <v>1.2402889439766026E-2</v>
      </c>
      <c r="AC8">
        <f>SUMPRODUCT((LEN(all_lmics[mu_6064])&gt;0)*(all_lmics[mu_6064])*(all_lmics[[2017_births]:[2017_births]]))/SUMPRODUCT((LEN(all_lmics[mu_6064])&gt;0)*(all_lmics[[2017_births]:[2017_births]]))*1.05</f>
        <v>1.9214659338499855E-2</v>
      </c>
      <c r="AD8">
        <f>SUMPRODUCT((LEN(all_lmics[mu_6569])&gt;0)*(all_lmics[mu_6569])*(all_lmics[[2017_births]:[2017_births]]))/SUMPRODUCT((LEN(all_lmics[mu_6569])&gt;0)*(all_lmics[[2017_births]:[2017_births]]))*1.05</f>
        <v>3.0034542444408743E-2</v>
      </c>
      <c r="AE8">
        <f>SUMPRODUCT((LEN(all_lmics[mu_7074])&gt;0)*(all_lmics[mu_7074])*(all_lmics[[2017_births]:[2017_births]]))/SUMPRODUCT((LEN(all_lmics[mu_7074])&gt;0)*(all_lmics[[2017_births]:[2017_births]]))*1.05</f>
        <v>4.8881419865545221E-2</v>
      </c>
      <c r="AF8">
        <f>SUMPRODUCT((LEN(all_lmics[mu_7579])&gt;0)*(all_lmics[mu_7579])*(all_lmics[[2017_births]:[2017_births]]))/SUMPRODUCT((LEN(all_lmics[mu_7579])&gt;0)*(all_lmics[[2017_births]:[2017_births]]))*1.05</f>
        <v>7.8139035566107115E-2</v>
      </c>
      <c r="AG8">
        <f>SUMPRODUCT((LEN(all_lmics[mu_8084])&gt;0)*(all_lmics[mu_8084])*(all_lmics[[2017_births]:[2017_births]]))/SUMPRODUCT((LEN(all_lmics[mu_8084])&gt;0)*(all_lmics[[2017_births]:[2017_births]]))*1.05</f>
        <v>0.12508939603893857</v>
      </c>
      <c r="AH8">
        <f>SUMPRODUCT((LEN(all_lmics[mu_8589])&gt;0)*(all_lmics[mu_8589])*(all_lmics[[2017_births]:[2017_births]]))/SUMPRODUCT((LEN(all_lmics[mu_8589])&gt;0)*(all_lmics[[2017_births]:[2017_births]]))*1.05</f>
        <v>0.19541484372341492</v>
      </c>
      <c r="AI8">
        <f>SUMPRODUCT((LEN(all_lmics[mu_9094])&gt;0)*(all_lmics[mu_9094])*(all_lmics[[2017_births]:[2017_births]]))/SUMPRODUCT((LEN(all_lmics[mu_9094])&gt;0)*(all_lmics[[2017_births]:[2017_births]]))*1.05</f>
        <v>0.29120189109353845</v>
      </c>
      <c r="AJ8">
        <f>SUMPRODUCT((LEN(all_lmics[mu_9599])&gt;0)*(all_lmics[mu_9599])*(all_lmics[[2017_births]:[2017_births]]))/SUMPRODUCT((LEN(all_lmics[mu_9599])&gt;0)*(all_lmics[[2017_births]:[2017_births]]))*1.05</f>
        <v>0.37955235525050718</v>
      </c>
      <c r="AK8">
        <f>SUMPRODUCT((LEN(all_lmics[mu_100])&gt;0)*(all_lmics[mu_100])*(all_lmics[[2017_births]:[2017_births]]))/SUMPRODUCT((LEN(all_lmics[mu_100])&gt;0)*(all_lmics[[2017_births]:[2017_births]]))*1.05</f>
        <v>0.50975273843358981</v>
      </c>
      <c r="AL8">
        <f>SUMPRODUCT((LEN(all_lmics[c_A])&gt;0)*(all_lmics[c_A])*(all_lmics[[2017_births]:[2017_births]]))/SUMPRODUCT((LEN(all_lmics[c_A])&gt;0)*(all_lmics[[2017_births]:[2017_births]]))*1.05</f>
        <v>57.493585291263635</v>
      </c>
      <c r="AM8">
        <f>SUMPRODUCT((LEN(all_lmics[c_C])&gt;0)*(all_lmics[c_C])*(all_lmics[[2017_births]:[2017_births]]))/SUMPRODUCT((LEN(all_lmics[c_C])&gt;0)*(all_lmics[[2017_births]:[2017_births]]))*1.05</f>
        <v>57.493585291263635</v>
      </c>
      <c r="AN8">
        <f>SUMPRODUCT((LEN(all_lmics[c_CC])&gt;0)*(all_lmics[c_CC])*(all_lmics[[2017_births]:[2017_births]]))/SUMPRODUCT((LEN(all_lmics[c_CC])&gt;0)*(all_lmics[[2017_births]:[2017_births]]))*1.05</f>
        <v>107.60888829126363</v>
      </c>
      <c r="AO8">
        <f>SUMPRODUCT((LEN(all_lmics[c_DC])&gt;0)*(all_lmics[c_DC])*(all_lmics[[2017_births]:[2017_births]]))/SUMPRODUCT((LEN(all_lmics[c_DC])&gt;0)*(all_lmics[[2017_births]:[2017_births]]))*1.05</f>
        <v>107.60888829126363</v>
      </c>
      <c r="AP8">
        <f>SUMPRODUCT((LEN(all_lmics[c_HCC])&gt;0)*(all_lmics[c_HCC])*(all_lmics[[2017_births]:[2017_births]]))/SUMPRODUCT((LEN(all_lmics[c_HCC])&gt;0)*(all_lmics[[2017_births]:[2017_births]]))*1.05</f>
        <v>107.60888829126363</v>
      </c>
      <c r="AQ8">
        <f>SUMPRODUCT((LEN(all_lmics[fac_cc])&gt;0)*(all_lmics[fac_cc])*(all_lmics[[2017_births]:[2017_births]]))/SUMPRODUCT((LEN(all_lmics[fac_cc])&gt;0)*(all_lmics[[2017_births]:[2017_births]]))*1.05</f>
        <v>1.5125073092462118</v>
      </c>
      <c r="AR8">
        <f>SUMPRODUCT((LEN(all_lmics[fac_ctc])&gt;0)*(all_lmics[fac_ctc])*(all_lmics[[2017_births]:[2017_births]]))/SUMPRODUCT((LEN(all_lmics[fac_ctc])&gt;0)*(all_lmics[[2017_births]:[2017_births]]))*1.05</f>
        <v>2.1608823092462122</v>
      </c>
      <c r="AS8">
        <f>SUMPRODUCT((LEN(all_lmics[com_cc])&gt;0)*(all_lmics[com_cc])*(all_lmics[[2017_births]:[2017_births]]))/SUMPRODUCT((LEN(all_lmics[com_cc])&gt;0)*(all_lmics[[2017_births]:[2017_births]]))*1.05</f>
        <v>11.202282424313797</v>
      </c>
      <c r="AT8">
        <f>SUMPRODUCT((LEN(all_lmics[com_ctc])&gt;0)*(all_lmics[com_ctc])*(all_lmics[[2017_births]:[2017_births]]))/SUMPRODUCT((LEN(all_lmics[com_ctc])&gt;0)*(all_lmics[[2017_births]:[2017_births]]))*1.05</f>
        <v>11.850657424313795</v>
      </c>
      <c r="AU8">
        <f>SUMPRODUCT((LEN(all_lmics[com_cpad])&gt;0)*(all_lmics[com_cpad])*(all_lmics[[2017_births]:[2017_births]]))/SUMPRODUCT((LEN(all_lmics[com_cpad])&gt;0)*(all_lmics[[2017_births]:[2017_births]]))*1.05</f>
        <v>12.449422024313792</v>
      </c>
      <c r="AV8">
        <f>SUMPRODUCT((LEN(all_lmics[SBA_nfac])&gt;1)*(all_lmics[SBA_nfac])*(all_lmics[[2017_births]:[2017_births]]))/SUMPRODUCT((LEN(all_lmics[SBA_nfac])&gt;1)*(all_lmics[[2017_births]:[2017_births]]))*1.05</f>
        <v>0.15627276755776631</v>
      </c>
      <c r="AW8">
        <f>SUMPRODUCT(AW2:AW7,$F$2:$F$7)/SUM($F$2:$F$7)</f>
        <v>0.5</v>
      </c>
      <c r="AX8">
        <f t="shared" ref="AX8:AY8" si="0">SUMPRODUCT(AX2:AX7,$F$2:$F$7)/SUM($F$2:$F$7)</f>
        <v>1</v>
      </c>
      <c r="AY8">
        <f t="shared" si="0"/>
        <v>0.25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96"/>
  <sheetViews>
    <sheetView topLeftCell="A145" workbookViewId="0">
      <selection activeCell="A2" sqref="A2:D196"/>
    </sheetView>
  </sheetViews>
  <sheetFormatPr defaultRowHeight="14.5" x14ac:dyDescent="0.35"/>
  <cols>
    <col min="1" max="1" width="23.81640625" customWidth="1"/>
    <col min="2" max="2" width="20.08984375" customWidth="1"/>
    <col min="3" max="3" width="16.81640625" customWidth="1"/>
    <col min="4" max="4" width="41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 t="s">
        <v>5</v>
      </c>
      <c r="C2" t="s">
        <v>6</v>
      </c>
      <c r="D2" t="s">
        <v>7</v>
      </c>
    </row>
    <row r="3" spans="1:4" x14ac:dyDescent="0.35">
      <c r="A3" t="s">
        <v>8</v>
      </c>
      <c r="B3" s="2" t="s">
        <v>9</v>
      </c>
      <c r="C3" t="s">
        <v>10</v>
      </c>
      <c r="D3" t="s">
        <v>11</v>
      </c>
    </row>
    <row r="4" spans="1:4" x14ac:dyDescent="0.35">
      <c r="A4" t="s">
        <v>12</v>
      </c>
      <c r="B4" t="s">
        <v>13</v>
      </c>
      <c r="C4" t="s">
        <v>14</v>
      </c>
      <c r="D4" t="s">
        <v>15</v>
      </c>
    </row>
    <row r="5" spans="1:4" x14ac:dyDescent="0.35">
      <c r="A5" t="s">
        <v>16</v>
      </c>
      <c r="B5" s="2" t="s">
        <v>9</v>
      </c>
      <c r="C5" t="s">
        <v>17</v>
      </c>
      <c r="D5" t="s">
        <v>18</v>
      </c>
    </row>
    <row r="6" spans="1:4" x14ac:dyDescent="0.35">
      <c r="A6" t="s">
        <v>19</v>
      </c>
      <c r="B6" t="s">
        <v>13</v>
      </c>
      <c r="C6" t="s">
        <v>14</v>
      </c>
      <c r="D6" t="s">
        <v>15</v>
      </c>
    </row>
    <row r="7" spans="1:4" x14ac:dyDescent="0.35">
      <c r="A7" t="s">
        <v>20</v>
      </c>
      <c r="B7" s="1" t="s">
        <v>21</v>
      </c>
      <c r="C7" t="s">
        <v>22</v>
      </c>
      <c r="D7" t="s">
        <v>23</v>
      </c>
    </row>
    <row r="8" spans="1:4" x14ac:dyDescent="0.35">
      <c r="A8" t="s">
        <v>24</v>
      </c>
      <c r="B8" s="1" t="s">
        <v>21</v>
      </c>
      <c r="C8" t="s">
        <v>22</v>
      </c>
      <c r="D8" t="s">
        <v>23</v>
      </c>
    </row>
    <row r="9" spans="1:4" x14ac:dyDescent="0.35">
      <c r="A9" t="s">
        <v>25</v>
      </c>
      <c r="B9" s="2" t="s">
        <v>9</v>
      </c>
      <c r="C9" t="s">
        <v>10</v>
      </c>
      <c r="D9" t="s">
        <v>11</v>
      </c>
    </row>
    <row r="10" spans="1:4" x14ac:dyDescent="0.35">
      <c r="A10" t="s">
        <v>26</v>
      </c>
      <c r="B10" s="1" t="s">
        <v>27</v>
      </c>
      <c r="C10" t="s">
        <v>28</v>
      </c>
      <c r="D10" t="s">
        <v>18</v>
      </c>
    </row>
    <row r="11" spans="1:4" x14ac:dyDescent="0.35">
      <c r="A11" t="s">
        <v>29</v>
      </c>
      <c r="B11" s="2" t="s">
        <v>9</v>
      </c>
      <c r="C11" t="s">
        <v>17</v>
      </c>
      <c r="D11" t="s">
        <v>18</v>
      </c>
    </row>
    <row r="12" spans="1:4" x14ac:dyDescent="0.35">
      <c r="A12" t="s">
        <v>30</v>
      </c>
      <c r="B12" s="2" t="s">
        <v>9</v>
      </c>
      <c r="C12" t="s">
        <v>10</v>
      </c>
      <c r="D12" t="s">
        <v>11</v>
      </c>
    </row>
    <row r="13" spans="1:4" x14ac:dyDescent="0.35">
      <c r="A13" t="s">
        <v>31</v>
      </c>
      <c r="B13" s="1" t="s">
        <v>21</v>
      </c>
      <c r="C13" t="s">
        <v>22</v>
      </c>
      <c r="D13" t="s">
        <v>23</v>
      </c>
    </row>
    <row r="14" spans="1:4" x14ac:dyDescent="0.35">
      <c r="A14" t="s">
        <v>32</v>
      </c>
      <c r="B14" s="1" t="s">
        <v>5</v>
      </c>
      <c r="C14" t="s">
        <v>33</v>
      </c>
      <c r="D14" t="s">
        <v>7</v>
      </c>
    </row>
    <row r="15" spans="1:4" x14ac:dyDescent="0.35">
      <c r="A15" t="s">
        <v>34</v>
      </c>
      <c r="B15" s="1" t="s">
        <v>35</v>
      </c>
      <c r="C15" t="s">
        <v>36</v>
      </c>
      <c r="D15" t="s">
        <v>37</v>
      </c>
    </row>
    <row r="16" spans="1:4" x14ac:dyDescent="0.35">
      <c r="A16" t="s">
        <v>38</v>
      </c>
      <c r="B16" s="1" t="s">
        <v>21</v>
      </c>
      <c r="C16" t="s">
        <v>22</v>
      </c>
      <c r="D16" t="s">
        <v>23</v>
      </c>
    </row>
    <row r="17" spans="1:4" x14ac:dyDescent="0.35">
      <c r="A17" t="s">
        <v>39</v>
      </c>
      <c r="B17" s="2" t="s">
        <v>9</v>
      </c>
      <c r="C17" t="s">
        <v>40</v>
      </c>
      <c r="D17" t="s">
        <v>11</v>
      </c>
    </row>
    <row r="18" spans="1:4" x14ac:dyDescent="0.35">
      <c r="A18" t="s">
        <v>41</v>
      </c>
      <c r="B18" s="2" t="s">
        <v>9</v>
      </c>
      <c r="C18" t="s">
        <v>17</v>
      </c>
      <c r="D18" t="s">
        <v>18</v>
      </c>
    </row>
    <row r="19" spans="1:4" x14ac:dyDescent="0.35">
      <c r="A19" t="s">
        <v>42</v>
      </c>
      <c r="B19" s="1" t="s">
        <v>21</v>
      </c>
      <c r="C19" t="s">
        <v>22</v>
      </c>
      <c r="D19" t="s">
        <v>23</v>
      </c>
    </row>
    <row r="20" spans="1:4" x14ac:dyDescent="0.35">
      <c r="A20" t="s">
        <v>43</v>
      </c>
      <c r="B20" t="s">
        <v>13</v>
      </c>
      <c r="C20" t="s">
        <v>14</v>
      </c>
      <c r="D20" t="s">
        <v>15</v>
      </c>
    </row>
    <row r="21" spans="1:4" x14ac:dyDescent="0.35">
      <c r="A21" t="s">
        <v>44</v>
      </c>
      <c r="B21" s="1" t="s">
        <v>35</v>
      </c>
      <c r="C21" t="s">
        <v>36</v>
      </c>
      <c r="D21" t="s">
        <v>37</v>
      </c>
    </row>
    <row r="22" spans="1:4" x14ac:dyDescent="0.35">
      <c r="A22" t="s">
        <v>45</v>
      </c>
      <c r="B22" s="1" t="s">
        <v>21</v>
      </c>
      <c r="C22" t="s">
        <v>46</v>
      </c>
      <c r="D22" t="s">
        <v>23</v>
      </c>
    </row>
    <row r="23" spans="1:4" x14ac:dyDescent="0.35">
      <c r="A23" t="s">
        <v>47</v>
      </c>
      <c r="B23" s="2" t="s">
        <v>9</v>
      </c>
      <c r="C23" t="s">
        <v>10</v>
      </c>
      <c r="D23" t="s">
        <v>11</v>
      </c>
    </row>
    <row r="24" spans="1:4" x14ac:dyDescent="0.35">
      <c r="A24" t="s">
        <v>48</v>
      </c>
      <c r="B24" t="s">
        <v>13</v>
      </c>
      <c r="C24" t="s">
        <v>49</v>
      </c>
      <c r="D24" t="s">
        <v>15</v>
      </c>
    </row>
    <row r="25" spans="1:4" x14ac:dyDescent="0.35">
      <c r="A25" t="s">
        <v>50</v>
      </c>
      <c r="B25" s="1" t="s">
        <v>21</v>
      </c>
      <c r="C25" t="s">
        <v>22</v>
      </c>
      <c r="D25" t="s">
        <v>23</v>
      </c>
    </row>
    <row r="26" spans="1:4" x14ac:dyDescent="0.35">
      <c r="A26" t="s">
        <v>51</v>
      </c>
      <c r="B26" s="1" t="s">
        <v>27</v>
      </c>
      <c r="C26" t="s">
        <v>28</v>
      </c>
      <c r="D26" t="s">
        <v>18</v>
      </c>
    </row>
    <row r="27" spans="1:4" x14ac:dyDescent="0.35">
      <c r="A27" t="s">
        <v>52</v>
      </c>
      <c r="B27" s="2" t="s">
        <v>9</v>
      </c>
      <c r="C27" t="s">
        <v>10</v>
      </c>
      <c r="D27" t="s">
        <v>11</v>
      </c>
    </row>
    <row r="28" spans="1:4" x14ac:dyDescent="0.35">
      <c r="A28" t="s">
        <v>53</v>
      </c>
      <c r="B28" t="s">
        <v>13</v>
      </c>
      <c r="C28" t="s">
        <v>14</v>
      </c>
      <c r="D28" t="s">
        <v>15</v>
      </c>
    </row>
    <row r="29" spans="1:4" x14ac:dyDescent="0.35">
      <c r="A29" t="s">
        <v>54</v>
      </c>
      <c r="B29" t="s">
        <v>13</v>
      </c>
      <c r="C29" t="s">
        <v>49</v>
      </c>
      <c r="D29" t="s">
        <v>15</v>
      </c>
    </row>
    <row r="30" spans="1:4" x14ac:dyDescent="0.35">
      <c r="A30" t="s">
        <v>55</v>
      </c>
      <c r="B30" t="s">
        <v>13</v>
      </c>
      <c r="C30" t="s">
        <v>14</v>
      </c>
      <c r="D30" t="s">
        <v>15</v>
      </c>
    </row>
    <row r="31" spans="1:4" x14ac:dyDescent="0.35">
      <c r="A31" t="s">
        <v>56</v>
      </c>
      <c r="B31" s="1" t="s">
        <v>27</v>
      </c>
      <c r="C31" t="s">
        <v>57</v>
      </c>
      <c r="D31" t="s">
        <v>58</v>
      </c>
    </row>
    <row r="32" spans="1:4" x14ac:dyDescent="0.35">
      <c r="A32" t="s">
        <v>59</v>
      </c>
      <c r="B32" t="s">
        <v>13</v>
      </c>
      <c r="C32" t="s">
        <v>14</v>
      </c>
      <c r="D32" t="s">
        <v>15</v>
      </c>
    </row>
    <row r="33" spans="1:4" x14ac:dyDescent="0.35">
      <c r="A33" t="s">
        <v>60</v>
      </c>
      <c r="B33" s="1" t="s">
        <v>21</v>
      </c>
      <c r="C33" t="s">
        <v>61</v>
      </c>
      <c r="D33" t="s">
        <v>18</v>
      </c>
    </row>
    <row r="34" spans="1:4" x14ac:dyDescent="0.35">
      <c r="A34" t="s">
        <v>62</v>
      </c>
      <c r="B34" t="s">
        <v>13</v>
      </c>
      <c r="C34" t="s">
        <v>49</v>
      </c>
      <c r="D34" t="s">
        <v>15</v>
      </c>
    </row>
    <row r="35" spans="1:4" x14ac:dyDescent="0.35">
      <c r="A35" t="s">
        <v>63</v>
      </c>
      <c r="B35" t="s">
        <v>13</v>
      </c>
      <c r="C35" t="s">
        <v>14</v>
      </c>
      <c r="D35" t="s">
        <v>15</v>
      </c>
    </row>
    <row r="36" spans="1:4" x14ac:dyDescent="0.35">
      <c r="A36" t="s">
        <v>64</v>
      </c>
      <c r="B36" s="1" t="s">
        <v>21</v>
      </c>
      <c r="C36" t="s">
        <v>22</v>
      </c>
      <c r="D36" t="s">
        <v>23</v>
      </c>
    </row>
    <row r="37" spans="1:4" x14ac:dyDescent="0.35">
      <c r="A37" t="s">
        <v>65</v>
      </c>
      <c r="B37" s="1" t="s">
        <v>27</v>
      </c>
      <c r="C37" t="s">
        <v>57</v>
      </c>
      <c r="D37" t="s">
        <v>58</v>
      </c>
    </row>
    <row r="38" spans="1:4" x14ac:dyDescent="0.35">
      <c r="A38" t="s">
        <v>66</v>
      </c>
      <c r="B38" s="1" t="s">
        <v>21</v>
      </c>
      <c r="C38" t="s">
        <v>22</v>
      </c>
      <c r="D38" t="s">
        <v>23</v>
      </c>
    </row>
    <row r="39" spans="1:4" x14ac:dyDescent="0.35">
      <c r="A39" t="s">
        <v>67</v>
      </c>
      <c r="B39" t="s">
        <v>13</v>
      </c>
      <c r="C39" t="s">
        <v>14</v>
      </c>
      <c r="D39" t="s">
        <v>15</v>
      </c>
    </row>
    <row r="40" spans="1:4" x14ac:dyDescent="0.35">
      <c r="A40" t="s">
        <v>68</v>
      </c>
      <c r="B40" t="s">
        <v>13</v>
      </c>
      <c r="C40" t="s">
        <v>49</v>
      </c>
      <c r="D40" t="s">
        <v>15</v>
      </c>
    </row>
    <row r="41" spans="1:4" x14ac:dyDescent="0.35">
      <c r="A41" t="s">
        <v>69</v>
      </c>
      <c r="B41" s="1" t="s">
        <v>27</v>
      </c>
      <c r="C41" t="s">
        <v>57</v>
      </c>
      <c r="D41" t="s">
        <v>58</v>
      </c>
    </row>
    <row r="42" spans="1:4" x14ac:dyDescent="0.35">
      <c r="A42" t="s">
        <v>70</v>
      </c>
      <c r="B42" s="1" t="s">
        <v>21</v>
      </c>
      <c r="C42" t="s">
        <v>22</v>
      </c>
      <c r="D42" t="s">
        <v>23</v>
      </c>
    </row>
    <row r="43" spans="1:4" x14ac:dyDescent="0.35">
      <c r="A43" t="s">
        <v>71</v>
      </c>
      <c r="B43" t="s">
        <v>13</v>
      </c>
      <c r="C43" t="s">
        <v>49</v>
      </c>
      <c r="D43" t="s">
        <v>15</v>
      </c>
    </row>
    <row r="44" spans="1:4" x14ac:dyDescent="0.35">
      <c r="A44" t="s">
        <v>72</v>
      </c>
      <c r="B44" s="2" t="s">
        <v>9</v>
      </c>
      <c r="C44" t="s">
        <v>17</v>
      </c>
      <c r="D44" t="s">
        <v>18</v>
      </c>
    </row>
    <row r="45" spans="1:4" x14ac:dyDescent="0.35">
      <c r="A45" t="s">
        <v>73</v>
      </c>
      <c r="B45" s="1" t="s">
        <v>21</v>
      </c>
      <c r="C45" t="s">
        <v>61</v>
      </c>
      <c r="D45" t="s">
        <v>18</v>
      </c>
    </row>
    <row r="46" spans="1:4" x14ac:dyDescent="0.35">
      <c r="A46" t="s">
        <v>74</v>
      </c>
      <c r="B46" s="2" t="s">
        <v>9</v>
      </c>
      <c r="C46" t="s">
        <v>17</v>
      </c>
      <c r="D46" t="s">
        <v>18</v>
      </c>
    </row>
    <row r="47" spans="1:4" x14ac:dyDescent="0.35">
      <c r="A47" t="s">
        <v>75</v>
      </c>
      <c r="B47" s="2" t="s">
        <v>9</v>
      </c>
      <c r="C47" t="s">
        <v>17</v>
      </c>
      <c r="D47" t="s">
        <v>18</v>
      </c>
    </row>
    <row r="48" spans="1:4" x14ac:dyDescent="0.35">
      <c r="A48" t="s">
        <v>76</v>
      </c>
      <c r="B48" s="1" t="s">
        <v>35</v>
      </c>
      <c r="C48" t="s">
        <v>36</v>
      </c>
      <c r="D48" t="s">
        <v>37</v>
      </c>
    </row>
    <row r="49" spans="1:4" x14ac:dyDescent="0.35">
      <c r="A49" t="s">
        <v>77</v>
      </c>
      <c r="B49" t="s">
        <v>13</v>
      </c>
      <c r="C49" t="s">
        <v>49</v>
      </c>
      <c r="D49" t="s">
        <v>15</v>
      </c>
    </row>
    <row r="50" spans="1:4" x14ac:dyDescent="0.35">
      <c r="A50" t="s">
        <v>78</v>
      </c>
      <c r="B50" s="2" t="s">
        <v>9</v>
      </c>
      <c r="C50" t="s">
        <v>17</v>
      </c>
      <c r="D50" t="s">
        <v>18</v>
      </c>
    </row>
    <row r="51" spans="1:4" x14ac:dyDescent="0.35">
      <c r="A51" t="s">
        <v>79</v>
      </c>
      <c r="B51" s="1" t="s">
        <v>5</v>
      </c>
      <c r="C51" t="s">
        <v>6</v>
      </c>
      <c r="D51" t="s">
        <v>7</v>
      </c>
    </row>
    <row r="52" spans="1:4" x14ac:dyDescent="0.35">
      <c r="A52" t="s">
        <v>80</v>
      </c>
      <c r="B52" s="1" t="s">
        <v>21</v>
      </c>
      <c r="C52" t="s">
        <v>22</v>
      </c>
      <c r="D52" t="s">
        <v>23</v>
      </c>
    </row>
    <row r="53" spans="1:4" x14ac:dyDescent="0.35">
      <c r="A53" t="s">
        <v>81</v>
      </c>
      <c r="B53" s="1" t="s">
        <v>21</v>
      </c>
      <c r="C53" t="s">
        <v>22</v>
      </c>
      <c r="D53" t="s">
        <v>23</v>
      </c>
    </row>
    <row r="54" spans="1:4" x14ac:dyDescent="0.35">
      <c r="A54" t="s">
        <v>82</v>
      </c>
      <c r="B54" s="1" t="s">
        <v>21</v>
      </c>
      <c r="C54" t="s">
        <v>46</v>
      </c>
      <c r="D54" t="s">
        <v>23</v>
      </c>
    </row>
    <row r="55" spans="1:4" x14ac:dyDescent="0.35">
      <c r="A55" t="s">
        <v>83</v>
      </c>
      <c r="B55" s="1" t="s">
        <v>5</v>
      </c>
      <c r="C55" t="s">
        <v>6</v>
      </c>
      <c r="D55" t="s">
        <v>7</v>
      </c>
    </row>
    <row r="56" spans="1:4" x14ac:dyDescent="0.35">
      <c r="A56" t="s">
        <v>84</v>
      </c>
      <c r="B56" s="1" t="s">
        <v>21</v>
      </c>
      <c r="C56" t="s">
        <v>22</v>
      </c>
      <c r="D56" t="s">
        <v>23</v>
      </c>
    </row>
    <row r="57" spans="1:4" x14ac:dyDescent="0.35">
      <c r="A57" t="s">
        <v>85</v>
      </c>
      <c r="B57" t="s">
        <v>13</v>
      </c>
      <c r="C57" t="s">
        <v>14</v>
      </c>
      <c r="D57" t="s">
        <v>15</v>
      </c>
    </row>
    <row r="58" spans="1:4" x14ac:dyDescent="0.35">
      <c r="A58" t="s">
        <v>86</v>
      </c>
      <c r="B58" t="s">
        <v>13</v>
      </c>
      <c r="C58" t="s">
        <v>49</v>
      </c>
      <c r="D58" t="s">
        <v>15</v>
      </c>
    </row>
    <row r="59" spans="1:4" x14ac:dyDescent="0.35">
      <c r="A59" t="s">
        <v>87</v>
      </c>
      <c r="B59" s="2" t="s">
        <v>9</v>
      </c>
      <c r="C59" t="s">
        <v>40</v>
      </c>
      <c r="D59" t="s">
        <v>11</v>
      </c>
    </row>
    <row r="60" spans="1:4" x14ac:dyDescent="0.35">
      <c r="A60" t="s">
        <v>88</v>
      </c>
      <c r="B60" t="s">
        <v>13</v>
      </c>
      <c r="C60" t="s">
        <v>49</v>
      </c>
      <c r="D60" t="s">
        <v>15</v>
      </c>
    </row>
    <row r="61" spans="1:4" x14ac:dyDescent="0.35">
      <c r="A61" t="s">
        <v>89</v>
      </c>
      <c r="B61" s="1" t="s">
        <v>27</v>
      </c>
      <c r="C61" t="s">
        <v>57</v>
      </c>
      <c r="D61" t="s">
        <v>58</v>
      </c>
    </row>
    <row r="62" spans="1:4" x14ac:dyDescent="0.35">
      <c r="A62" t="s">
        <v>90</v>
      </c>
      <c r="B62" s="2" t="s">
        <v>9</v>
      </c>
      <c r="C62" t="s">
        <v>17</v>
      </c>
      <c r="D62" t="s">
        <v>18</v>
      </c>
    </row>
    <row r="63" spans="1:4" x14ac:dyDescent="0.35">
      <c r="A63" t="s">
        <v>91</v>
      </c>
      <c r="B63" s="2" t="s">
        <v>9</v>
      </c>
      <c r="C63" t="s">
        <v>17</v>
      </c>
      <c r="D63" t="s">
        <v>18</v>
      </c>
    </row>
    <row r="64" spans="1:4" x14ac:dyDescent="0.35">
      <c r="A64" t="s">
        <v>92</v>
      </c>
      <c r="B64" t="s">
        <v>13</v>
      </c>
      <c r="C64" t="s">
        <v>14</v>
      </c>
      <c r="D64" t="s">
        <v>15</v>
      </c>
    </row>
    <row r="65" spans="1:4" x14ac:dyDescent="0.35">
      <c r="A65" t="s">
        <v>93</v>
      </c>
      <c r="B65" t="s">
        <v>13</v>
      </c>
      <c r="C65" t="s">
        <v>14</v>
      </c>
      <c r="D65" t="s">
        <v>15</v>
      </c>
    </row>
    <row r="66" spans="1:4" x14ac:dyDescent="0.35">
      <c r="A66" t="s">
        <v>94</v>
      </c>
      <c r="B66" s="2" t="s">
        <v>9</v>
      </c>
      <c r="C66" t="s">
        <v>10</v>
      </c>
      <c r="D66" t="s">
        <v>11</v>
      </c>
    </row>
    <row r="67" spans="1:4" x14ac:dyDescent="0.35">
      <c r="A67" t="s">
        <v>95</v>
      </c>
      <c r="B67" s="2" t="s">
        <v>9</v>
      </c>
      <c r="C67" t="s">
        <v>17</v>
      </c>
      <c r="D67" t="s">
        <v>18</v>
      </c>
    </row>
    <row r="68" spans="1:4" x14ac:dyDescent="0.35">
      <c r="A68" t="s">
        <v>96</v>
      </c>
      <c r="B68" t="s">
        <v>13</v>
      </c>
      <c r="C68" t="s">
        <v>14</v>
      </c>
      <c r="D68" t="s">
        <v>15</v>
      </c>
    </row>
    <row r="69" spans="1:4" x14ac:dyDescent="0.35">
      <c r="A69" t="s">
        <v>97</v>
      </c>
      <c r="B69" s="2" t="s">
        <v>9</v>
      </c>
      <c r="C69" t="s">
        <v>17</v>
      </c>
      <c r="D69" t="s">
        <v>18</v>
      </c>
    </row>
    <row r="70" spans="1:4" x14ac:dyDescent="0.35">
      <c r="A70" t="s">
        <v>98</v>
      </c>
      <c r="B70" s="1" t="s">
        <v>21</v>
      </c>
      <c r="C70" t="s">
        <v>22</v>
      </c>
      <c r="D70" t="s">
        <v>23</v>
      </c>
    </row>
    <row r="71" spans="1:4" x14ac:dyDescent="0.35">
      <c r="A71" t="s">
        <v>99</v>
      </c>
      <c r="B71" s="1" t="s">
        <v>21</v>
      </c>
      <c r="C71" t="s">
        <v>46</v>
      </c>
      <c r="D71" t="s">
        <v>23</v>
      </c>
    </row>
    <row r="72" spans="1:4" x14ac:dyDescent="0.35">
      <c r="A72" t="s">
        <v>100</v>
      </c>
      <c r="B72" t="s">
        <v>13</v>
      </c>
      <c r="C72" t="s">
        <v>14</v>
      </c>
      <c r="D72" t="s">
        <v>15</v>
      </c>
    </row>
    <row r="73" spans="1:4" x14ac:dyDescent="0.35">
      <c r="A73" t="s">
        <v>101</v>
      </c>
      <c r="B73" t="s">
        <v>13</v>
      </c>
      <c r="C73" t="s">
        <v>14</v>
      </c>
      <c r="D73" t="s">
        <v>15</v>
      </c>
    </row>
    <row r="74" spans="1:4" x14ac:dyDescent="0.35">
      <c r="A74" t="s">
        <v>102</v>
      </c>
      <c r="B74" s="1" t="s">
        <v>21</v>
      </c>
      <c r="C74" t="s">
        <v>22</v>
      </c>
      <c r="D74" t="s">
        <v>23</v>
      </c>
    </row>
    <row r="75" spans="1:4" x14ac:dyDescent="0.35">
      <c r="A75" t="s">
        <v>103</v>
      </c>
      <c r="B75" s="1" t="s">
        <v>21</v>
      </c>
      <c r="C75" t="s">
        <v>46</v>
      </c>
      <c r="D75" t="s">
        <v>23</v>
      </c>
    </row>
    <row r="76" spans="1:4" x14ac:dyDescent="0.35">
      <c r="A76" t="s">
        <v>104</v>
      </c>
      <c r="B76" s="1" t="s">
        <v>21</v>
      </c>
      <c r="C76" t="s">
        <v>22</v>
      </c>
      <c r="D76" t="s">
        <v>23</v>
      </c>
    </row>
    <row r="77" spans="1:4" x14ac:dyDescent="0.35">
      <c r="A77" t="s">
        <v>105</v>
      </c>
      <c r="B77" s="2" t="s">
        <v>9</v>
      </c>
      <c r="C77" t="s">
        <v>40</v>
      </c>
      <c r="D77" t="s">
        <v>11</v>
      </c>
    </row>
    <row r="78" spans="1:4" x14ac:dyDescent="0.35">
      <c r="A78" t="s">
        <v>106</v>
      </c>
      <c r="B78" s="2" t="s">
        <v>9</v>
      </c>
      <c r="C78" t="s">
        <v>17</v>
      </c>
      <c r="D78" t="s">
        <v>18</v>
      </c>
    </row>
    <row r="79" spans="1:4" x14ac:dyDescent="0.35">
      <c r="A79" t="s">
        <v>107</v>
      </c>
      <c r="B79" s="1" t="s">
        <v>35</v>
      </c>
      <c r="C79" t="s">
        <v>36</v>
      </c>
      <c r="D79" t="s">
        <v>37</v>
      </c>
    </row>
    <row r="80" spans="1:4" x14ac:dyDescent="0.35">
      <c r="A80" t="s">
        <v>108</v>
      </c>
      <c r="B80" s="1" t="s">
        <v>35</v>
      </c>
      <c r="C80" t="s">
        <v>109</v>
      </c>
      <c r="D80" t="s">
        <v>58</v>
      </c>
    </row>
    <row r="81" spans="1:4" x14ac:dyDescent="0.35">
      <c r="A81" t="s">
        <v>110</v>
      </c>
      <c r="B81" s="1" t="s">
        <v>5</v>
      </c>
      <c r="C81" t="s">
        <v>33</v>
      </c>
      <c r="D81" t="s">
        <v>7</v>
      </c>
    </row>
    <row r="82" spans="1:4" x14ac:dyDescent="0.35">
      <c r="A82" t="s">
        <v>111</v>
      </c>
      <c r="B82" s="1" t="s">
        <v>5</v>
      </c>
      <c r="C82" t="s">
        <v>6</v>
      </c>
      <c r="D82" t="s">
        <v>7</v>
      </c>
    </row>
    <row r="83" spans="1:4" x14ac:dyDescent="0.35">
      <c r="A83" t="s">
        <v>112</v>
      </c>
      <c r="B83" s="2" t="s">
        <v>9</v>
      </c>
      <c r="C83" t="s">
        <v>17</v>
      </c>
      <c r="D83" t="s">
        <v>18</v>
      </c>
    </row>
    <row r="84" spans="1:4" x14ac:dyDescent="0.35">
      <c r="A84" t="s">
        <v>113</v>
      </c>
      <c r="B84" s="2" t="s">
        <v>9</v>
      </c>
      <c r="C84" t="s">
        <v>17</v>
      </c>
      <c r="D84" t="s">
        <v>18</v>
      </c>
    </row>
    <row r="85" spans="1:4" x14ac:dyDescent="0.35">
      <c r="A85" t="s">
        <v>114</v>
      </c>
      <c r="B85" s="2" t="s">
        <v>9</v>
      </c>
      <c r="C85" t="s">
        <v>17</v>
      </c>
      <c r="D85" t="s">
        <v>18</v>
      </c>
    </row>
    <row r="86" spans="1:4" x14ac:dyDescent="0.35">
      <c r="A86" t="s">
        <v>115</v>
      </c>
      <c r="B86" s="1" t="s">
        <v>21</v>
      </c>
      <c r="C86" t="s">
        <v>22</v>
      </c>
      <c r="D86" t="s">
        <v>23</v>
      </c>
    </row>
    <row r="87" spans="1:4" x14ac:dyDescent="0.35">
      <c r="A87" t="s">
        <v>116</v>
      </c>
      <c r="B87" s="1" t="s">
        <v>27</v>
      </c>
      <c r="C87" t="s">
        <v>28</v>
      </c>
      <c r="D87" t="s">
        <v>18</v>
      </c>
    </row>
    <row r="88" spans="1:4" x14ac:dyDescent="0.35">
      <c r="A88" t="s">
        <v>117</v>
      </c>
      <c r="B88" s="1" t="s">
        <v>5</v>
      </c>
      <c r="C88" t="s">
        <v>33</v>
      </c>
      <c r="D88" t="s">
        <v>7</v>
      </c>
    </row>
    <row r="89" spans="1:4" x14ac:dyDescent="0.35">
      <c r="A89" t="s">
        <v>118</v>
      </c>
      <c r="B89" s="2" t="s">
        <v>9</v>
      </c>
      <c r="C89" t="s">
        <v>40</v>
      </c>
      <c r="D89" t="s">
        <v>11</v>
      </c>
    </row>
    <row r="90" spans="1:4" x14ac:dyDescent="0.35">
      <c r="A90" t="s">
        <v>119</v>
      </c>
      <c r="B90" t="s">
        <v>13</v>
      </c>
      <c r="C90" t="s">
        <v>49</v>
      </c>
      <c r="D90" t="s">
        <v>15</v>
      </c>
    </row>
    <row r="91" spans="1:4" x14ac:dyDescent="0.35">
      <c r="A91" t="s">
        <v>120</v>
      </c>
      <c r="B91" s="1" t="s">
        <v>27</v>
      </c>
      <c r="C91" t="s">
        <v>57</v>
      </c>
      <c r="D91" t="s">
        <v>58</v>
      </c>
    </row>
    <row r="92" spans="1:4" x14ac:dyDescent="0.35">
      <c r="A92" t="s">
        <v>121</v>
      </c>
      <c r="B92" s="1" t="s">
        <v>5</v>
      </c>
      <c r="C92" t="s">
        <v>33</v>
      </c>
      <c r="D92" t="s">
        <v>7</v>
      </c>
    </row>
    <row r="93" spans="1:4" x14ac:dyDescent="0.35">
      <c r="A93" t="s">
        <v>122</v>
      </c>
      <c r="B93" s="2" t="s">
        <v>9</v>
      </c>
      <c r="C93" t="s">
        <v>10</v>
      </c>
      <c r="D93" t="s">
        <v>11</v>
      </c>
    </row>
    <row r="94" spans="1:4" x14ac:dyDescent="0.35">
      <c r="A94" t="s">
        <v>123</v>
      </c>
      <c r="B94" s="1" t="s">
        <v>27</v>
      </c>
      <c r="C94" t="s">
        <v>57</v>
      </c>
      <c r="D94" t="s">
        <v>58</v>
      </c>
    </row>
    <row r="95" spans="1:4" x14ac:dyDescent="0.35">
      <c r="A95" t="s">
        <v>124</v>
      </c>
      <c r="B95" s="2" t="s">
        <v>9</v>
      </c>
      <c r="C95" t="s">
        <v>40</v>
      </c>
      <c r="D95" t="s">
        <v>11</v>
      </c>
    </row>
    <row r="96" spans="1:4" x14ac:dyDescent="0.35">
      <c r="A96" t="s">
        <v>125</v>
      </c>
      <c r="B96" s="1" t="s">
        <v>5</v>
      </c>
      <c r="C96" t="s">
        <v>33</v>
      </c>
      <c r="D96" t="s">
        <v>7</v>
      </c>
    </row>
    <row r="97" spans="1:4" x14ac:dyDescent="0.35">
      <c r="A97" t="s">
        <v>126</v>
      </c>
      <c r="B97" t="s">
        <v>13</v>
      </c>
      <c r="C97" t="s">
        <v>49</v>
      </c>
      <c r="D97" t="s">
        <v>15</v>
      </c>
    </row>
    <row r="98" spans="1:4" x14ac:dyDescent="0.35">
      <c r="A98" t="s">
        <v>127</v>
      </c>
      <c r="B98" t="s">
        <v>13</v>
      </c>
      <c r="C98" t="s">
        <v>14</v>
      </c>
      <c r="D98" t="s">
        <v>15</v>
      </c>
    </row>
    <row r="99" spans="1:4" x14ac:dyDescent="0.35">
      <c r="A99" t="s">
        <v>128</v>
      </c>
      <c r="B99" s="1" t="s">
        <v>5</v>
      </c>
      <c r="C99" t="s">
        <v>33</v>
      </c>
      <c r="D99" t="s">
        <v>7</v>
      </c>
    </row>
    <row r="100" spans="1:4" x14ac:dyDescent="0.35">
      <c r="A100" t="s">
        <v>129</v>
      </c>
      <c r="B100" s="2" t="s">
        <v>9</v>
      </c>
      <c r="C100" t="s">
        <v>40</v>
      </c>
      <c r="D100" t="s">
        <v>11</v>
      </c>
    </row>
    <row r="101" spans="1:4" x14ac:dyDescent="0.35">
      <c r="A101" t="s">
        <v>130</v>
      </c>
      <c r="B101" s="2" t="s">
        <v>9</v>
      </c>
      <c r="C101" t="s">
        <v>17</v>
      </c>
      <c r="D101" t="s">
        <v>18</v>
      </c>
    </row>
    <row r="102" spans="1:4" x14ac:dyDescent="0.35">
      <c r="A102" t="s">
        <v>131</v>
      </c>
      <c r="B102" t="s">
        <v>13</v>
      </c>
      <c r="C102" t="s">
        <v>14</v>
      </c>
      <c r="D102" t="s">
        <v>15</v>
      </c>
    </row>
    <row r="103" spans="1:4" x14ac:dyDescent="0.35">
      <c r="A103" t="s">
        <v>132</v>
      </c>
      <c r="B103" s="3" t="s">
        <v>13</v>
      </c>
      <c r="C103" t="s">
        <v>49</v>
      </c>
      <c r="D103" t="s">
        <v>15</v>
      </c>
    </row>
    <row r="104" spans="1:4" x14ac:dyDescent="0.35">
      <c r="A104" t="s">
        <v>133</v>
      </c>
      <c r="B104" s="4" t="s">
        <v>27</v>
      </c>
      <c r="C104" t="s">
        <v>57</v>
      </c>
      <c r="D104" t="s">
        <v>58</v>
      </c>
    </row>
    <row r="105" spans="1:4" x14ac:dyDescent="0.35">
      <c r="A105" t="s">
        <v>134</v>
      </c>
      <c r="B105" s="4" t="s">
        <v>35</v>
      </c>
      <c r="C105" t="s">
        <v>36</v>
      </c>
      <c r="D105" t="s">
        <v>37</v>
      </c>
    </row>
    <row r="106" spans="1:4" x14ac:dyDescent="0.35">
      <c r="A106" t="s">
        <v>135</v>
      </c>
      <c r="B106" s="3" t="s">
        <v>13</v>
      </c>
      <c r="C106" t="s">
        <v>14</v>
      </c>
      <c r="D106" t="s">
        <v>15</v>
      </c>
    </row>
    <row r="107" spans="1:4" x14ac:dyDescent="0.35">
      <c r="A107" t="s">
        <v>136</v>
      </c>
      <c r="B107" s="3" t="s">
        <v>9</v>
      </c>
      <c r="C107" t="s">
        <v>17</v>
      </c>
      <c r="D107" t="s">
        <v>18</v>
      </c>
    </row>
    <row r="108" spans="1:4" x14ac:dyDescent="0.35">
      <c r="A108" t="s">
        <v>137</v>
      </c>
      <c r="B108" s="4" t="s">
        <v>27</v>
      </c>
      <c r="C108" t="s">
        <v>57</v>
      </c>
      <c r="D108" t="s">
        <v>58</v>
      </c>
    </row>
    <row r="109" spans="1:4" x14ac:dyDescent="0.35">
      <c r="A109" t="s">
        <v>138</v>
      </c>
      <c r="B109" s="3" t="s">
        <v>13</v>
      </c>
      <c r="C109" t="s">
        <v>14</v>
      </c>
      <c r="D109" t="s">
        <v>15</v>
      </c>
    </row>
    <row r="110" spans="1:4" x14ac:dyDescent="0.35">
      <c r="A110" t="s">
        <v>139</v>
      </c>
      <c r="B110" s="3" t="s">
        <v>13</v>
      </c>
      <c r="C110" t="s">
        <v>14</v>
      </c>
      <c r="D110" t="s">
        <v>15</v>
      </c>
    </row>
    <row r="111" spans="1:4" x14ac:dyDescent="0.35">
      <c r="A111" t="s">
        <v>140</v>
      </c>
      <c r="B111" s="4" t="s">
        <v>21</v>
      </c>
      <c r="C111" t="s">
        <v>22</v>
      </c>
      <c r="D111" t="s">
        <v>23</v>
      </c>
    </row>
    <row r="112" spans="1:4" x14ac:dyDescent="0.35">
      <c r="A112" t="s">
        <v>141</v>
      </c>
      <c r="B112" s="4" t="s">
        <v>27</v>
      </c>
      <c r="C112" t="s">
        <v>57</v>
      </c>
      <c r="D112" t="s">
        <v>58</v>
      </c>
    </row>
    <row r="113" spans="1:4" x14ac:dyDescent="0.35">
      <c r="A113" t="s">
        <v>142</v>
      </c>
      <c r="B113" s="3" t="s">
        <v>9</v>
      </c>
      <c r="C113" t="s">
        <v>17</v>
      </c>
      <c r="D113" t="s">
        <v>18</v>
      </c>
    </row>
    <row r="114" spans="1:4" x14ac:dyDescent="0.35">
      <c r="A114" t="s">
        <v>143</v>
      </c>
      <c r="B114" s="4" t="s">
        <v>27</v>
      </c>
      <c r="C114" t="s">
        <v>57</v>
      </c>
      <c r="D114" t="s">
        <v>58</v>
      </c>
    </row>
    <row r="115" spans="1:4" x14ac:dyDescent="0.35">
      <c r="A115" t="s">
        <v>144</v>
      </c>
      <c r="B115" s="3" t="s">
        <v>9</v>
      </c>
      <c r="C115" t="s">
        <v>17</v>
      </c>
      <c r="D115" t="s">
        <v>18</v>
      </c>
    </row>
    <row r="116" spans="1:4" x14ac:dyDescent="0.35">
      <c r="A116" t="s">
        <v>145</v>
      </c>
      <c r="B116" s="4" t="s">
        <v>5</v>
      </c>
      <c r="C116" t="s">
        <v>6</v>
      </c>
      <c r="D116" t="s">
        <v>7</v>
      </c>
    </row>
    <row r="117" spans="1:4" x14ac:dyDescent="0.35">
      <c r="A117" t="s">
        <v>146</v>
      </c>
      <c r="B117" s="3" t="s">
        <v>13</v>
      </c>
      <c r="C117" t="s">
        <v>49</v>
      </c>
      <c r="D117" t="s">
        <v>15</v>
      </c>
    </row>
    <row r="118" spans="1:4" x14ac:dyDescent="0.35">
      <c r="A118" t="s">
        <v>147</v>
      </c>
      <c r="B118" s="4" t="s">
        <v>35</v>
      </c>
      <c r="C118" t="s">
        <v>36</v>
      </c>
      <c r="D118" t="s">
        <v>37</v>
      </c>
    </row>
    <row r="119" spans="1:4" x14ac:dyDescent="0.35">
      <c r="A119" t="s">
        <v>148</v>
      </c>
      <c r="B119" s="3" t="s">
        <v>13</v>
      </c>
      <c r="C119" t="s">
        <v>49</v>
      </c>
      <c r="D119" t="s">
        <v>15</v>
      </c>
    </row>
    <row r="120" spans="1:4" x14ac:dyDescent="0.35">
      <c r="A120" t="s">
        <v>149</v>
      </c>
      <c r="B120" s="4" t="s">
        <v>27</v>
      </c>
      <c r="C120" t="s">
        <v>57</v>
      </c>
      <c r="D120" t="s">
        <v>58</v>
      </c>
    </row>
    <row r="121" spans="1:4" x14ac:dyDescent="0.35">
      <c r="A121" t="s">
        <v>150</v>
      </c>
      <c r="B121" s="4" t="s">
        <v>35</v>
      </c>
      <c r="C121" t="s">
        <v>36</v>
      </c>
      <c r="D121" t="s">
        <v>37</v>
      </c>
    </row>
    <row r="122" spans="1:4" x14ac:dyDescent="0.35">
      <c r="A122" t="s">
        <v>151</v>
      </c>
      <c r="B122" s="3" t="s">
        <v>9</v>
      </c>
      <c r="C122" t="s">
        <v>17</v>
      </c>
      <c r="D122" t="s">
        <v>18</v>
      </c>
    </row>
    <row r="123" spans="1:4" x14ac:dyDescent="0.35">
      <c r="A123" t="s">
        <v>152</v>
      </c>
      <c r="B123" s="4" t="s">
        <v>27</v>
      </c>
      <c r="C123" t="s">
        <v>28</v>
      </c>
      <c r="D123" t="s">
        <v>18</v>
      </c>
    </row>
    <row r="124" spans="1:4" x14ac:dyDescent="0.35">
      <c r="A124" t="s">
        <v>153</v>
      </c>
      <c r="B124" s="4" t="s">
        <v>21</v>
      </c>
      <c r="C124" t="s">
        <v>46</v>
      </c>
      <c r="D124" t="s">
        <v>23</v>
      </c>
    </row>
    <row r="125" spans="1:4" x14ac:dyDescent="0.35">
      <c r="A125" t="s">
        <v>154</v>
      </c>
      <c r="B125" s="3" t="s">
        <v>13</v>
      </c>
      <c r="C125" t="s">
        <v>14</v>
      </c>
      <c r="D125" t="s">
        <v>15</v>
      </c>
    </row>
    <row r="126" spans="1:4" x14ac:dyDescent="0.35">
      <c r="A126" t="s">
        <v>155</v>
      </c>
      <c r="B126" s="3" t="s">
        <v>13</v>
      </c>
      <c r="C126" t="s">
        <v>14</v>
      </c>
      <c r="D126" t="s">
        <v>15</v>
      </c>
    </row>
    <row r="127" spans="1:4" x14ac:dyDescent="0.35">
      <c r="A127" t="s">
        <v>156</v>
      </c>
      <c r="B127" s="4" t="s">
        <v>27</v>
      </c>
      <c r="C127" t="s">
        <v>57</v>
      </c>
      <c r="D127" t="s">
        <v>58</v>
      </c>
    </row>
    <row r="128" spans="1:4" x14ac:dyDescent="0.35">
      <c r="A128" t="s">
        <v>157</v>
      </c>
      <c r="B128" s="3" t="s">
        <v>9</v>
      </c>
      <c r="C128" t="s">
        <v>17</v>
      </c>
      <c r="D128" t="s">
        <v>18</v>
      </c>
    </row>
    <row r="129" spans="1:4" x14ac:dyDescent="0.35">
      <c r="A129" t="s">
        <v>158</v>
      </c>
      <c r="B129" s="4" t="s">
        <v>5</v>
      </c>
      <c r="C129" t="s">
        <v>33</v>
      </c>
      <c r="D129" t="s">
        <v>7</v>
      </c>
    </row>
    <row r="130" spans="1:4" x14ac:dyDescent="0.35">
      <c r="A130" t="s">
        <v>159</v>
      </c>
      <c r="B130" s="4" t="s">
        <v>5</v>
      </c>
      <c r="C130" t="s">
        <v>6</v>
      </c>
      <c r="D130" t="s">
        <v>7</v>
      </c>
    </row>
    <row r="131" spans="1:4" x14ac:dyDescent="0.35">
      <c r="A131" t="s">
        <v>160</v>
      </c>
      <c r="B131" s="4" t="s">
        <v>27</v>
      </c>
      <c r="C131" t="s">
        <v>57</v>
      </c>
      <c r="D131" t="s">
        <v>58</v>
      </c>
    </row>
    <row r="132" spans="1:4" x14ac:dyDescent="0.35">
      <c r="A132" t="s">
        <v>161</v>
      </c>
      <c r="B132" s="4" t="s">
        <v>21</v>
      </c>
      <c r="C132" t="s">
        <v>22</v>
      </c>
      <c r="D132" t="s">
        <v>23</v>
      </c>
    </row>
    <row r="133" spans="1:4" x14ac:dyDescent="0.35">
      <c r="A133" t="s">
        <v>162</v>
      </c>
      <c r="B133" s="4" t="s">
        <v>27</v>
      </c>
      <c r="C133" t="s">
        <v>57</v>
      </c>
      <c r="D133" t="s">
        <v>58</v>
      </c>
    </row>
    <row r="134" spans="1:4" x14ac:dyDescent="0.35">
      <c r="A134" t="s">
        <v>163</v>
      </c>
      <c r="B134" s="4" t="s">
        <v>21</v>
      </c>
      <c r="C134" t="s">
        <v>22</v>
      </c>
      <c r="D134" t="s">
        <v>23</v>
      </c>
    </row>
    <row r="135" spans="1:4" x14ac:dyDescent="0.35">
      <c r="A135" t="s">
        <v>164</v>
      </c>
      <c r="B135" s="4" t="s">
        <v>21</v>
      </c>
      <c r="C135" t="s">
        <v>46</v>
      </c>
      <c r="D135" t="s">
        <v>23</v>
      </c>
    </row>
    <row r="136" spans="1:4" x14ac:dyDescent="0.35">
      <c r="A136" t="s">
        <v>165</v>
      </c>
      <c r="B136" s="4" t="s">
        <v>27</v>
      </c>
      <c r="C136" t="s">
        <v>57</v>
      </c>
      <c r="D136" t="s">
        <v>58</v>
      </c>
    </row>
    <row r="137" spans="1:4" x14ac:dyDescent="0.35">
      <c r="A137" t="s">
        <v>166</v>
      </c>
      <c r="B137" s="3" t="s">
        <v>9</v>
      </c>
      <c r="C137" t="s">
        <v>10</v>
      </c>
      <c r="D137" t="s">
        <v>11</v>
      </c>
    </row>
    <row r="138" spans="1:4" x14ac:dyDescent="0.35">
      <c r="A138" t="s">
        <v>167</v>
      </c>
      <c r="B138" s="3" t="s">
        <v>9</v>
      </c>
      <c r="C138" t="s">
        <v>17</v>
      </c>
      <c r="D138" t="s">
        <v>18</v>
      </c>
    </row>
    <row r="139" spans="1:4" x14ac:dyDescent="0.35">
      <c r="A139" t="s">
        <v>168</v>
      </c>
      <c r="B139" s="4" t="s">
        <v>5</v>
      </c>
      <c r="C139" t="s">
        <v>33</v>
      </c>
      <c r="D139" t="s">
        <v>7</v>
      </c>
    </row>
    <row r="140" spans="1:4" x14ac:dyDescent="0.35">
      <c r="A140" t="s">
        <v>169</v>
      </c>
      <c r="B140" s="4" t="s">
        <v>27</v>
      </c>
      <c r="C140" t="s">
        <v>57</v>
      </c>
      <c r="D140" t="s">
        <v>58</v>
      </c>
    </row>
    <row r="141" spans="1:4" x14ac:dyDescent="0.35">
      <c r="A141" t="s">
        <v>170</v>
      </c>
      <c r="B141" s="3" t="s">
        <v>9</v>
      </c>
      <c r="C141" t="s">
        <v>40</v>
      </c>
      <c r="D141" t="s">
        <v>11</v>
      </c>
    </row>
    <row r="142" spans="1:4" x14ac:dyDescent="0.35">
      <c r="A142" t="s">
        <v>171</v>
      </c>
      <c r="B142" s="3" t="s">
        <v>9</v>
      </c>
      <c r="C142" t="s">
        <v>10</v>
      </c>
      <c r="D142" t="s">
        <v>11</v>
      </c>
    </row>
    <row r="143" spans="1:4" x14ac:dyDescent="0.35">
      <c r="A143" t="s">
        <v>172</v>
      </c>
      <c r="B143" s="3" t="s">
        <v>9</v>
      </c>
      <c r="C143" t="s">
        <v>40</v>
      </c>
      <c r="D143" t="s">
        <v>11</v>
      </c>
    </row>
    <row r="144" spans="1:4" x14ac:dyDescent="0.35">
      <c r="A144" t="s">
        <v>173</v>
      </c>
      <c r="B144" s="3" t="s">
        <v>13</v>
      </c>
      <c r="C144" t="s">
        <v>49</v>
      </c>
      <c r="D144" t="s">
        <v>15</v>
      </c>
    </row>
    <row r="145" spans="1:4" x14ac:dyDescent="0.35">
      <c r="A145" t="s">
        <v>174</v>
      </c>
      <c r="B145" s="4" t="s">
        <v>21</v>
      </c>
      <c r="C145" t="s">
        <v>22</v>
      </c>
      <c r="D145" t="s">
        <v>23</v>
      </c>
    </row>
    <row r="146" spans="1:4" x14ac:dyDescent="0.35">
      <c r="A146" t="s">
        <v>175</v>
      </c>
      <c r="B146" s="4" t="s">
        <v>21</v>
      </c>
      <c r="C146" t="s">
        <v>22</v>
      </c>
      <c r="D146" t="s">
        <v>23</v>
      </c>
    </row>
    <row r="147" spans="1:4" x14ac:dyDescent="0.35">
      <c r="A147" t="s">
        <v>176</v>
      </c>
      <c r="B147" s="4" t="s">
        <v>21</v>
      </c>
      <c r="C147" t="s">
        <v>22</v>
      </c>
      <c r="D147" t="s">
        <v>23</v>
      </c>
    </row>
    <row r="148" spans="1:4" x14ac:dyDescent="0.35">
      <c r="A148" t="s">
        <v>177</v>
      </c>
      <c r="B148" s="4" t="s">
        <v>27</v>
      </c>
      <c r="C148" t="s">
        <v>57</v>
      </c>
      <c r="D148" t="s">
        <v>58</v>
      </c>
    </row>
    <row r="149" spans="1:4" x14ac:dyDescent="0.35">
      <c r="A149" t="s">
        <v>178</v>
      </c>
      <c r="B149" s="3" t="s">
        <v>9</v>
      </c>
      <c r="C149" t="s">
        <v>17</v>
      </c>
      <c r="D149" t="s">
        <v>18</v>
      </c>
    </row>
    <row r="150" spans="1:4" x14ac:dyDescent="0.35">
      <c r="A150" t="s">
        <v>179</v>
      </c>
      <c r="B150" s="3" t="s">
        <v>13</v>
      </c>
      <c r="C150" t="s">
        <v>14</v>
      </c>
      <c r="D150" t="s">
        <v>15</v>
      </c>
    </row>
    <row r="151" spans="1:4" x14ac:dyDescent="0.35">
      <c r="A151" t="s">
        <v>180</v>
      </c>
      <c r="B151" s="4" t="s">
        <v>5</v>
      </c>
      <c r="C151" t="s">
        <v>33</v>
      </c>
      <c r="D151" t="s">
        <v>7</v>
      </c>
    </row>
    <row r="152" spans="1:4" x14ac:dyDescent="0.35">
      <c r="A152" t="s">
        <v>181</v>
      </c>
      <c r="B152" s="3" t="s">
        <v>13</v>
      </c>
      <c r="C152" t="s">
        <v>14</v>
      </c>
      <c r="D152" t="s">
        <v>15</v>
      </c>
    </row>
    <row r="153" spans="1:4" x14ac:dyDescent="0.35">
      <c r="A153" t="s">
        <v>182</v>
      </c>
      <c r="B153" s="3" t="s">
        <v>9</v>
      </c>
      <c r="C153" t="s">
        <v>17</v>
      </c>
      <c r="D153" t="s">
        <v>18</v>
      </c>
    </row>
    <row r="154" spans="1:4" x14ac:dyDescent="0.35">
      <c r="A154" t="s">
        <v>183</v>
      </c>
      <c r="B154" s="3" t="s">
        <v>13</v>
      </c>
      <c r="C154" t="s">
        <v>14</v>
      </c>
      <c r="D154" t="s">
        <v>15</v>
      </c>
    </row>
    <row r="155" spans="1:4" x14ac:dyDescent="0.35">
      <c r="A155" t="s">
        <v>184</v>
      </c>
      <c r="B155" s="3" t="s">
        <v>13</v>
      </c>
      <c r="C155" t="s">
        <v>14</v>
      </c>
      <c r="D155" t="s">
        <v>15</v>
      </c>
    </row>
    <row r="156" spans="1:4" x14ac:dyDescent="0.35">
      <c r="A156" t="s">
        <v>185</v>
      </c>
      <c r="B156" s="4" t="s">
        <v>27</v>
      </c>
      <c r="C156" t="s">
        <v>28</v>
      </c>
      <c r="D156" t="s">
        <v>18</v>
      </c>
    </row>
    <row r="157" spans="1:4" x14ac:dyDescent="0.35">
      <c r="A157" t="s">
        <v>186</v>
      </c>
      <c r="B157" s="3" t="s">
        <v>9</v>
      </c>
      <c r="C157" t="s">
        <v>10</v>
      </c>
      <c r="D157" t="s">
        <v>11</v>
      </c>
    </row>
    <row r="158" spans="1:4" x14ac:dyDescent="0.35">
      <c r="A158" t="s">
        <v>187</v>
      </c>
      <c r="B158" s="3" t="s">
        <v>9</v>
      </c>
      <c r="C158" t="s">
        <v>17</v>
      </c>
      <c r="D158" t="s">
        <v>18</v>
      </c>
    </row>
    <row r="159" spans="1:4" x14ac:dyDescent="0.35">
      <c r="A159" t="s">
        <v>188</v>
      </c>
      <c r="B159" s="4" t="s">
        <v>27</v>
      </c>
      <c r="C159" t="s">
        <v>57</v>
      </c>
      <c r="D159" t="s">
        <v>58</v>
      </c>
    </row>
    <row r="160" spans="1:4" x14ac:dyDescent="0.35">
      <c r="A160" t="s">
        <v>189</v>
      </c>
      <c r="B160" s="4" t="s">
        <v>5</v>
      </c>
      <c r="C160" t="s">
        <v>6</v>
      </c>
      <c r="D160" t="s">
        <v>7</v>
      </c>
    </row>
    <row r="161" spans="1:4" x14ac:dyDescent="0.35">
      <c r="A161" t="s">
        <v>190</v>
      </c>
      <c r="B161" s="3" t="s">
        <v>13</v>
      </c>
      <c r="C161" t="s">
        <v>49</v>
      </c>
      <c r="D161" t="s">
        <v>15</v>
      </c>
    </row>
    <row r="162" spans="1:4" x14ac:dyDescent="0.35">
      <c r="A162" t="s">
        <v>191</v>
      </c>
      <c r="B162" s="3" t="s">
        <v>13</v>
      </c>
      <c r="C162" s="5" t="s">
        <v>49</v>
      </c>
      <c r="D162" t="s">
        <v>15</v>
      </c>
    </row>
    <row r="163" spans="1:4" x14ac:dyDescent="0.35">
      <c r="A163" t="s">
        <v>192</v>
      </c>
      <c r="B163" s="3" t="s">
        <v>9</v>
      </c>
      <c r="C163" t="s">
        <v>17</v>
      </c>
      <c r="D163" t="s">
        <v>18</v>
      </c>
    </row>
    <row r="164" spans="1:4" x14ac:dyDescent="0.35">
      <c r="A164" t="s">
        <v>193</v>
      </c>
      <c r="B164" s="4" t="s">
        <v>35</v>
      </c>
      <c r="C164" t="s">
        <v>109</v>
      </c>
      <c r="D164" t="s">
        <v>58</v>
      </c>
    </row>
    <row r="165" spans="1:4" x14ac:dyDescent="0.35">
      <c r="A165" t="s">
        <v>194</v>
      </c>
      <c r="B165" s="4" t="s">
        <v>5</v>
      </c>
      <c r="C165" t="s">
        <v>6</v>
      </c>
      <c r="D165" t="s">
        <v>7</v>
      </c>
    </row>
    <row r="166" spans="1:4" x14ac:dyDescent="0.35">
      <c r="A166" t="s">
        <v>195</v>
      </c>
      <c r="B166" s="4" t="s">
        <v>21</v>
      </c>
      <c r="C166" t="s">
        <v>22</v>
      </c>
      <c r="D166" t="s">
        <v>23</v>
      </c>
    </row>
    <row r="167" spans="1:4" x14ac:dyDescent="0.35">
      <c r="A167" t="s">
        <v>196</v>
      </c>
      <c r="B167" s="3" t="s">
        <v>13</v>
      </c>
      <c r="C167" t="s">
        <v>49</v>
      </c>
      <c r="D167" t="s">
        <v>15</v>
      </c>
    </row>
    <row r="168" spans="1:4" x14ac:dyDescent="0.35">
      <c r="A168" t="s">
        <v>197</v>
      </c>
      <c r="B168" s="3" t="s">
        <v>9</v>
      </c>
      <c r="C168" t="s">
        <v>17</v>
      </c>
      <c r="D168" t="s">
        <v>18</v>
      </c>
    </row>
    <row r="169" spans="1:4" x14ac:dyDescent="0.35">
      <c r="A169" t="s">
        <v>198</v>
      </c>
      <c r="B169" s="3" t="s">
        <v>9</v>
      </c>
      <c r="C169" t="s">
        <v>17</v>
      </c>
      <c r="D169" t="s">
        <v>18</v>
      </c>
    </row>
    <row r="170" spans="1:4" x14ac:dyDescent="0.35">
      <c r="A170" t="s">
        <v>199</v>
      </c>
      <c r="B170" s="4" t="s">
        <v>5</v>
      </c>
      <c r="C170" t="s">
        <v>33</v>
      </c>
      <c r="D170" t="s">
        <v>7</v>
      </c>
    </row>
    <row r="171" spans="1:4" x14ac:dyDescent="0.35">
      <c r="A171" t="s">
        <v>200</v>
      </c>
      <c r="B171" s="3" t="s">
        <v>9</v>
      </c>
      <c r="C171" t="s">
        <v>10</v>
      </c>
      <c r="D171" t="s">
        <v>11</v>
      </c>
    </row>
    <row r="172" spans="1:4" x14ac:dyDescent="0.35">
      <c r="A172" t="s">
        <v>201</v>
      </c>
      <c r="B172" s="4" t="s">
        <v>35</v>
      </c>
      <c r="C172" t="s">
        <v>109</v>
      </c>
      <c r="D172" t="s">
        <v>58</v>
      </c>
    </row>
    <row r="173" spans="1:4" x14ac:dyDescent="0.35">
      <c r="A173" t="s">
        <v>202</v>
      </c>
      <c r="B173" s="3" t="s">
        <v>9</v>
      </c>
      <c r="C173" t="s">
        <v>10</v>
      </c>
      <c r="D173" t="s">
        <v>11</v>
      </c>
    </row>
    <row r="174" spans="1:4" x14ac:dyDescent="0.35">
      <c r="A174" t="s">
        <v>203</v>
      </c>
      <c r="B174" s="4" t="s">
        <v>35</v>
      </c>
      <c r="C174" t="s">
        <v>36</v>
      </c>
      <c r="D174" t="s">
        <v>37</v>
      </c>
    </row>
    <row r="175" spans="1:4" x14ac:dyDescent="0.35">
      <c r="A175" t="s">
        <v>204</v>
      </c>
      <c r="B175" s="3" t="s">
        <v>13</v>
      </c>
      <c r="C175" t="s">
        <v>14</v>
      </c>
      <c r="D175" t="s">
        <v>15</v>
      </c>
    </row>
    <row r="176" spans="1:4" x14ac:dyDescent="0.35">
      <c r="A176" t="s">
        <v>205</v>
      </c>
      <c r="B176" s="4" t="s">
        <v>27</v>
      </c>
      <c r="C176" t="s">
        <v>57</v>
      </c>
      <c r="D176" t="s">
        <v>58</v>
      </c>
    </row>
    <row r="177" spans="1:4" x14ac:dyDescent="0.35">
      <c r="A177" t="s">
        <v>206</v>
      </c>
      <c r="B177" s="4" t="s">
        <v>21</v>
      </c>
      <c r="C177" t="s">
        <v>22</v>
      </c>
      <c r="D177" t="s">
        <v>23</v>
      </c>
    </row>
    <row r="178" spans="1:4" x14ac:dyDescent="0.35">
      <c r="A178" t="s">
        <v>207</v>
      </c>
      <c r="B178" s="4" t="s">
        <v>5</v>
      </c>
      <c r="C178" t="s">
        <v>33</v>
      </c>
      <c r="D178" t="s">
        <v>7</v>
      </c>
    </row>
    <row r="179" spans="1:4" x14ac:dyDescent="0.35">
      <c r="A179" t="s">
        <v>208</v>
      </c>
      <c r="B179" s="3" t="s">
        <v>9</v>
      </c>
      <c r="C179" t="s">
        <v>10</v>
      </c>
      <c r="D179" t="s">
        <v>11</v>
      </c>
    </row>
    <row r="180" spans="1:4" x14ac:dyDescent="0.35">
      <c r="A180" t="s">
        <v>209</v>
      </c>
      <c r="B180" s="3" t="s">
        <v>9</v>
      </c>
      <c r="C180" t="s">
        <v>10</v>
      </c>
      <c r="D180" t="s">
        <v>11</v>
      </c>
    </row>
    <row r="181" spans="1:4" x14ac:dyDescent="0.35">
      <c r="A181" t="s">
        <v>210</v>
      </c>
      <c r="B181" s="4" t="s">
        <v>27</v>
      </c>
      <c r="C181" t="s">
        <v>57</v>
      </c>
      <c r="D181" t="s">
        <v>58</v>
      </c>
    </row>
    <row r="182" spans="1:4" x14ac:dyDescent="0.35">
      <c r="A182" t="s">
        <v>211</v>
      </c>
      <c r="B182" s="3" t="s">
        <v>13</v>
      </c>
      <c r="C182" t="s">
        <v>49</v>
      </c>
      <c r="D182" t="s">
        <v>15</v>
      </c>
    </row>
    <row r="183" spans="1:4" x14ac:dyDescent="0.35">
      <c r="A183" t="s">
        <v>212</v>
      </c>
      <c r="B183" s="3" t="s">
        <v>9</v>
      </c>
      <c r="C183" t="s">
        <v>40</v>
      </c>
      <c r="D183" t="s">
        <v>11</v>
      </c>
    </row>
    <row r="184" spans="1:4" x14ac:dyDescent="0.35">
      <c r="A184" t="s">
        <v>213</v>
      </c>
      <c r="B184" s="4" t="s">
        <v>5</v>
      </c>
      <c r="C184" t="s">
        <v>33</v>
      </c>
      <c r="D184" t="s">
        <v>7</v>
      </c>
    </row>
    <row r="185" spans="1:4" x14ac:dyDescent="0.35">
      <c r="A185" t="s">
        <v>214</v>
      </c>
      <c r="B185" s="3" t="s">
        <v>9</v>
      </c>
      <c r="C185" t="s">
        <v>17</v>
      </c>
      <c r="D185" t="s">
        <v>18</v>
      </c>
    </row>
    <row r="186" spans="1:4" x14ac:dyDescent="0.35">
      <c r="A186" t="s">
        <v>215</v>
      </c>
      <c r="B186" s="3" t="s">
        <v>13</v>
      </c>
      <c r="C186" t="s">
        <v>49</v>
      </c>
      <c r="D186" t="s">
        <v>15</v>
      </c>
    </row>
    <row r="187" spans="1:4" x14ac:dyDescent="0.35">
      <c r="A187" t="s">
        <v>216</v>
      </c>
      <c r="B187" s="4" t="s">
        <v>21</v>
      </c>
      <c r="C187" t="s">
        <v>61</v>
      </c>
      <c r="D187" t="s">
        <v>18</v>
      </c>
    </row>
    <row r="188" spans="1:4" x14ac:dyDescent="0.35">
      <c r="A188" t="s">
        <v>217</v>
      </c>
      <c r="B188" s="4" t="s">
        <v>21</v>
      </c>
      <c r="C188" t="s">
        <v>22</v>
      </c>
      <c r="D188" t="s">
        <v>23</v>
      </c>
    </row>
    <row r="189" spans="1:4" x14ac:dyDescent="0.35">
      <c r="A189" t="s">
        <v>218</v>
      </c>
      <c r="B189" s="3" t="s">
        <v>9</v>
      </c>
      <c r="C189" t="s">
        <v>10</v>
      </c>
      <c r="D189" t="s">
        <v>11</v>
      </c>
    </row>
    <row r="190" spans="1:4" x14ac:dyDescent="0.35">
      <c r="A190" t="s">
        <v>219</v>
      </c>
      <c r="B190" s="4" t="s">
        <v>27</v>
      </c>
      <c r="C190" t="s">
        <v>57</v>
      </c>
      <c r="D190" t="s">
        <v>58</v>
      </c>
    </row>
    <row r="191" spans="1:4" x14ac:dyDescent="0.35">
      <c r="A191" t="s">
        <v>220</v>
      </c>
      <c r="B191" s="4" t="s">
        <v>21</v>
      </c>
      <c r="C191" t="s">
        <v>22</v>
      </c>
      <c r="D191" t="s">
        <v>23</v>
      </c>
    </row>
    <row r="192" spans="1:4" x14ac:dyDescent="0.35">
      <c r="A192" t="s">
        <v>221</v>
      </c>
      <c r="B192" s="4" t="s">
        <v>27</v>
      </c>
      <c r="C192" t="s">
        <v>57</v>
      </c>
      <c r="D192" t="s">
        <v>58</v>
      </c>
    </row>
    <row r="193" spans="1:4" x14ac:dyDescent="0.35">
      <c r="A193" t="s">
        <v>222</v>
      </c>
      <c r="B193" s="4" t="s">
        <v>5</v>
      </c>
      <c r="C193" t="s">
        <v>6</v>
      </c>
      <c r="D193" t="s">
        <v>7</v>
      </c>
    </row>
    <row r="194" spans="1:4" x14ac:dyDescent="0.35">
      <c r="A194" t="s">
        <v>223</v>
      </c>
      <c r="B194" s="3" t="s">
        <v>9</v>
      </c>
      <c r="C194" t="s">
        <v>10</v>
      </c>
      <c r="D194" t="s">
        <v>11</v>
      </c>
    </row>
    <row r="195" spans="1:4" x14ac:dyDescent="0.35">
      <c r="A195" t="s">
        <v>224</v>
      </c>
      <c r="B195" s="3" t="s">
        <v>13</v>
      </c>
      <c r="C195" t="s">
        <v>49</v>
      </c>
      <c r="D195" t="s">
        <v>15</v>
      </c>
    </row>
    <row r="196" spans="1:4" x14ac:dyDescent="0.35">
      <c r="A196" t="s">
        <v>225</v>
      </c>
      <c r="B196" s="3" t="s">
        <v>13</v>
      </c>
      <c r="C196" t="s">
        <v>49</v>
      </c>
      <c r="D196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272"/>
  <sheetViews>
    <sheetView tabSelected="1" topLeftCell="AV1" workbookViewId="0">
      <selection activeCell="BF6" sqref="BF6"/>
    </sheetView>
  </sheetViews>
  <sheetFormatPr defaultRowHeight="14.5" x14ac:dyDescent="0.35"/>
  <cols>
    <col min="43" max="43" width="14.7265625" customWidth="1"/>
    <col min="44" max="44" width="13.6328125" customWidth="1"/>
    <col min="45" max="45" width="13.90625" customWidth="1"/>
    <col min="46" max="46" width="15.26953125" customWidth="1"/>
    <col min="48" max="48" width="38.7265625" customWidth="1"/>
    <col min="49" max="49" width="15.6328125" customWidth="1"/>
    <col min="50" max="50" width="13.7265625" customWidth="1"/>
    <col min="51" max="51" width="13.90625" customWidth="1"/>
    <col min="52" max="52" width="10" customWidth="1"/>
    <col min="53" max="53" width="12.54296875" customWidth="1"/>
    <col min="54" max="54" width="13.1796875" customWidth="1"/>
    <col min="55" max="55" width="11.453125" customWidth="1"/>
    <col min="56" max="56" width="13.6328125" customWidth="1"/>
    <col min="57" max="57" width="14.26953125" customWidth="1"/>
  </cols>
  <sheetData>
    <row r="1" spans="1:73" x14ac:dyDescent="0.3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K1" t="s">
        <v>226</v>
      </c>
      <c r="L1" t="s">
        <v>233</v>
      </c>
      <c r="M1" t="s">
        <v>235</v>
      </c>
      <c r="O1" t="s">
        <v>0</v>
      </c>
      <c r="P1" t="s">
        <v>236</v>
      </c>
      <c r="Q1" t="s">
        <v>235</v>
      </c>
      <c r="S1" t="s">
        <v>0</v>
      </c>
      <c r="T1" t="s">
        <v>237</v>
      </c>
      <c r="U1" t="s">
        <v>238</v>
      </c>
      <c r="V1" t="s">
        <v>235</v>
      </c>
      <c r="X1" s="16" t="s">
        <v>0</v>
      </c>
      <c r="Y1" s="16" t="s">
        <v>239</v>
      </c>
      <c r="Z1" s="16" t="s">
        <v>240</v>
      </c>
      <c r="AA1" s="16" t="s">
        <v>241</v>
      </c>
      <c r="AB1" s="16" t="s">
        <v>242</v>
      </c>
      <c r="AC1" s="17" t="s">
        <v>243</v>
      </c>
      <c r="AD1" s="16" t="s">
        <v>244</v>
      </c>
      <c r="AF1" s="18" t="s">
        <v>245</v>
      </c>
      <c r="AG1" s="18" t="s">
        <v>246</v>
      </c>
      <c r="AH1" s="18" t="s">
        <v>234</v>
      </c>
      <c r="AI1" s="19" t="s">
        <v>235</v>
      </c>
      <c r="AK1" s="18" t="s">
        <v>245</v>
      </c>
      <c r="AL1" s="18" t="s">
        <v>246</v>
      </c>
      <c r="AM1" s="18" t="s">
        <v>234</v>
      </c>
      <c r="AN1" s="19" t="s">
        <v>235</v>
      </c>
      <c r="AP1" s="20" t="s">
        <v>245</v>
      </c>
      <c r="AQ1" s="20" t="s">
        <v>247</v>
      </c>
      <c r="AR1" s="20" t="s">
        <v>248</v>
      </c>
      <c r="AS1" s="20" t="s">
        <v>249</v>
      </c>
      <c r="AT1" s="20" t="s">
        <v>250</v>
      </c>
      <c r="AV1" t="s">
        <v>373</v>
      </c>
      <c r="AW1" t="s">
        <v>374</v>
      </c>
      <c r="AX1" t="s">
        <v>375</v>
      </c>
      <c r="AY1" t="s">
        <v>376</v>
      </c>
      <c r="AZ1" t="s">
        <v>377</v>
      </c>
      <c r="BA1" t="s">
        <v>378</v>
      </c>
      <c r="BB1" t="s">
        <v>379</v>
      </c>
      <c r="BC1" t="s">
        <v>380</v>
      </c>
      <c r="BD1" t="s">
        <v>381</v>
      </c>
      <c r="BE1" t="s">
        <v>382</v>
      </c>
    </row>
    <row r="2" spans="1:73" x14ac:dyDescent="0.35">
      <c r="A2" t="s">
        <v>251</v>
      </c>
      <c r="B2">
        <v>101669</v>
      </c>
      <c r="C2">
        <v>102053</v>
      </c>
      <c r="D2">
        <v>102577</v>
      </c>
      <c r="E2">
        <v>103187</v>
      </c>
      <c r="F2">
        <v>103795</v>
      </c>
      <c r="G2">
        <v>104341</v>
      </c>
      <c r="H2">
        <v>104822</v>
      </c>
      <c r="I2">
        <v>105264</v>
      </c>
      <c r="K2" t="s">
        <v>251</v>
      </c>
      <c r="L2">
        <v>10.974</v>
      </c>
      <c r="M2">
        <f>birthrate[[#This Row],[2016]]/1000</f>
        <v>1.0973999999999999E-2</v>
      </c>
      <c r="O2" t="s">
        <v>4</v>
      </c>
      <c r="P2">
        <v>48.1</v>
      </c>
      <c r="Q2">
        <f>facility[[#This Row],[Facility (%)]]/100</f>
        <v>0.48100000000000004</v>
      </c>
      <c r="S2" t="s">
        <v>4</v>
      </c>
      <c r="T2">
        <v>2015</v>
      </c>
      <c r="U2">
        <v>50.5</v>
      </c>
      <c r="V2">
        <f>SBA[[#This Row],[SBA (%)]]/100</f>
        <v>0.505</v>
      </c>
      <c r="X2" s="10" t="s">
        <v>4</v>
      </c>
      <c r="Y2" s="10" t="s">
        <v>252</v>
      </c>
      <c r="Z2" s="21">
        <v>1.6199999999999999E-2</v>
      </c>
      <c r="AA2" s="21">
        <v>1.29E-2</v>
      </c>
      <c r="AB2" s="21">
        <v>2.0299999999999999E-2</v>
      </c>
      <c r="AC2" s="22">
        <v>28803167</v>
      </c>
      <c r="AD2" s="23">
        <v>2.0918367346938775E-3</v>
      </c>
      <c r="AF2" s="24" t="s">
        <v>4</v>
      </c>
      <c r="AG2" s="24" t="s">
        <v>253</v>
      </c>
      <c r="AH2" s="24">
        <v>18</v>
      </c>
      <c r="AI2" s="25">
        <f>IF(birthdose[[#This Row],[2017]]/100=0, ,birthdose[[#This Row],[2017]]/100)</f>
        <v>0.18</v>
      </c>
      <c r="AK2" s="24" t="s">
        <v>4</v>
      </c>
      <c r="AL2" s="24" t="s">
        <v>254</v>
      </c>
      <c r="AM2" s="24">
        <v>65</v>
      </c>
      <c r="AN2" s="25">
        <f>IF(fullvax[[#This Row],[2017]]/100=0, ,fullvax[[#This Row],[2017]]/100)</f>
        <v>0.65</v>
      </c>
      <c r="AP2" t="s">
        <v>4</v>
      </c>
      <c r="AQ2" s="20">
        <v>0.96447071912575943</v>
      </c>
      <c r="AR2" s="20">
        <v>3.5529280874240565E-2</v>
      </c>
      <c r="AS2" s="20">
        <v>9.9050011419499109E-2</v>
      </c>
      <c r="AT2" s="20">
        <v>0.9009499885805009</v>
      </c>
      <c r="AV2" t="s">
        <v>11</v>
      </c>
      <c r="AW2">
        <v>0.3</v>
      </c>
      <c r="AX2">
        <v>0.2</v>
      </c>
      <c r="AY2">
        <v>0.5</v>
      </c>
      <c r="AZ2">
        <v>0.875</v>
      </c>
      <c r="BA2">
        <v>0.75</v>
      </c>
      <c r="BB2">
        <v>1</v>
      </c>
      <c r="BC2">
        <v>0.15</v>
      </c>
      <c r="BD2">
        <v>0.05</v>
      </c>
      <c r="BE2">
        <v>0.25</v>
      </c>
    </row>
    <row r="3" spans="1:73" x14ac:dyDescent="0.35">
      <c r="A3" t="s">
        <v>4</v>
      </c>
      <c r="B3">
        <v>28803167</v>
      </c>
      <c r="C3">
        <v>29708599</v>
      </c>
      <c r="D3">
        <v>30696958</v>
      </c>
      <c r="E3">
        <v>31731688</v>
      </c>
      <c r="F3">
        <v>32758020</v>
      </c>
      <c r="G3">
        <v>33736494</v>
      </c>
      <c r="H3">
        <v>34656032</v>
      </c>
      <c r="I3">
        <v>35530081</v>
      </c>
      <c r="K3" t="s">
        <v>4</v>
      </c>
      <c r="L3">
        <v>33.213999999999999</v>
      </c>
      <c r="M3">
        <f>birthrate[[#This Row],[2016]]/1000</f>
        <v>3.3214E-2</v>
      </c>
      <c r="O3" t="s">
        <v>8</v>
      </c>
      <c r="P3">
        <v>96.7</v>
      </c>
      <c r="Q3">
        <f>facility[[#This Row],[Facility (%)]]/100</f>
        <v>0.96700000000000008</v>
      </c>
      <c r="S3" t="s">
        <v>8</v>
      </c>
      <c r="T3" t="s">
        <v>255</v>
      </c>
      <c r="U3">
        <v>99.3</v>
      </c>
      <c r="V3">
        <f>SBA[[#This Row],[SBA (%)]]/100</f>
        <v>0.99299999999999999</v>
      </c>
      <c r="X3" s="13" t="s">
        <v>8</v>
      </c>
      <c r="Y3" s="13" t="s">
        <v>256</v>
      </c>
      <c r="Z3" s="26">
        <v>6.9000000000000006E-2</v>
      </c>
      <c r="AA3" s="26">
        <v>4.7E-2</v>
      </c>
      <c r="AB3" s="26">
        <v>9.2999999999999999E-2</v>
      </c>
      <c r="AC3">
        <v>2873457</v>
      </c>
      <c r="AD3" s="27">
        <v>1.2244897959183671E-2</v>
      </c>
      <c r="AF3" s="24" t="s">
        <v>8</v>
      </c>
      <c r="AG3" s="24" t="s">
        <v>253</v>
      </c>
      <c r="AH3" s="24">
        <v>99</v>
      </c>
      <c r="AI3" s="25">
        <f>IF(birthdose[[#This Row],[2017]]/100=0, ,birthdose[[#This Row],[2017]]/100)</f>
        <v>0.99</v>
      </c>
      <c r="AK3" s="24" t="s">
        <v>8</v>
      </c>
      <c r="AL3" s="24" t="s">
        <v>254</v>
      </c>
      <c r="AM3" s="24">
        <v>99</v>
      </c>
      <c r="AN3" s="25">
        <f>IF(fullvax[[#This Row],[2017]]/100=0, ,fullvax[[#This Row],[2017]]/100)</f>
        <v>0.99</v>
      </c>
      <c r="AP3" s="20" t="s">
        <v>8</v>
      </c>
      <c r="AQ3" s="20">
        <v>1</v>
      </c>
      <c r="AR3" s="20">
        <v>0</v>
      </c>
      <c r="AS3" s="20">
        <v>0.77554123113209783</v>
      </c>
      <c r="AT3" s="20">
        <v>0.22445876886790217</v>
      </c>
      <c r="AV3" t="s">
        <v>58</v>
      </c>
      <c r="AW3">
        <v>0.3</v>
      </c>
      <c r="AX3">
        <v>0.2</v>
      </c>
      <c r="AY3">
        <v>0.5</v>
      </c>
      <c r="AZ3">
        <v>0.875</v>
      </c>
      <c r="BA3">
        <v>0.75</v>
      </c>
      <c r="BB3">
        <v>1</v>
      </c>
      <c r="BC3">
        <v>0.15</v>
      </c>
      <c r="BD3">
        <v>0.05</v>
      </c>
      <c r="BE3">
        <v>0.25</v>
      </c>
    </row>
    <row r="4" spans="1:73" x14ac:dyDescent="0.35">
      <c r="A4" t="s">
        <v>19</v>
      </c>
      <c r="B4">
        <v>23369131</v>
      </c>
      <c r="C4">
        <v>24218565</v>
      </c>
      <c r="D4">
        <v>25096150</v>
      </c>
      <c r="E4">
        <v>25998340</v>
      </c>
      <c r="F4">
        <v>26920466</v>
      </c>
      <c r="G4">
        <v>27859305</v>
      </c>
      <c r="H4">
        <v>28813463</v>
      </c>
      <c r="I4">
        <v>29784193</v>
      </c>
      <c r="K4" t="s">
        <v>19</v>
      </c>
      <c r="L4">
        <v>41.819000000000003</v>
      </c>
      <c r="M4">
        <f>birthrate[[#This Row],[2016]]/1000</f>
        <v>4.1819000000000002E-2</v>
      </c>
      <c r="O4" t="s">
        <v>12</v>
      </c>
      <c r="P4">
        <v>96.8</v>
      </c>
      <c r="Q4">
        <f>facility[[#This Row],[Facility (%)]]/100</f>
        <v>0.96799999999999997</v>
      </c>
      <c r="S4" t="s">
        <v>12</v>
      </c>
      <c r="T4" t="s">
        <v>257</v>
      </c>
      <c r="U4">
        <v>96.6</v>
      </c>
      <c r="V4">
        <f>SBA[[#This Row],[SBA (%)]]/100</f>
        <v>0.96599999999999997</v>
      </c>
      <c r="X4" s="13" t="s">
        <v>12</v>
      </c>
      <c r="Y4" s="13" t="s">
        <v>252</v>
      </c>
      <c r="Z4" s="26">
        <v>2.1499999999999998E-2</v>
      </c>
      <c r="AA4" s="26">
        <v>1.4E-2</v>
      </c>
      <c r="AB4" s="26">
        <v>3.2300000000000002E-2</v>
      </c>
      <c r="AC4" s="22">
        <v>36117637</v>
      </c>
      <c r="AD4" s="27">
        <v>5.5102040816326549E-3</v>
      </c>
      <c r="AF4" s="24" t="s">
        <v>12</v>
      </c>
      <c r="AG4" s="24" t="s">
        <v>253</v>
      </c>
      <c r="AH4" s="24">
        <v>99</v>
      </c>
      <c r="AI4" s="25">
        <f>IF(birthdose[[#This Row],[2017]]/100=0, ,birthdose[[#This Row],[2017]]/100)</f>
        <v>0.99</v>
      </c>
      <c r="AK4" s="24" t="s">
        <v>12</v>
      </c>
      <c r="AL4" s="24" t="s">
        <v>254</v>
      </c>
      <c r="AM4" s="24">
        <v>91</v>
      </c>
      <c r="AN4" s="25">
        <f>IF(fullvax[[#This Row],[2017]]/100=0, ,fullvax[[#This Row],[2017]]/100)</f>
        <v>0.91</v>
      </c>
      <c r="AP4" s="20" t="s">
        <v>25</v>
      </c>
      <c r="AQ4" s="20">
        <v>1</v>
      </c>
      <c r="AR4" s="20">
        <v>0</v>
      </c>
      <c r="AS4" s="20">
        <v>0.57842837152352633</v>
      </c>
      <c r="AT4" s="20">
        <v>0.42157162847647367</v>
      </c>
      <c r="AV4" t="s">
        <v>383</v>
      </c>
      <c r="AW4">
        <v>0.3</v>
      </c>
      <c r="AX4">
        <v>0.2</v>
      </c>
      <c r="AY4">
        <v>0.5</v>
      </c>
      <c r="AZ4">
        <v>0.875</v>
      </c>
      <c r="BA4">
        <v>0.75</v>
      </c>
      <c r="BB4">
        <v>1</v>
      </c>
      <c r="BC4">
        <v>0.15</v>
      </c>
      <c r="BD4">
        <v>0.05</v>
      </c>
      <c r="BE4">
        <v>0.25</v>
      </c>
    </row>
    <row r="5" spans="1:73" x14ac:dyDescent="0.35">
      <c r="A5" t="s">
        <v>8</v>
      </c>
      <c r="B5">
        <v>2913021</v>
      </c>
      <c r="C5">
        <v>2905195</v>
      </c>
      <c r="D5">
        <v>2900401</v>
      </c>
      <c r="E5">
        <v>2895092</v>
      </c>
      <c r="F5">
        <v>2889104</v>
      </c>
      <c r="G5">
        <v>2880703</v>
      </c>
      <c r="H5">
        <v>2876101</v>
      </c>
      <c r="I5">
        <v>2873457</v>
      </c>
      <c r="K5" t="s">
        <v>8</v>
      </c>
      <c r="L5">
        <v>11.816000000000001</v>
      </c>
      <c r="M5">
        <f>birthrate[[#This Row],[2016]]/1000</f>
        <v>1.1816E-2</v>
      </c>
      <c r="O5" t="s">
        <v>19</v>
      </c>
      <c r="P5">
        <v>45.6</v>
      </c>
      <c r="Q5">
        <f>facility[[#This Row],[Facility (%)]]/100</f>
        <v>0.45600000000000002</v>
      </c>
      <c r="S5" t="s">
        <v>19</v>
      </c>
      <c r="T5" t="s">
        <v>258</v>
      </c>
      <c r="U5">
        <v>46.6</v>
      </c>
      <c r="V5">
        <f>SBA[[#This Row],[SBA (%)]]/100</f>
        <v>0.46600000000000003</v>
      </c>
      <c r="X5" s="10" t="s">
        <v>19</v>
      </c>
      <c r="Y5" s="10" t="s">
        <v>256</v>
      </c>
      <c r="Z5" s="21">
        <v>0.10199999999999999</v>
      </c>
      <c r="AA5" s="21">
        <v>9.2999999999999999E-2</v>
      </c>
      <c r="AB5" s="21">
        <v>0.114</v>
      </c>
      <c r="AC5">
        <v>29784193</v>
      </c>
      <c r="AD5" s="27">
        <v>6.1224489795918425E-3</v>
      </c>
      <c r="AF5" s="24" t="s">
        <v>16</v>
      </c>
      <c r="AG5" s="24" t="s">
        <v>253</v>
      </c>
      <c r="AH5" s="24">
        <v>94</v>
      </c>
      <c r="AI5" s="25">
        <f>IF(birthdose[[#This Row],[2017]]/100=0, ,birthdose[[#This Row],[2017]]/100)</f>
        <v>0.94</v>
      </c>
      <c r="AK5" s="24" t="s">
        <v>16</v>
      </c>
      <c r="AL5" s="24" t="s">
        <v>254</v>
      </c>
      <c r="AM5" s="24">
        <v>98</v>
      </c>
      <c r="AN5" s="25">
        <f>IF(fullvax[[#This Row],[2017]]/100=0, ,fullvax[[#This Row],[2017]]/100)</f>
        <v>0.98</v>
      </c>
      <c r="AP5" s="20" t="s">
        <v>30</v>
      </c>
      <c r="AQ5" s="20">
        <v>0.99516835769974776</v>
      </c>
      <c r="AR5" s="20">
        <v>4.8316423002522368E-3</v>
      </c>
      <c r="AS5" s="20">
        <v>0.51234113609262666</v>
      </c>
      <c r="AT5" s="20">
        <v>0.48765886390737334</v>
      </c>
      <c r="AV5" t="s">
        <v>7</v>
      </c>
      <c r="AW5">
        <v>0.3</v>
      </c>
      <c r="AX5">
        <v>0.2</v>
      </c>
      <c r="AY5">
        <v>0.5</v>
      </c>
      <c r="AZ5">
        <v>0.875</v>
      </c>
      <c r="BA5">
        <v>0.75</v>
      </c>
      <c r="BB5">
        <v>1</v>
      </c>
      <c r="BC5">
        <v>0.15</v>
      </c>
      <c r="BD5">
        <v>0.05</v>
      </c>
      <c r="BE5">
        <v>0.25</v>
      </c>
    </row>
    <row r="6" spans="1:73" x14ac:dyDescent="0.35">
      <c r="A6" t="s">
        <v>16</v>
      </c>
      <c r="B6">
        <v>84449</v>
      </c>
      <c r="C6">
        <v>83751</v>
      </c>
      <c r="D6">
        <v>82431</v>
      </c>
      <c r="E6">
        <v>80788</v>
      </c>
      <c r="F6">
        <v>79223</v>
      </c>
      <c r="G6">
        <v>78014</v>
      </c>
      <c r="H6">
        <v>77281</v>
      </c>
      <c r="I6">
        <v>76965</v>
      </c>
      <c r="K6" t="s">
        <v>16</v>
      </c>
      <c r="L6">
        <v>8.8000000000000007</v>
      </c>
      <c r="M6">
        <f>birthrate[[#This Row],[2016]]/1000</f>
        <v>8.8000000000000005E-3</v>
      </c>
      <c r="O6" t="s">
        <v>24</v>
      </c>
      <c r="P6">
        <v>99.27</v>
      </c>
      <c r="Q6">
        <f>facility[[#This Row],[Facility (%)]]/100</f>
        <v>0.99269999999999992</v>
      </c>
      <c r="S6" t="s">
        <v>20</v>
      </c>
      <c r="T6">
        <v>2014</v>
      </c>
      <c r="U6">
        <v>99.99</v>
      </c>
      <c r="V6">
        <f>SBA[[#This Row],[SBA (%)]]/100</f>
        <v>0.9998999999999999</v>
      </c>
      <c r="X6" s="13" t="s">
        <v>24</v>
      </c>
      <c r="Y6" s="13" t="s">
        <v>256</v>
      </c>
      <c r="Z6" s="26">
        <v>2E-3</v>
      </c>
      <c r="AA6" s="26">
        <v>1E-3</v>
      </c>
      <c r="AB6" s="26">
        <v>3.0000000000000001E-3</v>
      </c>
      <c r="AC6">
        <v>44271041</v>
      </c>
      <c r="AD6" s="27">
        <v>5.1020408163265311E-4</v>
      </c>
      <c r="AF6" s="24" t="s">
        <v>19</v>
      </c>
      <c r="AG6" s="24" t="s">
        <v>253</v>
      </c>
      <c r="AH6" s="24"/>
      <c r="AI6" s="25">
        <f>IF(birthdose[[#This Row],[2017]]/100=0, ,birthdose[[#This Row],[2017]]/100)</f>
        <v>0</v>
      </c>
      <c r="AK6" s="24" t="s">
        <v>19</v>
      </c>
      <c r="AL6" s="24" t="s">
        <v>254</v>
      </c>
      <c r="AM6" s="24">
        <v>52</v>
      </c>
      <c r="AN6" s="25">
        <f>IF(fullvax[[#This Row],[2017]]/100=0, ,fullvax[[#This Row],[2017]]/100)</f>
        <v>0.52</v>
      </c>
      <c r="AP6" s="20" t="s">
        <v>34</v>
      </c>
      <c r="AQ6" s="20">
        <v>0.98832553810645341</v>
      </c>
      <c r="AR6" s="20">
        <v>1.1674461893546595E-2</v>
      </c>
      <c r="AS6" s="20">
        <v>4.4423247066124202E-2</v>
      </c>
      <c r="AT6" s="20">
        <v>0.95557675293387578</v>
      </c>
      <c r="AV6" t="s">
        <v>37</v>
      </c>
      <c r="AW6">
        <v>0.3</v>
      </c>
      <c r="AX6">
        <v>0.2</v>
      </c>
      <c r="AY6">
        <v>0.5</v>
      </c>
      <c r="AZ6">
        <v>0.875</v>
      </c>
      <c r="BA6">
        <v>0.75</v>
      </c>
      <c r="BB6">
        <v>1</v>
      </c>
      <c r="BC6">
        <v>0.15</v>
      </c>
      <c r="BD6">
        <v>0.05</v>
      </c>
      <c r="BE6">
        <v>0.25</v>
      </c>
    </row>
    <row r="7" spans="1:73" x14ac:dyDescent="0.35">
      <c r="A7" t="s">
        <v>259</v>
      </c>
      <c r="B7">
        <v>356508908</v>
      </c>
      <c r="C7">
        <v>364895878</v>
      </c>
      <c r="D7">
        <v>373306993</v>
      </c>
      <c r="E7">
        <v>381702086</v>
      </c>
      <c r="F7">
        <v>390043028</v>
      </c>
      <c r="G7">
        <v>398304960</v>
      </c>
      <c r="H7">
        <v>406452690</v>
      </c>
      <c r="I7">
        <v>414491886</v>
      </c>
      <c r="K7" t="s">
        <v>259</v>
      </c>
      <c r="L7">
        <v>25.92776635556773</v>
      </c>
      <c r="M7">
        <f>birthrate[[#This Row],[2016]]/1000</f>
        <v>2.5927766355567729E-2</v>
      </c>
      <c r="O7" t="s">
        <v>25</v>
      </c>
      <c r="P7">
        <v>99.3</v>
      </c>
      <c r="Q7">
        <f>facility[[#This Row],[Facility (%)]]/100</f>
        <v>0.99299999999999999</v>
      </c>
      <c r="S7" t="s">
        <v>24</v>
      </c>
      <c r="T7">
        <v>2015</v>
      </c>
      <c r="U7">
        <v>99.6</v>
      </c>
      <c r="V7">
        <f>SBA[[#This Row],[SBA (%)]]/100</f>
        <v>0.996</v>
      </c>
      <c r="X7" s="10" t="s">
        <v>25</v>
      </c>
      <c r="Y7" s="10" t="s">
        <v>256</v>
      </c>
      <c r="Z7" s="21">
        <v>1.9E-2</v>
      </c>
      <c r="AA7" s="21">
        <v>1.7000000000000001E-2</v>
      </c>
      <c r="AB7" s="21">
        <v>2.1000000000000001E-2</v>
      </c>
      <c r="AC7">
        <v>2930450</v>
      </c>
      <c r="AD7" s="27">
        <v>1.0204081632653071E-3</v>
      </c>
      <c r="AF7" s="24" t="s">
        <v>20</v>
      </c>
      <c r="AG7" s="24" t="s">
        <v>253</v>
      </c>
      <c r="AH7" s="24"/>
      <c r="AI7" s="25">
        <f>IF(birthdose[[#This Row],[2017]]/100=0, ,birthdose[[#This Row],[2017]]/100)</f>
        <v>0</v>
      </c>
      <c r="AK7" s="24" t="s">
        <v>20</v>
      </c>
      <c r="AL7" s="24" t="s">
        <v>254</v>
      </c>
      <c r="AM7" s="24">
        <v>95</v>
      </c>
      <c r="AN7" s="25">
        <f>IF(fullvax[[#This Row],[2017]]/100=0, ,fullvax[[#This Row],[2017]]/100)</f>
        <v>0.95</v>
      </c>
      <c r="AP7" s="20" t="s">
        <v>39</v>
      </c>
      <c r="AQ7" s="20">
        <v>1</v>
      </c>
      <c r="AR7" s="20">
        <v>0</v>
      </c>
      <c r="AS7" s="20">
        <v>0.5387849484969518</v>
      </c>
      <c r="AT7" s="20">
        <v>0.4612150515030482</v>
      </c>
      <c r="AV7" t="s">
        <v>15</v>
      </c>
      <c r="AW7">
        <v>0.3</v>
      </c>
      <c r="AX7">
        <v>0.2</v>
      </c>
      <c r="AY7">
        <v>0.5</v>
      </c>
      <c r="AZ7">
        <v>0.875</v>
      </c>
      <c r="BA7">
        <v>0.75</v>
      </c>
      <c r="BB7">
        <v>1</v>
      </c>
      <c r="BC7">
        <v>0.15</v>
      </c>
      <c r="BD7">
        <v>0.05</v>
      </c>
      <c r="BE7">
        <v>0.25</v>
      </c>
    </row>
    <row r="8" spans="1:73" x14ac:dyDescent="0.35">
      <c r="A8" t="s">
        <v>213</v>
      </c>
      <c r="B8">
        <v>8270684</v>
      </c>
      <c r="C8">
        <v>8672475</v>
      </c>
      <c r="D8">
        <v>8900453</v>
      </c>
      <c r="E8">
        <v>9006263</v>
      </c>
      <c r="F8">
        <v>9070867</v>
      </c>
      <c r="G8">
        <v>9154302</v>
      </c>
      <c r="H8">
        <v>9269612</v>
      </c>
      <c r="I8">
        <v>9400145</v>
      </c>
      <c r="K8" t="s">
        <v>213</v>
      </c>
      <c r="L8">
        <v>9.5920000000000005</v>
      </c>
      <c r="M8">
        <f>birthrate[[#This Row],[2016]]/1000</f>
        <v>9.5919999999999998E-3</v>
      </c>
      <c r="O8" t="s">
        <v>26</v>
      </c>
      <c r="P8">
        <v>99.3</v>
      </c>
      <c r="Q8">
        <f>facility[[#This Row],[Facility (%)]]/100</f>
        <v>0.99299999999999999</v>
      </c>
      <c r="S8" t="s">
        <v>25</v>
      </c>
      <c r="T8" t="s">
        <v>260</v>
      </c>
      <c r="U8">
        <v>99.8</v>
      </c>
      <c r="V8">
        <f>SBA[[#This Row],[SBA (%)]]/100</f>
        <v>0.998</v>
      </c>
      <c r="X8" s="13" t="s">
        <v>26</v>
      </c>
      <c r="Y8" s="13" t="s">
        <v>256</v>
      </c>
      <c r="Z8" s="26">
        <v>0.01</v>
      </c>
      <c r="AA8" s="26">
        <v>9.7999999999999997E-3</v>
      </c>
      <c r="AB8" s="26">
        <v>0.01</v>
      </c>
      <c r="AC8">
        <v>24598933</v>
      </c>
      <c r="AD8" s="27">
        <v>5.1020408163264996E-5</v>
      </c>
      <c r="AF8" s="24" t="s">
        <v>24</v>
      </c>
      <c r="AG8" s="24" t="s">
        <v>253</v>
      </c>
      <c r="AH8" s="24">
        <v>80</v>
      </c>
      <c r="AI8" s="25">
        <f>IF(birthdose[[#This Row],[2017]]/100=0, ,birthdose[[#This Row],[2017]]/100)</f>
        <v>0.8</v>
      </c>
      <c r="AK8" s="24" t="s">
        <v>24</v>
      </c>
      <c r="AL8" s="24" t="s">
        <v>254</v>
      </c>
      <c r="AM8" s="24">
        <v>86</v>
      </c>
      <c r="AN8" s="25">
        <f>IF(fullvax[[#This Row],[2017]]/100=0, ,fullvax[[#This Row],[2017]]/100)</f>
        <v>0.86</v>
      </c>
      <c r="AP8" s="20" t="s">
        <v>42</v>
      </c>
      <c r="AQ8" s="20">
        <v>0.99370611178365809</v>
      </c>
      <c r="AR8" s="20">
        <v>6.2938882163419141E-3</v>
      </c>
      <c r="AS8" s="20">
        <v>0.47361041546109839</v>
      </c>
      <c r="AT8" s="20">
        <v>0.52638958453890161</v>
      </c>
    </row>
    <row r="9" spans="1:73" x14ac:dyDescent="0.35">
      <c r="A9" t="s">
        <v>24</v>
      </c>
      <c r="B9">
        <v>41223889</v>
      </c>
      <c r="C9">
        <v>41656879</v>
      </c>
      <c r="D9">
        <v>42096739</v>
      </c>
      <c r="E9">
        <v>42539925</v>
      </c>
      <c r="F9">
        <v>42981515</v>
      </c>
      <c r="G9">
        <v>43417765</v>
      </c>
      <c r="H9">
        <v>43847430</v>
      </c>
      <c r="I9">
        <v>44271041</v>
      </c>
      <c r="K9" t="s">
        <v>24</v>
      </c>
      <c r="L9">
        <v>17.172000000000001</v>
      </c>
      <c r="M9">
        <f>birthrate[[#This Row],[2016]]/1000</f>
        <v>1.7172E-2</v>
      </c>
      <c r="O9" t="s">
        <v>29</v>
      </c>
      <c r="P9">
        <v>98.5</v>
      </c>
      <c r="Q9">
        <f>facility[[#This Row],[Facility (%)]]/100</f>
        <v>0.98499999999999999</v>
      </c>
      <c r="S9" t="s">
        <v>26</v>
      </c>
      <c r="T9">
        <v>2015</v>
      </c>
      <c r="U9">
        <v>99.7</v>
      </c>
      <c r="V9">
        <f>SBA[[#This Row],[SBA (%)]]/100</f>
        <v>0.997</v>
      </c>
      <c r="X9" s="10" t="s">
        <v>29</v>
      </c>
      <c r="Y9" s="10" t="s">
        <v>252</v>
      </c>
      <c r="Z9" s="21">
        <v>1.23E-2</v>
      </c>
      <c r="AA9" s="21">
        <v>8.0999999999999996E-3</v>
      </c>
      <c r="AB9" s="21">
        <v>1.8599999999999998E-2</v>
      </c>
      <c r="AC9" s="22">
        <v>8363404</v>
      </c>
      <c r="AD9" s="27">
        <v>3.2142857142857134E-3</v>
      </c>
      <c r="AF9" s="24" t="s">
        <v>25</v>
      </c>
      <c r="AG9" s="24" t="s">
        <v>253</v>
      </c>
      <c r="AH9" s="24">
        <v>97</v>
      </c>
      <c r="AI9" s="25">
        <f>IF(birthdose[[#This Row],[2017]]/100=0, ,birthdose[[#This Row],[2017]]/100)</f>
        <v>0.97</v>
      </c>
      <c r="AK9" s="24" t="s">
        <v>25</v>
      </c>
      <c r="AL9" s="24" t="s">
        <v>254</v>
      </c>
      <c r="AM9" s="24">
        <v>94</v>
      </c>
      <c r="AN9" s="25">
        <f>IF(fullvax[[#This Row],[2017]]/100=0, ,fullvax[[#This Row],[2017]]/100)</f>
        <v>0.94</v>
      </c>
      <c r="AP9" s="20" t="s">
        <v>43</v>
      </c>
      <c r="AQ9" s="20">
        <v>0.95754230879046542</v>
      </c>
      <c r="AR9" s="20">
        <v>4.2457691209534576E-2</v>
      </c>
      <c r="AS9" s="20">
        <v>7.7079277442430885E-2</v>
      </c>
      <c r="AT9" s="20">
        <v>0.92292072255756907</v>
      </c>
      <c r="AV9" t="s">
        <v>0</v>
      </c>
      <c r="AW9" t="s">
        <v>373</v>
      </c>
      <c r="AX9" t="s">
        <v>384</v>
      </c>
      <c r="AY9" s="40" t="s">
        <v>385</v>
      </c>
      <c r="AZ9" s="40" t="s">
        <v>386</v>
      </c>
      <c r="BA9" s="40" t="s">
        <v>387</v>
      </c>
      <c r="BB9" s="40" t="s">
        <v>388</v>
      </c>
      <c r="BC9" s="40" t="s">
        <v>389</v>
      </c>
      <c r="BD9" s="40" t="s">
        <v>390</v>
      </c>
      <c r="BE9" s="40" t="s">
        <v>391</v>
      </c>
      <c r="BF9" s="40" t="s">
        <v>392</v>
      </c>
      <c r="BG9" s="40" t="s">
        <v>393</v>
      </c>
      <c r="BH9" s="40" t="s">
        <v>394</v>
      </c>
      <c r="BI9" s="40" t="s">
        <v>395</v>
      </c>
      <c r="BJ9" s="40" t="s">
        <v>396</v>
      </c>
      <c r="BK9" s="40" t="s">
        <v>397</v>
      </c>
      <c r="BL9" s="40" t="s">
        <v>398</v>
      </c>
      <c r="BM9" s="40" t="s">
        <v>399</v>
      </c>
      <c r="BN9" s="40" t="s">
        <v>400</v>
      </c>
      <c r="BO9" s="40" t="s">
        <v>401</v>
      </c>
      <c r="BP9" s="40" t="s">
        <v>402</v>
      </c>
      <c r="BQ9" s="40" t="s">
        <v>403</v>
      </c>
      <c r="BR9" s="40" t="s">
        <v>404</v>
      </c>
      <c r="BS9" s="40" t="s">
        <v>405</v>
      </c>
      <c r="BT9" s="40" t="s">
        <v>406</v>
      </c>
      <c r="BU9" t="s">
        <v>407</v>
      </c>
    </row>
    <row r="10" spans="1:73" x14ac:dyDescent="0.35">
      <c r="A10" t="s">
        <v>25</v>
      </c>
      <c r="B10">
        <v>2877311</v>
      </c>
      <c r="C10">
        <v>2875581</v>
      </c>
      <c r="D10">
        <v>2881922</v>
      </c>
      <c r="E10">
        <v>2893509</v>
      </c>
      <c r="F10">
        <v>2906220</v>
      </c>
      <c r="G10">
        <v>2916950</v>
      </c>
      <c r="H10">
        <v>2924816</v>
      </c>
      <c r="I10">
        <v>2930450</v>
      </c>
      <c r="K10" t="s">
        <v>25</v>
      </c>
      <c r="L10">
        <v>13.456</v>
      </c>
      <c r="M10">
        <f>birthrate[[#This Row],[2016]]/1000</f>
        <v>1.3455999999999999E-2</v>
      </c>
      <c r="O10" t="s">
        <v>30</v>
      </c>
      <c r="P10">
        <v>93.1</v>
      </c>
      <c r="Q10">
        <f>facility[[#This Row],[Facility (%)]]/100</f>
        <v>0.93099999999999994</v>
      </c>
      <c r="S10" t="s">
        <v>29</v>
      </c>
      <c r="T10">
        <v>2016</v>
      </c>
      <c r="U10">
        <v>98.4</v>
      </c>
      <c r="V10">
        <f>SBA[[#This Row],[SBA (%)]]/100</f>
        <v>0.9840000000000001</v>
      </c>
      <c r="X10" s="10" t="s">
        <v>30</v>
      </c>
      <c r="Y10" s="10" t="s">
        <v>256</v>
      </c>
      <c r="Z10" s="21">
        <v>1.7999999999999999E-2</v>
      </c>
      <c r="AA10" s="21">
        <v>1.4999999999999999E-2</v>
      </c>
      <c r="AB10" s="21">
        <v>2.1000000000000001E-2</v>
      </c>
      <c r="AC10">
        <v>9862429</v>
      </c>
      <c r="AD10" s="27">
        <v>1.5306122448979606E-3</v>
      </c>
      <c r="AF10" s="24" t="s">
        <v>26</v>
      </c>
      <c r="AG10" s="24" t="s">
        <v>253</v>
      </c>
      <c r="AH10" s="24"/>
      <c r="AI10" s="25">
        <f>IF(birthdose[[#This Row],[2017]]/100=0, ,birthdose[[#This Row],[2017]]/100)</f>
        <v>0</v>
      </c>
      <c r="AK10" s="24" t="s">
        <v>26</v>
      </c>
      <c r="AL10" s="24" t="s">
        <v>254</v>
      </c>
      <c r="AM10" s="24">
        <v>95</v>
      </c>
      <c r="AN10" s="25">
        <f>IF(fullvax[[#This Row],[2017]]/100=0, ,fullvax[[#This Row],[2017]]/100)</f>
        <v>0.95</v>
      </c>
      <c r="AP10" s="20" t="s">
        <v>44</v>
      </c>
      <c r="AQ10" s="20">
        <v>0.9855487739769887</v>
      </c>
      <c r="AR10" s="20">
        <v>1.4451226023011299E-2</v>
      </c>
      <c r="AS10" s="20">
        <v>5.9915364219662551E-2</v>
      </c>
      <c r="AT10" s="20">
        <v>0.94008463578033741</v>
      </c>
      <c r="AV10" s="8" t="s">
        <v>4</v>
      </c>
      <c r="AW10" s="11" t="s">
        <v>7</v>
      </c>
      <c r="AX10" s="41">
        <f>VLOOKUP(all_cause_mort[[#This Row],[Country]],[1]!populations[#Data],9,FALSE)*VLOOKUP(all_cause_mort[[#This Row],[Country]],[1]!birthrate[#Data],3,FALSE)</f>
        <v>1180096.1103340001</v>
      </c>
      <c r="AY10">
        <f>VLOOKUP(all_cause_mort[[Country]:[Country]],'[1]Mortality Data'!$A$2:$W$201,2,FALSE)</f>
        <v>5.3946750000000002E-2</v>
      </c>
      <c r="AZ10">
        <f>VLOOKUP(all_cause_mort[[Country]:[Country]],'[1]Mortality Data'!$A$2:$W$201,3,FALSE)</f>
        <v>4.3072895999999999E-3</v>
      </c>
      <c r="BA10">
        <f>VLOOKUP(all_cause_mort[[Country]:[Country]],'[1]Mortality Data'!$A$2:$W$201,4,FALSE)</f>
        <v>1.3272850999999999E-3</v>
      </c>
      <c r="BB10">
        <f>VLOOKUP(all_cause_mort[[Country]:[Country]],'[1]Mortality Data'!$A$2:$W$201,5,FALSE)</f>
        <v>1.043006E-3</v>
      </c>
      <c r="BC10">
        <f>VLOOKUP(all_cause_mort[[Country]:[Country]],'[1]Mortality Data'!$A$2:$W$201,6,FALSE)</f>
        <v>1.6842243999999999E-3</v>
      </c>
      <c r="BD10">
        <f>VLOOKUP(all_cause_mort[[Country]:[Country]],'[1]Mortality Data'!$A$2:$W$201,7,FALSE)</f>
        <v>2.3509482999999999E-3</v>
      </c>
      <c r="BE10">
        <f>VLOOKUP(all_cause_mort[[Country]:[Country]],'[1]Mortality Data'!$A$2:$W$201,8,FALSE)</f>
        <v>2.5620234000000002E-3</v>
      </c>
      <c r="BF10">
        <f>VLOOKUP(all_cause_mort[[Country]:[Country]],'[1]Mortality Data'!$A$2:$W$201,9,FALSE)</f>
        <v>2.9352549999999999E-3</v>
      </c>
      <c r="BG10">
        <f>VLOOKUP(all_cause_mort[[Country]:[Country]],'[1]Mortality Data'!$A$2:$W$201,10,FALSE)</f>
        <v>3.6406275000000002E-3</v>
      </c>
      <c r="BH10">
        <f>VLOOKUP(all_cause_mort[[Country]:[Country]],'[1]Mortality Data'!$A$2:$W$201,11,FALSE)</f>
        <v>4.8193397000000004E-3</v>
      </c>
      <c r="BI10">
        <f>VLOOKUP(all_cause_mort[[Country]:[Country]],'[1]Mortality Data'!$A$2:$W$201,12,FALSE)</f>
        <v>6.7762048000000004E-3</v>
      </c>
      <c r="BJ10">
        <f>VLOOKUP(all_cause_mort[[Country]:[Country]],'[1]Mortality Data'!$A$2:$W$201,13,FALSE)</f>
        <v>9.9386647000000005E-3</v>
      </c>
      <c r="BK10">
        <f>VLOOKUP(all_cause_mort[[Country]:[Country]],'[1]Mortality Data'!$A$2:$W$201,14,FALSE)</f>
        <v>1.4819776999999999E-2</v>
      </c>
      <c r="BL10">
        <f>VLOOKUP(all_cause_mort[[Country]:[Country]],'[1]Mortality Data'!$A$2:$W$201,15,FALSE)</f>
        <v>2.2737640999999999E-2</v>
      </c>
      <c r="BM10">
        <f>VLOOKUP(all_cause_mort[[Country]:[Country]],'[1]Mortality Data'!$A$2:$W$201,16,FALSE)</f>
        <v>3.5227205999999997E-2</v>
      </c>
      <c r="BN10">
        <f>VLOOKUP(all_cause_mort[[Country]:[Country]],'[1]Mortality Data'!$A$2:$W$201,17,FALSE)</f>
        <v>5.6293234999999997E-2</v>
      </c>
      <c r="BO10">
        <f>VLOOKUP(all_cause_mort[[Country]:[Country]],'[1]Mortality Data'!$A$2:$W$201,18,FALSE)</f>
        <v>9.0408010999999996E-2</v>
      </c>
      <c r="BP10">
        <f>VLOOKUP(all_cause_mort[[Country]:[Country]],'[1]Mortality Data'!$A$2:$W$201,19,FALSE)</f>
        <v>0.14440871999999999</v>
      </c>
      <c r="BQ10">
        <f>VLOOKUP(all_cause_mort[[Country]:[Country]],'[1]Mortality Data'!$A$2:$W$201,20,FALSE)</f>
        <v>0.22282518000000001</v>
      </c>
      <c r="BR10">
        <f>VLOOKUP(all_cause_mort[[Country]:[Country]],'[1]Mortality Data'!$A$2:$W$201,21,FALSE)</f>
        <v>0.32327080000000002</v>
      </c>
      <c r="BS10">
        <f>VLOOKUP(all_cause_mort[[Country]:[Country]],'[1]Mortality Data'!$A$2:$W$201,22,FALSE)</f>
        <v>0.44475852999999999</v>
      </c>
      <c r="BT10">
        <f>VLOOKUP(all_cause_mort[[Country]:[Country]],'[1]Mortality Data'!$A$2:$W$201,23,FALSE)</f>
        <v>0.57823609541681997</v>
      </c>
      <c r="BU10" s="39" t="e">
        <f>VLOOKUP(all_cause_mort[[#This Row],[Country]],[2]!regions[#Data],3,FALSE)</f>
        <v>#REF!</v>
      </c>
    </row>
    <row r="11" spans="1:73" x14ac:dyDescent="0.35">
      <c r="A11" t="s">
        <v>261</v>
      </c>
      <c r="B11">
        <v>55637</v>
      </c>
      <c r="C11">
        <v>55320</v>
      </c>
      <c r="D11">
        <v>55230</v>
      </c>
      <c r="E11">
        <v>55307</v>
      </c>
      <c r="F11">
        <v>55437</v>
      </c>
      <c r="G11">
        <v>55537</v>
      </c>
      <c r="H11">
        <v>55599</v>
      </c>
      <c r="I11">
        <v>55641</v>
      </c>
      <c r="K11" t="s">
        <v>261</v>
      </c>
      <c r="M11">
        <f>birthrate[[#This Row],[2016]]/1000</f>
        <v>0</v>
      </c>
      <c r="O11" t="s">
        <v>32</v>
      </c>
      <c r="P11">
        <v>97.5</v>
      </c>
      <c r="Q11">
        <f>facility[[#This Row],[Facility (%)]]/100</f>
        <v>0.97499999999999998</v>
      </c>
      <c r="S11" t="s">
        <v>30</v>
      </c>
      <c r="T11">
        <v>2016</v>
      </c>
      <c r="U11">
        <v>99.8</v>
      </c>
      <c r="V11">
        <f>SBA[[#This Row],[SBA (%)]]/100</f>
        <v>0.998</v>
      </c>
      <c r="X11" s="13" t="s">
        <v>32</v>
      </c>
      <c r="Y11" s="13" t="s">
        <v>256</v>
      </c>
      <c r="Z11" s="26">
        <v>0.01</v>
      </c>
      <c r="AA11" s="26">
        <v>6.0000000000000001E-3</v>
      </c>
      <c r="AB11" s="26">
        <v>1.0999999999999999E-2</v>
      </c>
      <c r="AC11">
        <v>1492584</v>
      </c>
      <c r="AD11" s="27">
        <v>5.1020408163265267E-4</v>
      </c>
      <c r="AF11" s="24" t="s">
        <v>29</v>
      </c>
      <c r="AG11" s="24" t="s">
        <v>253</v>
      </c>
      <c r="AH11" s="24"/>
      <c r="AI11" s="25">
        <f>IF(birthdose[[#This Row],[2017]]/100=0, ,birthdose[[#This Row],[2017]]/100)</f>
        <v>0</v>
      </c>
      <c r="AK11" s="24" t="s">
        <v>29</v>
      </c>
      <c r="AL11" s="24" t="s">
        <v>254</v>
      </c>
      <c r="AM11" s="24">
        <v>90</v>
      </c>
      <c r="AN11" s="25">
        <f>IF(fullvax[[#This Row],[2017]]/100=0, ,fullvax[[#This Row],[2017]]/100)</f>
        <v>0.9</v>
      </c>
      <c r="AP11" s="20" t="s">
        <v>262</v>
      </c>
      <c r="AQ11" s="20">
        <v>0.99554426939244167</v>
      </c>
      <c r="AR11" s="20">
        <v>4.4557306075583281E-3</v>
      </c>
      <c r="AS11" s="20">
        <v>0.12399880038200416</v>
      </c>
      <c r="AT11" s="20">
        <v>0.87600119961799583</v>
      </c>
      <c r="AV11" s="12" t="s">
        <v>8</v>
      </c>
      <c r="AW11" s="14" t="s">
        <v>11</v>
      </c>
      <c r="AX11" s="41">
        <f>VLOOKUP(all_cause_mort[[#This Row],[Country]],[1]!populations[#Data],9,FALSE)*VLOOKUP(all_cause_mort[[#This Row],[Country]],[1]!birthrate[#Data],3,FALSE)</f>
        <v>33952.767912000003</v>
      </c>
      <c r="AY11">
        <f>VLOOKUP(all_cause_mort[[Country]:[Country]],'[1]Mortality Data'!$A$2:$W$201,2,FALSE)</f>
        <v>8.0922204000000008E-3</v>
      </c>
      <c r="AZ11">
        <f>VLOOKUP(all_cause_mort[[Country]:[Country]],'[1]Mortality Data'!$A$2:$W$201,3,FALSE)</f>
        <v>8.4434150000000003E-4</v>
      </c>
      <c r="BA11">
        <f>VLOOKUP(all_cause_mort[[Country]:[Country]],'[1]Mortality Data'!$A$2:$W$201,4,FALSE)</f>
        <v>2.2330367000000001E-4</v>
      </c>
      <c r="BB11">
        <f>VLOOKUP(all_cause_mort[[Country]:[Country]],'[1]Mortality Data'!$A$2:$W$201,5,FALSE)</f>
        <v>2.6816246999999998E-4</v>
      </c>
      <c r="BC11">
        <f>VLOOKUP(all_cause_mort[[Country]:[Country]],'[1]Mortality Data'!$A$2:$W$201,6,FALSE)</f>
        <v>3.7209420000000002E-4</v>
      </c>
      <c r="BD11">
        <f>VLOOKUP(all_cause_mort[[Country]:[Country]],'[1]Mortality Data'!$A$2:$W$201,7,FALSE)</f>
        <v>4.2449776999999998E-4</v>
      </c>
      <c r="BE11">
        <f>VLOOKUP(all_cause_mort[[Country]:[Country]],'[1]Mortality Data'!$A$2:$W$201,8,FALSE)</f>
        <v>4.8967379000000003E-4</v>
      </c>
      <c r="BF11">
        <f>VLOOKUP(all_cause_mort[[Country]:[Country]],'[1]Mortality Data'!$A$2:$W$201,9,FALSE)</f>
        <v>6.3084082999999996E-4</v>
      </c>
      <c r="BG11">
        <f>VLOOKUP(all_cause_mort[[Country]:[Country]],'[1]Mortality Data'!$A$2:$W$201,10,FALSE)</f>
        <v>1.0338831E-3</v>
      </c>
      <c r="BH11">
        <f>VLOOKUP(all_cause_mort[[Country]:[Country]],'[1]Mortality Data'!$A$2:$W$201,11,FALSE)</f>
        <v>1.4005652E-3</v>
      </c>
      <c r="BI11">
        <f>VLOOKUP(all_cause_mort[[Country]:[Country]],'[1]Mortality Data'!$A$2:$W$201,12,FALSE)</f>
        <v>2.1814606999999999E-3</v>
      </c>
      <c r="BJ11">
        <f>VLOOKUP(all_cause_mort[[Country]:[Country]],'[1]Mortality Data'!$A$2:$W$201,13,FALSE)</f>
        <v>3.3276030000000002E-3</v>
      </c>
      <c r="BK11">
        <f>VLOOKUP(all_cause_mort[[Country]:[Country]],'[1]Mortality Data'!$A$2:$W$201,14,FALSE)</f>
        <v>5.1205864E-3</v>
      </c>
      <c r="BL11">
        <f>VLOOKUP(all_cause_mort[[Country]:[Country]],'[1]Mortality Data'!$A$2:$W$201,15,FALSE)</f>
        <v>8.0126368000000003E-3</v>
      </c>
      <c r="BM11">
        <f>VLOOKUP(all_cause_mort[[Country]:[Country]],'[1]Mortality Data'!$A$2:$W$201,16,FALSE)</f>
        <v>1.3531368E-2</v>
      </c>
      <c r="BN11">
        <f>VLOOKUP(all_cause_mort[[Country]:[Country]],'[1]Mortality Data'!$A$2:$W$201,17,FALSE)</f>
        <v>2.4342121000000001E-2</v>
      </c>
      <c r="BO11">
        <f>VLOOKUP(all_cause_mort[[Country]:[Country]],'[1]Mortality Data'!$A$2:$W$201,18,FALSE)</f>
        <v>4.6438684000000001E-2</v>
      </c>
      <c r="BP11">
        <f>VLOOKUP(all_cause_mort[[Country]:[Country]],'[1]Mortality Data'!$A$2:$W$201,19,FALSE)</f>
        <v>9.3340592999999999E-2</v>
      </c>
      <c r="BQ11">
        <f>VLOOKUP(all_cause_mort[[Country]:[Country]],'[1]Mortality Data'!$A$2:$W$201,20,FALSE)</f>
        <v>0.16125123999999999</v>
      </c>
      <c r="BR11">
        <f>VLOOKUP(all_cause_mort[[Country]:[Country]],'[1]Mortality Data'!$A$2:$W$201,21,FALSE)</f>
        <v>0.26382001999999999</v>
      </c>
      <c r="BS11">
        <f>VLOOKUP(all_cause_mort[[Country]:[Country]],'[1]Mortality Data'!$A$2:$W$201,22,FALSE)</f>
        <v>0.40889719000000002</v>
      </c>
      <c r="BT11">
        <f>VLOOKUP(all_cause_mort[[Country]:[Country]],'[1]Mortality Data'!$A$2:$W$201,23,FALSE)</f>
        <v>0.58592945491393</v>
      </c>
      <c r="BU11" s="39" t="e">
        <f>VLOOKUP(all_cause_mort[[#This Row],[Country]],[2]!regions[#Data],3,FALSE)</f>
        <v>#REF!</v>
      </c>
    </row>
    <row r="12" spans="1:73" x14ac:dyDescent="0.35">
      <c r="A12" t="s">
        <v>20</v>
      </c>
      <c r="B12">
        <v>94661</v>
      </c>
      <c r="C12">
        <v>95719</v>
      </c>
      <c r="D12">
        <v>96777</v>
      </c>
      <c r="E12">
        <v>97824</v>
      </c>
      <c r="F12">
        <v>98875</v>
      </c>
      <c r="G12">
        <v>99923</v>
      </c>
      <c r="H12">
        <v>100963</v>
      </c>
      <c r="I12">
        <v>102012</v>
      </c>
      <c r="K12" t="s">
        <v>20</v>
      </c>
      <c r="L12">
        <v>16.225000000000001</v>
      </c>
      <c r="M12">
        <f>birthrate[[#This Row],[2016]]/1000</f>
        <v>1.6225E-2</v>
      </c>
      <c r="O12" t="s">
        <v>34</v>
      </c>
      <c r="P12">
        <v>37.4</v>
      </c>
      <c r="Q12">
        <f>facility[[#This Row],[Facility (%)]]/100</f>
        <v>0.374</v>
      </c>
      <c r="S12" t="s">
        <v>31</v>
      </c>
      <c r="T12">
        <v>2014</v>
      </c>
      <c r="U12">
        <v>99.6</v>
      </c>
      <c r="V12">
        <f>SBA[[#This Row],[SBA (%)]]/100</f>
        <v>0.996</v>
      </c>
      <c r="X12" s="10" t="s">
        <v>34</v>
      </c>
      <c r="Y12" s="10" t="s">
        <v>256</v>
      </c>
      <c r="Z12" s="21">
        <v>4.8000000000000001E-2</v>
      </c>
      <c r="AA12" s="21">
        <v>3.3000000000000002E-2</v>
      </c>
      <c r="AB12" s="21">
        <v>6.2E-2</v>
      </c>
      <c r="AC12">
        <v>164669751</v>
      </c>
      <c r="AD12" s="27">
        <v>7.1428571428571426E-3</v>
      </c>
      <c r="AF12" s="24" t="s">
        <v>30</v>
      </c>
      <c r="AG12" s="24" t="s">
        <v>253</v>
      </c>
      <c r="AH12" s="24">
        <v>99</v>
      </c>
      <c r="AI12" s="25">
        <f>IF(birthdose[[#This Row],[2017]]/100=0, ,birthdose[[#This Row],[2017]]/100)</f>
        <v>0.99</v>
      </c>
      <c r="AK12" s="24" t="s">
        <v>30</v>
      </c>
      <c r="AL12" s="24" t="s">
        <v>254</v>
      </c>
      <c r="AM12" s="24">
        <v>95</v>
      </c>
      <c r="AN12" s="25">
        <f>IF(fullvax[[#This Row],[2017]]/100=0, ,fullvax[[#This Row],[2017]]/100)</f>
        <v>0.95</v>
      </c>
      <c r="AP12" s="20" t="s">
        <v>47</v>
      </c>
      <c r="AQ12" s="20">
        <v>1</v>
      </c>
      <c r="AR12" s="20">
        <v>0</v>
      </c>
      <c r="AS12" s="20">
        <v>0.66665430542164206</v>
      </c>
      <c r="AT12" s="20">
        <v>0.33334569457835794</v>
      </c>
      <c r="AV12" s="8" t="s">
        <v>12</v>
      </c>
      <c r="AW12" s="11" t="s">
        <v>15</v>
      </c>
      <c r="AX12" s="41">
        <f>VLOOKUP(all_cause_mort[[#This Row],[Country]],[1]!populations[#Data],9,FALSE)*VLOOKUP(all_cause_mort[[#This Row],[Country]],[1]!birthrate[#Data],3,FALSE)</f>
        <v>955771.26074399997</v>
      </c>
      <c r="AY12">
        <f>VLOOKUP(all_cause_mort[[Country]:[Country]],'[1]Mortality Data'!$A$2:$W$201,2,FALSE)</f>
        <v>2.1659504999999999E-2</v>
      </c>
      <c r="AZ12">
        <f>VLOOKUP(all_cause_mort[[Country]:[Country]],'[1]Mortality Data'!$A$2:$W$201,3,FALSE)</f>
        <v>8.7548632999999995E-4</v>
      </c>
      <c r="BA12">
        <f>VLOOKUP(all_cause_mort[[Country]:[Country]],'[1]Mortality Data'!$A$2:$W$201,4,FALSE)</f>
        <v>4.4614190999999999E-4</v>
      </c>
      <c r="BB12">
        <f>VLOOKUP(all_cause_mort[[Country]:[Country]],'[1]Mortality Data'!$A$2:$W$201,5,FALSE)</f>
        <v>3.9632223000000001E-4</v>
      </c>
      <c r="BC12">
        <f>VLOOKUP(all_cause_mort[[Country]:[Country]],'[1]Mortality Data'!$A$2:$W$201,6,FALSE)</f>
        <v>5.6781373000000003E-4</v>
      </c>
      <c r="BD12">
        <f>VLOOKUP(all_cause_mort[[Country]:[Country]],'[1]Mortality Data'!$A$2:$W$201,7,FALSE)</f>
        <v>7.3915389000000001E-4</v>
      </c>
      <c r="BE12">
        <f>VLOOKUP(all_cause_mort[[Country]:[Country]],'[1]Mortality Data'!$A$2:$W$201,8,FALSE)</f>
        <v>8.7255345000000002E-4</v>
      </c>
      <c r="BF12">
        <f>VLOOKUP(all_cause_mort[[Country]:[Country]],'[1]Mortality Data'!$A$2:$W$201,9,FALSE)</f>
        <v>1.031119E-3</v>
      </c>
      <c r="BG12">
        <f>VLOOKUP(all_cause_mort[[Country]:[Country]],'[1]Mortality Data'!$A$2:$W$201,10,FALSE)</f>
        <v>1.3854932999999999E-3</v>
      </c>
      <c r="BH12">
        <f>VLOOKUP(all_cause_mort[[Country]:[Country]],'[1]Mortality Data'!$A$2:$W$201,11,FALSE)</f>
        <v>1.8800754000000001E-3</v>
      </c>
      <c r="BI12">
        <f>VLOOKUP(all_cause_mort[[Country]:[Country]],'[1]Mortality Data'!$A$2:$W$201,12,FALSE)</f>
        <v>2.7545235000000002E-3</v>
      </c>
      <c r="BJ12">
        <f>VLOOKUP(all_cause_mort[[Country]:[Country]],'[1]Mortality Data'!$A$2:$W$201,13,FALSE)</f>
        <v>4.0843998999999997E-3</v>
      </c>
      <c r="BK12">
        <f>VLOOKUP(all_cause_mort[[Country]:[Country]],'[1]Mortality Data'!$A$2:$W$201,14,FALSE)</f>
        <v>6.2116617999999997E-3</v>
      </c>
      <c r="BL12">
        <f>VLOOKUP(all_cause_mort[[Country]:[Country]],'[1]Mortality Data'!$A$2:$W$201,15,FALSE)</f>
        <v>9.9289819999999994E-3</v>
      </c>
      <c r="BM12">
        <f>VLOOKUP(all_cause_mort[[Country]:[Country]],'[1]Mortality Data'!$A$2:$W$201,16,FALSE)</f>
        <v>1.5267958999999999E-2</v>
      </c>
      <c r="BN12">
        <f>VLOOKUP(all_cause_mort[[Country]:[Country]],'[1]Mortality Data'!$A$2:$W$201,17,FALSE)</f>
        <v>2.5445237999999998E-2</v>
      </c>
      <c r="BO12">
        <f>VLOOKUP(all_cause_mort[[Country]:[Country]],'[1]Mortality Data'!$A$2:$W$201,18,FALSE)</f>
        <v>4.4917462999999998E-2</v>
      </c>
      <c r="BP12">
        <f>VLOOKUP(all_cause_mort[[Country]:[Country]],'[1]Mortality Data'!$A$2:$W$201,19,FALSE)</f>
        <v>8.0227533000000004E-2</v>
      </c>
      <c r="BQ12">
        <f>VLOOKUP(all_cause_mort[[Country]:[Country]],'[1]Mortality Data'!$A$2:$W$201,20,FALSE)</f>
        <v>0.13637622999999999</v>
      </c>
      <c r="BR12">
        <f>VLOOKUP(all_cause_mort[[Country]:[Country]],'[1]Mortality Data'!$A$2:$W$201,21,FALSE)</f>
        <v>0.21586394</v>
      </c>
      <c r="BS12">
        <f>VLOOKUP(all_cause_mort[[Country]:[Country]],'[1]Mortality Data'!$A$2:$W$201,22,FALSE)</f>
        <v>0.31644028000000002</v>
      </c>
      <c r="BT12">
        <f>VLOOKUP(all_cause_mort[[Country]:[Country]],'[1]Mortality Data'!$A$2:$W$201,23,FALSE)</f>
        <v>0.45656238112257003</v>
      </c>
      <c r="BU12" s="39" t="e">
        <f>VLOOKUP(all_cause_mort[[#This Row],[Country]],[2]!regions[#Data],3,FALSE)</f>
        <v>#REF!</v>
      </c>
    </row>
    <row r="13" spans="1:73" x14ac:dyDescent="0.35">
      <c r="A13" t="s">
        <v>26</v>
      </c>
      <c r="B13">
        <v>22031750</v>
      </c>
      <c r="C13">
        <v>22340024</v>
      </c>
      <c r="D13">
        <v>22742475</v>
      </c>
      <c r="E13">
        <v>23145901</v>
      </c>
      <c r="F13">
        <v>23504138</v>
      </c>
      <c r="G13">
        <v>23850784</v>
      </c>
      <c r="H13">
        <v>24210809</v>
      </c>
      <c r="I13">
        <v>24598933</v>
      </c>
      <c r="K13" t="s">
        <v>26</v>
      </c>
      <c r="L13">
        <v>12.5</v>
      </c>
      <c r="M13">
        <f>birthrate[[#This Row],[2016]]/1000</f>
        <v>1.2500000000000001E-2</v>
      </c>
      <c r="O13" t="s">
        <v>38</v>
      </c>
      <c r="P13">
        <v>99.99</v>
      </c>
      <c r="Q13">
        <f>facility[[#This Row],[Facility (%)]]/100</f>
        <v>0.9998999999999999</v>
      </c>
      <c r="S13" t="s">
        <v>32</v>
      </c>
      <c r="T13">
        <v>2015</v>
      </c>
      <c r="U13">
        <v>99.7</v>
      </c>
      <c r="V13">
        <f>SBA[[#This Row],[SBA (%)]]/100</f>
        <v>0.997</v>
      </c>
      <c r="X13" s="13" t="s">
        <v>38</v>
      </c>
      <c r="Y13" s="13" t="s">
        <v>252</v>
      </c>
      <c r="Z13" s="26">
        <v>1.4E-2</v>
      </c>
      <c r="AA13" s="26">
        <v>6.7000000000000002E-3</v>
      </c>
      <c r="AB13" s="26">
        <v>2.9100000000000001E-2</v>
      </c>
      <c r="AC13" s="22">
        <v>279569</v>
      </c>
      <c r="AD13" s="27">
        <v>7.7040816326530617E-3</v>
      </c>
      <c r="AF13" s="24" t="s">
        <v>31</v>
      </c>
      <c r="AG13" s="24" t="s">
        <v>253</v>
      </c>
      <c r="AH13" s="24"/>
      <c r="AI13" s="25">
        <f>IF(birthdose[[#This Row],[2017]]/100=0, ,birthdose[[#This Row],[2017]]/100)</f>
        <v>0</v>
      </c>
      <c r="AK13" s="24" t="s">
        <v>31</v>
      </c>
      <c r="AL13" s="24" t="s">
        <v>254</v>
      </c>
      <c r="AM13" s="24">
        <v>94</v>
      </c>
      <c r="AN13" s="25">
        <f>IF(fullvax[[#This Row],[2017]]/100=0, ,fullvax[[#This Row],[2017]]/100)</f>
        <v>0.94</v>
      </c>
      <c r="AP13" s="20" t="s">
        <v>50</v>
      </c>
      <c r="AQ13" s="20">
        <v>0.98111639063788081</v>
      </c>
      <c r="AR13" s="20">
        <v>1.8883609362119191E-2</v>
      </c>
      <c r="AS13" s="20">
        <v>0.19968778666495002</v>
      </c>
      <c r="AT13" s="20">
        <v>0.80031221333504998</v>
      </c>
      <c r="AV13" s="8" t="s">
        <v>19</v>
      </c>
      <c r="AW13" s="11" t="s">
        <v>15</v>
      </c>
      <c r="AX13" s="41">
        <f>VLOOKUP(all_cause_mort[[#This Row],[Country]],[1]!populations[#Data],9,FALSE)*VLOOKUP(all_cause_mort[[#This Row],[Country]],[1]!birthrate[#Data],3,FALSE)</f>
        <v>1245545.1670669999</v>
      </c>
      <c r="AY13">
        <f>VLOOKUP(all_cause_mort[[Country]:[Country]],'[1]Mortality Data'!$A$2:$W$201,2,FALSE)</f>
        <v>6.4531059000000002E-2</v>
      </c>
      <c r="AZ13">
        <f>VLOOKUP(all_cause_mort[[Country]:[Country]],'[1]Mortality Data'!$A$2:$W$201,3,FALSE)</f>
        <v>5.2451637000000004E-3</v>
      </c>
      <c r="BA13">
        <f>VLOOKUP(all_cause_mort[[Country]:[Country]],'[1]Mortality Data'!$A$2:$W$201,4,FALSE)</f>
        <v>1.9172759000000001E-3</v>
      </c>
      <c r="BB13">
        <f>VLOOKUP(all_cause_mort[[Country]:[Country]],'[1]Mortality Data'!$A$2:$W$201,5,FALSE)</f>
        <v>1.3961970000000001E-3</v>
      </c>
      <c r="BC13">
        <f>VLOOKUP(all_cause_mort[[Country]:[Country]],'[1]Mortality Data'!$A$2:$W$201,6,FALSE)</f>
        <v>2.3501540000000001E-3</v>
      </c>
      <c r="BD13">
        <f>VLOOKUP(all_cause_mort[[Country]:[Country]],'[1]Mortality Data'!$A$2:$W$201,7,FALSE)</f>
        <v>3.2809611999999998E-3</v>
      </c>
      <c r="BE13">
        <f>VLOOKUP(all_cause_mort[[Country]:[Country]],'[1]Mortality Data'!$A$2:$W$201,8,FALSE)</f>
        <v>3.6205431E-3</v>
      </c>
      <c r="BF13">
        <f>VLOOKUP(all_cause_mort[[Country]:[Country]],'[1]Mortality Data'!$A$2:$W$201,9,FALSE)</f>
        <v>4.1828852E-3</v>
      </c>
      <c r="BG13">
        <f>VLOOKUP(all_cause_mort[[Country]:[Country]],'[1]Mortality Data'!$A$2:$W$201,10,FALSE)</f>
        <v>5.2032420000000003E-3</v>
      </c>
      <c r="BH13">
        <f>VLOOKUP(all_cause_mort[[Country]:[Country]],'[1]Mortality Data'!$A$2:$W$201,11,FALSE)</f>
        <v>6.7017502999999999E-3</v>
      </c>
      <c r="BI13">
        <f>VLOOKUP(all_cause_mort[[Country]:[Country]],'[1]Mortality Data'!$A$2:$W$201,12,FALSE)</f>
        <v>9.0027179000000002E-3</v>
      </c>
      <c r="BJ13">
        <f>VLOOKUP(all_cause_mort[[Country]:[Country]],'[1]Mortality Data'!$A$2:$W$201,13,FALSE)</f>
        <v>1.2711191E-2</v>
      </c>
      <c r="BK13">
        <f>VLOOKUP(all_cause_mort[[Country]:[Country]],'[1]Mortality Data'!$A$2:$W$201,14,FALSE)</f>
        <v>1.8137687999999999E-2</v>
      </c>
      <c r="BL13">
        <f>VLOOKUP(all_cause_mort[[Country]:[Country]],'[1]Mortality Data'!$A$2:$W$201,15,FALSE)</f>
        <v>2.7309130000000001E-2</v>
      </c>
      <c r="BM13">
        <f>VLOOKUP(all_cause_mort[[Country]:[Country]],'[1]Mortality Data'!$A$2:$W$201,16,FALSE)</f>
        <v>4.1340635000000001E-2</v>
      </c>
      <c r="BN13">
        <f>VLOOKUP(all_cause_mort[[Country]:[Country]],'[1]Mortality Data'!$A$2:$W$201,17,FALSE)</f>
        <v>6.4313836999999999E-2</v>
      </c>
      <c r="BO13">
        <f>VLOOKUP(all_cause_mort[[Country]:[Country]],'[1]Mortality Data'!$A$2:$W$201,18,FALSE)</f>
        <v>9.9995339000000003E-2</v>
      </c>
      <c r="BP13">
        <f>VLOOKUP(all_cause_mort[[Country]:[Country]],'[1]Mortality Data'!$A$2:$W$201,19,FALSE)</f>
        <v>0.1528484</v>
      </c>
      <c r="BQ13">
        <f>VLOOKUP(all_cause_mort[[Country]:[Country]],'[1]Mortality Data'!$A$2:$W$201,20,FALSE)</f>
        <v>0.22775861999999999</v>
      </c>
      <c r="BR13">
        <f>VLOOKUP(all_cause_mort[[Country]:[Country]],'[1]Mortality Data'!$A$2:$W$201,21,FALSE)</f>
        <v>0.32140297000000001</v>
      </c>
      <c r="BS13">
        <f>VLOOKUP(all_cause_mort[[Country]:[Country]],'[1]Mortality Data'!$A$2:$W$201,22,FALSE)</f>
        <v>0.44126733000000001</v>
      </c>
      <c r="BT13">
        <f>VLOOKUP(all_cause_mort[[Country]:[Country]],'[1]Mortality Data'!$A$2:$W$201,23,FALSE)</f>
        <v>0.57121585064579095</v>
      </c>
      <c r="BU13" s="39" t="e">
        <f>VLOOKUP(all_cause_mort[[#This Row],[Country]],[2]!regions[#Data],3,FALSE)</f>
        <v>#REF!</v>
      </c>
    </row>
    <row r="14" spans="1:73" x14ac:dyDescent="0.35">
      <c r="A14" t="s">
        <v>29</v>
      </c>
      <c r="B14">
        <v>8363404</v>
      </c>
      <c r="C14">
        <v>8391643</v>
      </c>
      <c r="D14">
        <v>8429991</v>
      </c>
      <c r="E14">
        <v>8479823</v>
      </c>
      <c r="F14">
        <v>8546356</v>
      </c>
      <c r="G14">
        <v>8642699</v>
      </c>
      <c r="H14">
        <v>8736668</v>
      </c>
      <c r="I14">
        <v>8809212</v>
      </c>
      <c r="K14" t="s">
        <v>29</v>
      </c>
      <c r="L14">
        <v>10</v>
      </c>
      <c r="M14">
        <f>birthrate[[#This Row],[2016]]/1000</f>
        <v>0.01</v>
      </c>
      <c r="O14" t="s">
        <v>39</v>
      </c>
      <c r="P14">
        <v>99.9</v>
      </c>
      <c r="Q14">
        <f>facility[[#This Row],[Facility (%)]]/100</f>
        <v>0.99900000000000011</v>
      </c>
      <c r="S14" t="s">
        <v>34</v>
      </c>
      <c r="T14" t="s">
        <v>263</v>
      </c>
      <c r="U14">
        <v>49.8</v>
      </c>
      <c r="V14">
        <f>SBA[[#This Row],[SBA (%)]]/100</f>
        <v>0.498</v>
      </c>
      <c r="X14" s="13" t="s">
        <v>39</v>
      </c>
      <c r="Y14" s="13" t="s">
        <v>256</v>
      </c>
      <c r="Z14" s="26">
        <v>4.2999999999999997E-2</v>
      </c>
      <c r="AA14" s="26">
        <v>3.9E-2</v>
      </c>
      <c r="AB14" s="26">
        <v>4.8000000000000001E-2</v>
      </c>
      <c r="AC14">
        <v>9507875</v>
      </c>
      <c r="AD14" s="27">
        <v>2.5510204081632677E-3</v>
      </c>
      <c r="AF14" s="24" t="s">
        <v>32</v>
      </c>
      <c r="AG14" s="24" t="s">
        <v>253</v>
      </c>
      <c r="AH14" s="24">
        <v>99</v>
      </c>
      <c r="AI14" s="25">
        <f>IF(birthdose[[#This Row],[2017]]/100=0, ,birthdose[[#This Row],[2017]]/100)</f>
        <v>0.99</v>
      </c>
      <c r="AK14" s="24" t="s">
        <v>32</v>
      </c>
      <c r="AL14" s="24" t="s">
        <v>254</v>
      </c>
      <c r="AM14" s="24">
        <v>98</v>
      </c>
      <c r="AN14" s="25">
        <f>IF(fullvax[[#This Row],[2017]]/100=0, ,fullvax[[#This Row],[2017]]/100)</f>
        <v>0.98</v>
      </c>
      <c r="AP14" s="20" t="s">
        <v>53</v>
      </c>
      <c r="AQ14" s="20">
        <v>0.99727062951519452</v>
      </c>
      <c r="AR14" s="20">
        <v>2.7293704848054823E-3</v>
      </c>
      <c r="AS14" s="20">
        <v>3.5547572004205795E-2</v>
      </c>
      <c r="AT14" s="20">
        <v>0.96445242799579423</v>
      </c>
      <c r="AV14" s="12" t="s">
        <v>20</v>
      </c>
      <c r="AW14" s="14" t="s">
        <v>23</v>
      </c>
      <c r="AX14" s="41">
        <f>VLOOKUP(all_cause_mort[[#This Row],[Country]],[1]!populations[#Data],9,FALSE)*VLOOKUP(all_cause_mort[[#This Row],[Country]],[1]!birthrate[#Data],3,FALSE)</f>
        <v>1655.1447000000001</v>
      </c>
      <c r="AY14">
        <f>VLOOKUP(all_cause_mort[[Country]:[Country]],'[1]Mortality Data'!$A$2:$W$201,2,FALSE)</f>
        <v>5.2211990000000002E-3</v>
      </c>
      <c r="AZ14">
        <f>VLOOKUP(all_cause_mort[[Country]:[Country]],'[1]Mortality Data'!$A$2:$W$201,3,FALSE)</f>
        <v>5.1687748000000004E-4</v>
      </c>
      <c r="BA14">
        <f>VLOOKUP(all_cause_mort[[Country]:[Country]],'[1]Mortality Data'!$A$2:$W$201,4,FALSE)</f>
        <v>1.9165605999999999E-4</v>
      </c>
      <c r="BB14">
        <f>VLOOKUP(all_cause_mort[[Country]:[Country]],'[1]Mortality Data'!$A$2:$W$201,5,FALSE)</f>
        <v>2.0210063000000001E-4</v>
      </c>
      <c r="BC14">
        <f>VLOOKUP(all_cause_mort[[Country]:[Country]],'[1]Mortality Data'!$A$2:$W$201,6,FALSE)</f>
        <v>5.6358592000000003E-4</v>
      </c>
      <c r="BD14">
        <f>VLOOKUP(all_cause_mort[[Country]:[Country]],'[1]Mortality Data'!$A$2:$W$201,7,FALSE)</f>
        <v>7.5610675000000003E-4</v>
      </c>
      <c r="BE14">
        <f>VLOOKUP(all_cause_mort[[Country]:[Country]],'[1]Mortality Data'!$A$2:$W$201,8,FALSE)</f>
        <v>7.7174643000000004E-4</v>
      </c>
      <c r="BF14">
        <f>VLOOKUP(all_cause_mort[[Country]:[Country]],'[1]Mortality Data'!$A$2:$W$201,9,FALSE)</f>
        <v>9.2885506E-4</v>
      </c>
      <c r="BG14">
        <f>VLOOKUP(all_cause_mort[[Country]:[Country]],'[1]Mortality Data'!$A$2:$W$201,10,FALSE)</f>
        <v>1.292065E-3</v>
      </c>
      <c r="BH14">
        <f>VLOOKUP(all_cause_mort[[Country]:[Country]],'[1]Mortality Data'!$A$2:$W$201,11,FALSE)</f>
        <v>1.9671754E-3</v>
      </c>
      <c r="BI14">
        <f>VLOOKUP(all_cause_mort[[Country]:[Country]],'[1]Mortality Data'!$A$2:$W$201,12,FALSE)</f>
        <v>3.1258478E-3</v>
      </c>
      <c r="BJ14">
        <f>VLOOKUP(all_cause_mort[[Country]:[Country]],'[1]Mortality Data'!$A$2:$W$201,13,FALSE)</f>
        <v>4.9728070999999997E-3</v>
      </c>
      <c r="BK14">
        <f>VLOOKUP(all_cause_mort[[Country]:[Country]],'[1]Mortality Data'!$A$2:$W$201,14,FALSE)</f>
        <v>7.7981552000000003E-3</v>
      </c>
      <c r="BL14">
        <f>VLOOKUP(all_cause_mort[[Country]:[Country]],'[1]Mortality Data'!$A$2:$W$201,15,FALSE)</f>
        <v>1.1995609000000001E-2</v>
      </c>
      <c r="BM14">
        <f>VLOOKUP(all_cause_mort[[Country]:[Country]],'[1]Mortality Data'!$A$2:$W$201,16,FALSE)</f>
        <v>1.8518706999999999E-2</v>
      </c>
      <c r="BN14">
        <f>VLOOKUP(all_cause_mort[[Country]:[Country]],'[1]Mortality Data'!$A$2:$W$201,17,FALSE)</f>
        <v>3.0113496E-2</v>
      </c>
      <c r="BO14">
        <f>VLOOKUP(all_cause_mort[[Country]:[Country]],'[1]Mortality Data'!$A$2:$W$201,18,FALSE)</f>
        <v>5.0944387000000001E-2</v>
      </c>
      <c r="BP14">
        <f>VLOOKUP(all_cause_mort[[Country]:[Country]],'[1]Mortality Data'!$A$2:$W$201,19,FALSE)</f>
        <v>8.7629659999999998E-2</v>
      </c>
      <c r="BQ14">
        <f>VLOOKUP(all_cause_mort[[Country]:[Country]],'[1]Mortality Data'!$A$2:$W$201,20,FALSE)</f>
        <v>0.14876685000000001</v>
      </c>
      <c r="BR14">
        <f>VLOOKUP(all_cause_mort[[Country]:[Country]],'[1]Mortality Data'!$A$2:$W$201,21,FALSE)</f>
        <v>0.23707270999999999</v>
      </c>
      <c r="BS14">
        <f>VLOOKUP(all_cause_mort[[Country]:[Country]],'[1]Mortality Data'!$A$2:$W$201,22,FALSE)</f>
        <v>0.34346544000000001</v>
      </c>
      <c r="BT14">
        <f>VLOOKUP(all_cause_mort[[Country]:[Country]],'[1]Mortality Data'!$A$2:$W$201,23,FALSE)</f>
        <v>0.46051642680515098</v>
      </c>
      <c r="BU14" s="39" t="e">
        <f>VLOOKUP(all_cause_mort[[#This Row],[Country]],[2]!regions[#Data],3,FALSE)</f>
        <v>#REF!</v>
      </c>
    </row>
    <row r="15" spans="1:73" x14ac:dyDescent="0.35">
      <c r="A15" t="s">
        <v>30</v>
      </c>
      <c r="B15">
        <v>9054332</v>
      </c>
      <c r="C15">
        <v>9173082</v>
      </c>
      <c r="D15">
        <v>9295784</v>
      </c>
      <c r="E15">
        <v>9416801</v>
      </c>
      <c r="F15">
        <v>9535079</v>
      </c>
      <c r="G15">
        <v>9649341</v>
      </c>
      <c r="H15">
        <v>9757812</v>
      </c>
      <c r="I15">
        <v>9862429</v>
      </c>
      <c r="K15" t="s">
        <v>30</v>
      </c>
      <c r="L15">
        <v>16.3</v>
      </c>
      <c r="M15">
        <f>birthrate[[#This Row],[2016]]/1000</f>
        <v>1.6300000000000002E-2</v>
      </c>
      <c r="O15" t="s">
        <v>42</v>
      </c>
      <c r="P15">
        <v>96.4</v>
      </c>
      <c r="Q15">
        <f>facility[[#This Row],[Facility (%)]]/100</f>
        <v>0.96400000000000008</v>
      </c>
      <c r="S15" t="s">
        <v>38</v>
      </c>
      <c r="T15">
        <v>2015</v>
      </c>
      <c r="U15">
        <v>99</v>
      </c>
      <c r="V15">
        <f>SBA[[#This Row],[SBA (%)]]/100</f>
        <v>0.99</v>
      </c>
      <c r="X15" s="10" t="s">
        <v>41</v>
      </c>
      <c r="Y15" s="10" t="s">
        <v>256</v>
      </c>
      <c r="Z15" s="21">
        <v>6.0000000000000001E-3</v>
      </c>
      <c r="AA15" s="21">
        <v>5.0000000000000001E-3</v>
      </c>
      <c r="AB15" s="21">
        <v>7.0000000000000001E-3</v>
      </c>
      <c r="AC15">
        <v>11372068</v>
      </c>
      <c r="AD15" s="27">
        <v>5.1020408163265311E-4</v>
      </c>
      <c r="AF15" s="24" t="s">
        <v>34</v>
      </c>
      <c r="AG15" s="24" t="s">
        <v>253</v>
      </c>
      <c r="AH15" s="24"/>
      <c r="AI15" s="25">
        <f>IF(birthdose[[#This Row],[2017]]/100=0, ,birthdose[[#This Row],[2017]]/100)</f>
        <v>0</v>
      </c>
      <c r="AK15" s="24" t="s">
        <v>34</v>
      </c>
      <c r="AL15" s="24" t="s">
        <v>254</v>
      </c>
      <c r="AM15" s="24">
        <v>97</v>
      </c>
      <c r="AN15" s="25">
        <f>IF(fullvax[[#This Row],[2017]]/100=0, ,fullvax[[#This Row],[2017]]/100)</f>
        <v>0.97</v>
      </c>
      <c r="AP15" s="20" t="s">
        <v>54</v>
      </c>
      <c r="AQ15" s="20">
        <v>0.99520768086660771</v>
      </c>
      <c r="AR15" s="20">
        <v>4.7923191333922865E-3</v>
      </c>
      <c r="AS15" s="20">
        <v>2.5211379670863312E-2</v>
      </c>
      <c r="AT15" s="20">
        <v>0.97478862032913671</v>
      </c>
      <c r="AV15" s="8" t="s">
        <v>24</v>
      </c>
      <c r="AW15" s="11" t="s">
        <v>23</v>
      </c>
      <c r="AX15" s="41">
        <f>VLOOKUP(all_cause_mort[[#This Row],[Country]],[1]!populations[#Data],9,FALSE)*VLOOKUP(all_cause_mort[[#This Row],[Country]],[1]!birthrate[#Data],3,FALSE)</f>
        <v>760222.31605200004</v>
      </c>
      <c r="AY15">
        <f>VLOOKUP(all_cause_mort[[Country]:[Country]],'[1]Mortality Data'!$A$2:$W$201,2,FALSE)</f>
        <v>1.0322593E-2</v>
      </c>
      <c r="AZ15">
        <f>VLOOKUP(all_cause_mort[[Country]:[Country]],'[1]Mortality Data'!$A$2:$W$201,3,FALSE)</f>
        <v>4.1390977999999998E-4</v>
      </c>
      <c r="BA15">
        <f>VLOOKUP(all_cause_mort[[Country]:[Country]],'[1]Mortality Data'!$A$2:$W$201,4,FALSE)</f>
        <v>1.8238320000000001E-4</v>
      </c>
      <c r="BB15">
        <f>VLOOKUP(all_cause_mort[[Country]:[Country]],'[1]Mortality Data'!$A$2:$W$201,5,FALSE)</f>
        <v>2.3878123000000001E-4</v>
      </c>
      <c r="BC15">
        <f>VLOOKUP(all_cause_mort[[Country]:[Country]],'[1]Mortality Data'!$A$2:$W$201,6,FALSE)</f>
        <v>7.4419885000000002E-4</v>
      </c>
      <c r="BD15">
        <f>VLOOKUP(all_cause_mort[[Country]:[Country]],'[1]Mortality Data'!$A$2:$W$201,7,FALSE)</f>
        <v>1.0246417E-3</v>
      </c>
      <c r="BE15">
        <f>VLOOKUP(all_cause_mort[[Country]:[Country]],'[1]Mortality Data'!$A$2:$W$201,8,FALSE)</f>
        <v>1.0306010999999999E-3</v>
      </c>
      <c r="BF15">
        <f>VLOOKUP(all_cause_mort[[Country]:[Country]],'[1]Mortality Data'!$A$2:$W$201,9,FALSE)</f>
        <v>1.1684485000000001E-3</v>
      </c>
      <c r="BG15">
        <f>VLOOKUP(all_cause_mort[[Country]:[Country]],'[1]Mortality Data'!$A$2:$W$201,10,FALSE)</f>
        <v>1.4152933999999999E-3</v>
      </c>
      <c r="BH15">
        <f>VLOOKUP(all_cause_mort[[Country]:[Country]],'[1]Mortality Data'!$A$2:$W$201,11,FALSE)</f>
        <v>1.9975904000000002E-3</v>
      </c>
      <c r="BI15">
        <f>VLOOKUP(all_cause_mort[[Country]:[Country]],'[1]Mortality Data'!$A$2:$W$201,12,FALSE)</f>
        <v>3.1712293999999999E-3</v>
      </c>
      <c r="BJ15">
        <f>VLOOKUP(all_cause_mort[[Country]:[Country]],'[1]Mortality Data'!$A$2:$W$201,13,FALSE)</f>
        <v>5.1388362999999996E-3</v>
      </c>
      <c r="BK15">
        <f>VLOOKUP(all_cause_mort[[Country]:[Country]],'[1]Mortality Data'!$A$2:$W$201,14,FALSE)</f>
        <v>8.5199630999999998E-3</v>
      </c>
      <c r="BL15">
        <f>VLOOKUP(all_cause_mort[[Country]:[Country]],'[1]Mortality Data'!$A$2:$W$201,15,FALSE)</f>
        <v>1.2932203999999999E-2</v>
      </c>
      <c r="BM15">
        <f>VLOOKUP(all_cause_mort[[Country]:[Country]],'[1]Mortality Data'!$A$2:$W$201,16,FALSE)</f>
        <v>1.9786802999999999E-2</v>
      </c>
      <c r="BN15">
        <f>VLOOKUP(all_cause_mort[[Country]:[Country]],'[1]Mortality Data'!$A$2:$W$201,17,FALSE)</f>
        <v>2.9534217000000001E-2</v>
      </c>
      <c r="BO15">
        <f>VLOOKUP(all_cause_mort[[Country]:[Country]],'[1]Mortality Data'!$A$2:$W$201,18,FALSE)</f>
        <v>4.6395080999999998E-2</v>
      </c>
      <c r="BP15">
        <f>VLOOKUP(all_cause_mort[[Country]:[Country]],'[1]Mortality Data'!$A$2:$W$201,19,FALSE)</f>
        <v>7.6765973000000001E-2</v>
      </c>
      <c r="BQ15">
        <f>VLOOKUP(all_cause_mort[[Country]:[Country]],'[1]Mortality Data'!$A$2:$W$201,20,FALSE)</f>
        <v>0.12562364000000001</v>
      </c>
      <c r="BR15">
        <f>VLOOKUP(all_cause_mort[[Country]:[Country]],'[1]Mortality Data'!$A$2:$W$201,21,FALSE)</f>
        <v>0.19993209000000001</v>
      </c>
      <c r="BS15">
        <f>VLOOKUP(all_cause_mort[[Country]:[Country]],'[1]Mortality Data'!$A$2:$W$201,22,FALSE)</f>
        <v>0.30907124000000002</v>
      </c>
      <c r="BT15">
        <f>VLOOKUP(all_cause_mort[[Country]:[Country]],'[1]Mortality Data'!$A$2:$W$201,23,FALSE)</f>
        <v>0.46164040594441402</v>
      </c>
      <c r="BU15" s="39" t="e">
        <f>VLOOKUP(all_cause_mort[[#This Row],[Country]],[2]!regions[#Data],3,FALSE)</f>
        <v>#REF!</v>
      </c>
    </row>
    <row r="16" spans="1:73" x14ac:dyDescent="0.35">
      <c r="A16" t="s">
        <v>54</v>
      </c>
      <c r="B16">
        <v>8766930</v>
      </c>
      <c r="C16">
        <v>9043508</v>
      </c>
      <c r="D16">
        <v>9319710</v>
      </c>
      <c r="E16">
        <v>9600186</v>
      </c>
      <c r="F16">
        <v>9891790</v>
      </c>
      <c r="G16">
        <v>10199270</v>
      </c>
      <c r="H16">
        <v>10524117</v>
      </c>
      <c r="I16">
        <v>10864245</v>
      </c>
      <c r="K16" t="s">
        <v>54</v>
      </c>
      <c r="L16">
        <v>42.247999999999998</v>
      </c>
      <c r="M16">
        <f>birthrate[[#This Row],[2016]]/1000</f>
        <v>4.2248000000000001E-2</v>
      </c>
      <c r="O16" t="s">
        <v>43</v>
      </c>
      <c r="P16">
        <v>87</v>
      </c>
      <c r="Q16">
        <f>facility[[#This Row],[Facility (%)]]/100</f>
        <v>0.87</v>
      </c>
      <c r="S16" t="s">
        <v>39</v>
      </c>
      <c r="T16">
        <v>2014</v>
      </c>
      <c r="U16">
        <v>99.8</v>
      </c>
      <c r="V16">
        <f>SBA[[#This Row],[SBA (%)]]/100</f>
        <v>0.998</v>
      </c>
      <c r="X16" s="13" t="s">
        <v>42</v>
      </c>
      <c r="Y16" s="13" t="s">
        <v>256</v>
      </c>
      <c r="Z16" s="26">
        <v>1.4E-2</v>
      </c>
      <c r="AA16" s="26">
        <v>6.0000000000000001E-3</v>
      </c>
      <c r="AB16" s="26">
        <v>1.7000000000000001E-2</v>
      </c>
      <c r="AC16">
        <v>374681</v>
      </c>
      <c r="AD16" s="27">
        <v>1.5306122448979598E-3</v>
      </c>
      <c r="AF16" s="24" t="s">
        <v>38</v>
      </c>
      <c r="AG16" s="24" t="s">
        <v>253</v>
      </c>
      <c r="AH16" s="24"/>
      <c r="AI16" s="25">
        <f>IF(birthdose[[#This Row],[2017]]/100=0, ,birthdose[[#This Row],[2017]]/100)</f>
        <v>0</v>
      </c>
      <c r="AK16" s="24" t="s">
        <v>38</v>
      </c>
      <c r="AL16" s="24" t="s">
        <v>254</v>
      </c>
      <c r="AM16" s="24">
        <v>90</v>
      </c>
      <c r="AN16" s="25">
        <f>IF(fullvax[[#This Row],[2017]]/100=0, ,fullvax[[#This Row],[2017]]/100)</f>
        <v>0.9</v>
      </c>
      <c r="AP16" s="20" t="s">
        <v>56</v>
      </c>
      <c r="AQ16" s="20">
        <v>0.99596204101590957</v>
      </c>
      <c r="AR16" s="20">
        <v>4.0379589840904284E-3</v>
      </c>
      <c r="AS16" s="20">
        <v>0.37568755768057466</v>
      </c>
      <c r="AT16" s="20">
        <v>0.62431244231942529</v>
      </c>
      <c r="AV16" s="12" t="s">
        <v>25</v>
      </c>
      <c r="AW16" s="14" t="s">
        <v>11</v>
      </c>
      <c r="AX16" s="41">
        <f>VLOOKUP(all_cause_mort[[#This Row],[Country]],[1]!populations[#Data],9,FALSE)*VLOOKUP(all_cause_mort[[#This Row],[Country]],[1]!birthrate[#Data],3,FALSE)</f>
        <v>39432.135199999997</v>
      </c>
      <c r="AY16">
        <f>VLOOKUP(all_cause_mort[[Country]:[Country]],'[1]Mortality Data'!$A$2:$W$201,2,FALSE)</f>
        <v>1.0875249E-2</v>
      </c>
      <c r="AZ16">
        <f>VLOOKUP(all_cause_mort[[Country]:[Country]],'[1]Mortality Data'!$A$2:$W$201,3,FALSE)</f>
        <v>6.0602273999999998E-4</v>
      </c>
      <c r="BA16">
        <f>VLOOKUP(all_cause_mort[[Country]:[Country]],'[1]Mortality Data'!$A$2:$W$201,4,FALSE)</f>
        <v>1.9401853000000001E-4</v>
      </c>
      <c r="BB16">
        <f>VLOOKUP(all_cause_mort[[Country]:[Country]],'[1]Mortality Data'!$A$2:$W$201,5,FALSE)</f>
        <v>2.4846362E-4</v>
      </c>
      <c r="BC16">
        <f>VLOOKUP(all_cause_mort[[Country]:[Country]],'[1]Mortality Data'!$A$2:$W$201,6,FALSE)</f>
        <v>6.3081814999999995E-4</v>
      </c>
      <c r="BD16">
        <f>VLOOKUP(all_cause_mort[[Country]:[Country]],'[1]Mortality Data'!$A$2:$W$201,7,FALSE)</f>
        <v>6.1818780999999998E-4</v>
      </c>
      <c r="BE16">
        <f>VLOOKUP(all_cause_mort[[Country]:[Country]],'[1]Mortality Data'!$A$2:$W$201,8,FALSE)</f>
        <v>5.8468406000000001E-4</v>
      </c>
      <c r="BF16">
        <f>VLOOKUP(all_cause_mort[[Country]:[Country]],'[1]Mortality Data'!$A$2:$W$201,9,FALSE)</f>
        <v>7.7021220999999996E-4</v>
      </c>
      <c r="BG16">
        <f>VLOOKUP(all_cause_mort[[Country]:[Country]],'[1]Mortality Data'!$A$2:$W$201,10,FALSE)</f>
        <v>1.1592479000000001E-3</v>
      </c>
      <c r="BH16">
        <f>VLOOKUP(all_cause_mort[[Country]:[Country]],'[1]Mortality Data'!$A$2:$W$201,11,FALSE)</f>
        <v>2.1859376E-3</v>
      </c>
      <c r="BI16">
        <f>VLOOKUP(all_cause_mort[[Country]:[Country]],'[1]Mortality Data'!$A$2:$W$201,12,FALSE)</f>
        <v>3.6414761999999999E-3</v>
      </c>
      <c r="BJ16">
        <f>VLOOKUP(all_cause_mort[[Country]:[Country]],'[1]Mortality Data'!$A$2:$W$201,13,FALSE)</f>
        <v>6.0217667999999999E-3</v>
      </c>
      <c r="BK16">
        <f>VLOOKUP(all_cause_mort[[Country]:[Country]],'[1]Mortality Data'!$A$2:$W$201,14,FALSE)</f>
        <v>9.1165529999999995E-3</v>
      </c>
      <c r="BL16">
        <f>VLOOKUP(all_cause_mort[[Country]:[Country]],'[1]Mortality Data'!$A$2:$W$201,15,FALSE)</f>
        <v>1.4371807E-2</v>
      </c>
      <c r="BM16">
        <f>VLOOKUP(all_cause_mort[[Country]:[Country]],'[1]Mortality Data'!$A$2:$W$201,16,FALSE)</f>
        <v>2.2072959E-2</v>
      </c>
      <c r="BN16">
        <f>VLOOKUP(all_cause_mort[[Country]:[Country]],'[1]Mortality Data'!$A$2:$W$201,17,FALSE)</f>
        <v>3.6256084000000001E-2</v>
      </c>
      <c r="BO16">
        <f>VLOOKUP(all_cause_mort[[Country]:[Country]],'[1]Mortality Data'!$A$2:$W$201,18,FALSE)</f>
        <v>6.2951646999999999E-2</v>
      </c>
      <c r="BP16">
        <f>VLOOKUP(all_cause_mort[[Country]:[Country]],'[1]Mortality Data'!$A$2:$W$201,19,FALSE)</f>
        <v>0.10475371</v>
      </c>
      <c r="BQ16">
        <f>VLOOKUP(all_cause_mort[[Country]:[Country]],'[1]Mortality Data'!$A$2:$W$201,20,FALSE)</f>
        <v>0.16786499999999999</v>
      </c>
      <c r="BR16">
        <f>VLOOKUP(all_cause_mort[[Country]:[Country]],'[1]Mortality Data'!$A$2:$W$201,21,FALSE)</f>
        <v>0.26166815999999998</v>
      </c>
      <c r="BS16">
        <f>VLOOKUP(all_cause_mort[[Country]:[Country]],'[1]Mortality Data'!$A$2:$W$201,22,FALSE)</f>
        <v>0.36546420000000002</v>
      </c>
      <c r="BT16">
        <f>VLOOKUP(all_cause_mort[[Country]:[Country]],'[1]Mortality Data'!$A$2:$W$201,23,FALSE)</f>
        <v>0.50571150574589396</v>
      </c>
      <c r="BU16" s="39" t="e">
        <f>VLOOKUP(all_cause_mort[[#This Row],[Country]],[2]!regions[#Data],3,FALSE)</f>
        <v>#REF!</v>
      </c>
    </row>
    <row r="17" spans="1:73" x14ac:dyDescent="0.35">
      <c r="A17" t="s">
        <v>41</v>
      </c>
      <c r="B17">
        <v>10895586</v>
      </c>
      <c r="C17">
        <v>11047744</v>
      </c>
      <c r="D17">
        <v>11128246</v>
      </c>
      <c r="E17">
        <v>11182817</v>
      </c>
      <c r="F17">
        <v>11209057</v>
      </c>
      <c r="G17">
        <v>11274196</v>
      </c>
      <c r="H17">
        <v>11331422</v>
      </c>
      <c r="I17">
        <v>11372068</v>
      </c>
      <c r="K17" t="s">
        <v>41</v>
      </c>
      <c r="L17">
        <v>10.8</v>
      </c>
      <c r="M17">
        <f>birthrate[[#This Row],[2016]]/1000</f>
        <v>1.0800000000000001E-2</v>
      </c>
      <c r="O17" t="s">
        <v>44</v>
      </c>
      <c r="P17">
        <v>73.8</v>
      </c>
      <c r="Q17">
        <f>facility[[#This Row],[Facility (%)]]/100</f>
        <v>0.73799999999999999</v>
      </c>
      <c r="S17" t="s">
        <v>42</v>
      </c>
      <c r="T17" t="s">
        <v>263</v>
      </c>
      <c r="U17">
        <v>96.8</v>
      </c>
      <c r="V17">
        <f>SBA[[#This Row],[SBA (%)]]/100</f>
        <v>0.96799999999999997</v>
      </c>
      <c r="X17" s="10" t="s">
        <v>43</v>
      </c>
      <c r="Y17" s="10" t="s">
        <v>252</v>
      </c>
      <c r="Z17" s="21">
        <v>0.1575</v>
      </c>
      <c r="AA17" s="21">
        <v>0.1242</v>
      </c>
      <c r="AB17" s="21">
        <v>0.19339999999999999</v>
      </c>
      <c r="AC17" s="22">
        <v>9199259</v>
      </c>
      <c r="AD17" s="27">
        <v>1.8316326530612239E-2</v>
      </c>
      <c r="AF17" s="24" t="s">
        <v>39</v>
      </c>
      <c r="AG17" s="24" t="s">
        <v>253</v>
      </c>
      <c r="AH17" s="24">
        <v>98</v>
      </c>
      <c r="AI17" s="25">
        <f>IF(birthdose[[#This Row],[2017]]/100=0, ,birthdose[[#This Row],[2017]]/100)</f>
        <v>0.98</v>
      </c>
      <c r="AK17" s="24" t="s">
        <v>39</v>
      </c>
      <c r="AL17" s="24" t="s">
        <v>254</v>
      </c>
      <c r="AM17" s="24">
        <v>98</v>
      </c>
      <c r="AN17" s="25">
        <f>IF(fullvax[[#This Row],[2017]]/100=0, ,fullvax[[#This Row],[2017]]/100)</f>
        <v>0.98</v>
      </c>
      <c r="AP17" s="20" t="s">
        <v>59</v>
      </c>
      <c r="AQ17" s="20">
        <v>0.9942232824023115</v>
      </c>
      <c r="AR17" s="20">
        <v>5.7767175976884966E-3</v>
      </c>
      <c r="AS17" s="20">
        <v>8.0292413886463326E-2</v>
      </c>
      <c r="AT17" s="20">
        <v>0.91970758611353665</v>
      </c>
      <c r="AV17" s="8" t="s">
        <v>30</v>
      </c>
      <c r="AW17" s="11" t="s">
        <v>11</v>
      </c>
      <c r="AX17" s="41">
        <f>VLOOKUP(all_cause_mort[[#This Row],[Country]],[1]!populations[#Data],9,FALSE)*VLOOKUP(all_cause_mort[[#This Row],[Country]],[1]!birthrate[#Data],3,FALSE)</f>
        <v>160757.59270000001</v>
      </c>
      <c r="AY17">
        <f>VLOOKUP(all_cause_mort[[Country]:[Country]],'[1]Mortality Data'!$A$2:$W$201,2,FALSE)</f>
        <v>2.1199749E-2</v>
      </c>
      <c r="AZ17">
        <f>VLOOKUP(all_cause_mort[[Country]:[Country]],'[1]Mortality Data'!$A$2:$W$201,3,FALSE)</f>
        <v>1.1263363E-3</v>
      </c>
      <c r="BA17">
        <f>VLOOKUP(all_cause_mort[[Country]:[Country]],'[1]Mortality Data'!$A$2:$W$201,4,FALSE)</f>
        <v>3.8352024E-4</v>
      </c>
      <c r="BB17">
        <f>VLOOKUP(all_cause_mort[[Country]:[Country]],'[1]Mortality Data'!$A$2:$W$201,5,FALSE)</f>
        <v>3.2779069000000001E-4</v>
      </c>
      <c r="BC17">
        <f>VLOOKUP(all_cause_mort[[Country]:[Country]],'[1]Mortality Data'!$A$2:$W$201,6,FALSE)</f>
        <v>6.7210206000000003E-4</v>
      </c>
      <c r="BD17">
        <f>VLOOKUP(all_cause_mort[[Country]:[Country]],'[1]Mortality Data'!$A$2:$W$201,7,FALSE)</f>
        <v>8.3594362000000003E-4</v>
      </c>
      <c r="BE17">
        <f>VLOOKUP(all_cause_mort[[Country]:[Country]],'[1]Mortality Data'!$A$2:$W$201,8,FALSE)</f>
        <v>8.4207751000000002E-4</v>
      </c>
      <c r="BF17">
        <f>VLOOKUP(all_cause_mort[[Country]:[Country]],'[1]Mortality Data'!$A$2:$W$201,9,FALSE)</f>
        <v>1.0102522E-3</v>
      </c>
      <c r="BG17">
        <f>VLOOKUP(all_cause_mort[[Country]:[Country]],'[1]Mortality Data'!$A$2:$W$201,10,FALSE)</f>
        <v>1.4160430999999999E-3</v>
      </c>
      <c r="BH17">
        <f>VLOOKUP(all_cause_mort[[Country]:[Country]],'[1]Mortality Data'!$A$2:$W$201,11,FALSE)</f>
        <v>2.1447404000000002E-3</v>
      </c>
      <c r="BI17">
        <f>VLOOKUP(all_cause_mort[[Country]:[Country]],'[1]Mortality Data'!$A$2:$W$201,12,FALSE)</f>
        <v>3.4919490999999999E-3</v>
      </c>
      <c r="BJ17">
        <f>VLOOKUP(all_cause_mort[[Country]:[Country]],'[1]Mortality Data'!$A$2:$W$201,13,FALSE)</f>
        <v>5.7081539000000004E-3</v>
      </c>
      <c r="BK17">
        <f>VLOOKUP(all_cause_mort[[Country]:[Country]],'[1]Mortality Data'!$A$2:$W$201,14,FALSE)</f>
        <v>9.3298307999999993E-3</v>
      </c>
      <c r="BL17">
        <f>VLOOKUP(all_cause_mort[[Country]:[Country]],'[1]Mortality Data'!$A$2:$W$201,15,FALSE)</f>
        <v>1.5432393000000001E-2</v>
      </c>
      <c r="BM17">
        <f>VLOOKUP(all_cause_mort[[Country]:[Country]],'[1]Mortality Data'!$A$2:$W$201,16,FALSE)</f>
        <v>2.5527603999999999E-2</v>
      </c>
      <c r="BN17">
        <f>VLOOKUP(all_cause_mort[[Country]:[Country]],'[1]Mortality Data'!$A$2:$W$201,17,FALSE)</f>
        <v>4.2851643000000002E-2</v>
      </c>
      <c r="BO17">
        <f>VLOOKUP(all_cause_mort[[Country]:[Country]],'[1]Mortality Data'!$A$2:$W$201,18,FALSE)</f>
        <v>7.2515651E-2</v>
      </c>
      <c r="BP17">
        <f>VLOOKUP(all_cause_mort[[Country]:[Country]],'[1]Mortality Data'!$A$2:$W$201,19,FALSE)</f>
        <v>0.11925278</v>
      </c>
      <c r="BQ17">
        <f>VLOOKUP(all_cause_mort[[Country]:[Country]],'[1]Mortality Data'!$A$2:$W$201,20,FALSE)</f>
        <v>0.19011253</v>
      </c>
      <c r="BR17">
        <f>VLOOKUP(all_cause_mort[[Country]:[Country]],'[1]Mortality Data'!$A$2:$W$201,21,FALSE)</f>
        <v>0.28295354</v>
      </c>
      <c r="BS17">
        <f>VLOOKUP(all_cause_mort[[Country]:[Country]],'[1]Mortality Data'!$A$2:$W$201,22,FALSE)</f>
        <v>0.38343492000000001</v>
      </c>
      <c r="BT17">
        <f>VLOOKUP(all_cause_mort[[Country]:[Country]],'[1]Mortality Data'!$A$2:$W$201,23,FALSE)</f>
        <v>0.51834965555924595</v>
      </c>
      <c r="BU17" s="39" t="e">
        <f>VLOOKUP(all_cause_mort[[#This Row],[Country]],[2]!regions[#Data],3,FALSE)</f>
        <v>#REF!</v>
      </c>
    </row>
    <row r="18" spans="1:73" x14ac:dyDescent="0.35">
      <c r="A18" t="s">
        <v>43</v>
      </c>
      <c r="B18">
        <v>9199259</v>
      </c>
      <c r="C18">
        <v>9460802</v>
      </c>
      <c r="D18">
        <v>9729160</v>
      </c>
      <c r="E18">
        <v>10004451</v>
      </c>
      <c r="F18">
        <v>10286712</v>
      </c>
      <c r="G18">
        <v>10575952</v>
      </c>
      <c r="H18">
        <v>10872298</v>
      </c>
      <c r="I18">
        <v>11175692</v>
      </c>
      <c r="K18" t="s">
        <v>43</v>
      </c>
      <c r="L18">
        <v>37.026000000000003</v>
      </c>
      <c r="M18">
        <f>birthrate[[#This Row],[2016]]/1000</f>
        <v>3.7026000000000003E-2</v>
      </c>
      <c r="O18" t="s">
        <v>45</v>
      </c>
      <c r="P18">
        <v>70.8</v>
      </c>
      <c r="Q18">
        <f>facility[[#This Row],[Facility (%)]]/100</f>
        <v>0.70799999999999996</v>
      </c>
      <c r="S18" t="s">
        <v>43</v>
      </c>
      <c r="T18" t="s">
        <v>264</v>
      </c>
      <c r="U18">
        <v>77.2</v>
      </c>
      <c r="V18">
        <f>SBA[[#This Row],[SBA (%)]]/100</f>
        <v>0.77200000000000002</v>
      </c>
      <c r="X18" s="13" t="s">
        <v>44</v>
      </c>
      <c r="Y18" s="13" t="s">
        <v>252</v>
      </c>
      <c r="Z18" s="26">
        <v>5.8400000000000001E-2</v>
      </c>
      <c r="AA18" s="26">
        <v>4.9200000000000001E-2</v>
      </c>
      <c r="AB18" s="26">
        <v>6.93E-2</v>
      </c>
      <c r="AC18" s="22">
        <v>727641</v>
      </c>
      <c r="AD18" s="27">
        <v>5.5612244897959183E-3</v>
      </c>
      <c r="AF18" s="24" t="s">
        <v>41</v>
      </c>
      <c r="AG18" s="24" t="s">
        <v>253</v>
      </c>
      <c r="AH18" s="24"/>
      <c r="AI18" s="25">
        <f>IF(birthdose[[#This Row],[2017]]/100=0, ,birthdose[[#This Row],[2017]]/100)</f>
        <v>0</v>
      </c>
      <c r="AK18" s="24" t="s">
        <v>41</v>
      </c>
      <c r="AL18" s="24" t="s">
        <v>254</v>
      </c>
      <c r="AM18" s="24">
        <v>97</v>
      </c>
      <c r="AN18" s="25">
        <f>IF(fullvax[[#This Row],[2017]]/100=0, ,fullvax[[#This Row],[2017]]/100)</f>
        <v>0.97</v>
      </c>
      <c r="AP18" s="20" t="s">
        <v>62</v>
      </c>
      <c r="AQ18" s="20">
        <v>0.8958324213273503</v>
      </c>
      <c r="AR18" s="20">
        <v>0.1041675786726497</v>
      </c>
      <c r="AS18" s="20">
        <v>0.14217277909420412</v>
      </c>
      <c r="AT18" s="20">
        <v>0.85782722090579588</v>
      </c>
      <c r="AV18" s="12" t="s">
        <v>31</v>
      </c>
      <c r="AW18" s="14" t="s">
        <v>23</v>
      </c>
      <c r="AX18" s="41">
        <f>VLOOKUP(all_cause_mort[[#This Row],[Country]],[1]!populations[#Data],9,FALSE)*VLOOKUP(all_cause_mort[[#This Row],[Country]],[1]!birthrate[#Data],3,FALSE)</f>
        <v>5642.1968310000002</v>
      </c>
      <c r="AY18">
        <f>VLOOKUP(all_cause_mort[[Country]:[Country]],'[1]Mortality Data'!$A$2:$W$201,2,FALSE)</f>
        <v>5.9014931999999999E-3</v>
      </c>
      <c r="AZ18">
        <f>VLOOKUP(all_cause_mort[[Country]:[Country]],'[1]Mortality Data'!$A$2:$W$201,3,FALSE)</f>
        <v>3.3146498E-4</v>
      </c>
      <c r="BA18">
        <f>VLOOKUP(all_cause_mort[[Country]:[Country]],'[1]Mortality Data'!$A$2:$W$201,4,FALSE)</f>
        <v>2.8541766000000001E-4</v>
      </c>
      <c r="BB18">
        <f>VLOOKUP(all_cause_mort[[Country]:[Country]],'[1]Mortality Data'!$A$2:$W$201,5,FALSE)</f>
        <v>3.2047815000000001E-4</v>
      </c>
      <c r="BC18">
        <f>VLOOKUP(all_cause_mort[[Country]:[Country]],'[1]Mortality Data'!$A$2:$W$201,6,FALSE)</f>
        <v>9.4402294999999998E-4</v>
      </c>
      <c r="BD18">
        <f>VLOOKUP(all_cause_mort[[Country]:[Country]],'[1]Mortality Data'!$A$2:$W$201,7,FALSE)</f>
        <v>1.3760510999999999E-3</v>
      </c>
      <c r="BE18">
        <f>VLOOKUP(all_cause_mort[[Country]:[Country]],'[1]Mortality Data'!$A$2:$W$201,8,FALSE)</f>
        <v>1.4857736999999999E-3</v>
      </c>
      <c r="BF18">
        <f>VLOOKUP(all_cause_mort[[Country]:[Country]],'[1]Mortality Data'!$A$2:$W$201,9,FALSE)</f>
        <v>1.7659946000000001E-3</v>
      </c>
      <c r="BG18">
        <f>VLOOKUP(all_cause_mort[[Country]:[Country]],'[1]Mortality Data'!$A$2:$W$201,10,FALSE)</f>
        <v>2.3345749000000002E-3</v>
      </c>
      <c r="BH18">
        <f>VLOOKUP(all_cause_mort[[Country]:[Country]],'[1]Mortality Data'!$A$2:$W$201,11,FALSE)</f>
        <v>3.3275429E-3</v>
      </c>
      <c r="BI18">
        <f>VLOOKUP(all_cause_mort[[Country]:[Country]],'[1]Mortality Data'!$A$2:$W$201,12,FALSE)</f>
        <v>4.8749355000000001E-3</v>
      </c>
      <c r="BJ18">
        <f>VLOOKUP(all_cause_mort[[Country]:[Country]],'[1]Mortality Data'!$A$2:$W$201,13,FALSE)</f>
        <v>7.1985957000000001E-3</v>
      </c>
      <c r="BK18">
        <f>VLOOKUP(all_cause_mort[[Country]:[Country]],'[1]Mortality Data'!$A$2:$W$201,14,FALSE)</f>
        <v>1.0437551E-2</v>
      </c>
      <c r="BL18">
        <f>VLOOKUP(all_cause_mort[[Country]:[Country]],'[1]Mortality Data'!$A$2:$W$201,15,FALSE)</f>
        <v>1.5627645999999999E-2</v>
      </c>
      <c r="BM18">
        <f>VLOOKUP(all_cause_mort[[Country]:[Country]],'[1]Mortality Data'!$A$2:$W$201,16,FALSE)</f>
        <v>2.3557233E-2</v>
      </c>
      <c r="BN18">
        <f>VLOOKUP(all_cause_mort[[Country]:[Country]],'[1]Mortality Data'!$A$2:$W$201,17,FALSE)</f>
        <v>3.6516760000000002E-2</v>
      </c>
      <c r="BO18">
        <f>VLOOKUP(all_cause_mort[[Country]:[Country]],'[1]Mortality Data'!$A$2:$W$201,18,FALSE)</f>
        <v>5.8425639000000001E-2</v>
      </c>
      <c r="BP18">
        <f>VLOOKUP(all_cause_mort[[Country]:[Country]],'[1]Mortality Data'!$A$2:$W$201,19,FALSE)</f>
        <v>9.7319722999999997E-2</v>
      </c>
      <c r="BQ18">
        <f>VLOOKUP(all_cause_mort[[Country]:[Country]],'[1]Mortality Data'!$A$2:$W$201,20,FALSE)</f>
        <v>0.16162154000000001</v>
      </c>
      <c r="BR18">
        <f>VLOOKUP(all_cause_mort[[Country]:[Country]],'[1]Mortality Data'!$A$2:$W$201,21,FALSE)</f>
        <v>0.25714262999999998</v>
      </c>
      <c r="BS18">
        <f>VLOOKUP(all_cause_mort[[Country]:[Country]],'[1]Mortality Data'!$A$2:$W$201,22,FALSE)</f>
        <v>0.38549820000000001</v>
      </c>
      <c r="BT18">
        <f>VLOOKUP(all_cause_mort[[Country]:[Country]],'[1]Mortality Data'!$A$2:$W$201,23,FALSE)</f>
        <v>0.53979227174006605</v>
      </c>
      <c r="BU18" s="39" t="e">
        <f>VLOOKUP(all_cause_mort[[#This Row],[Country]],[2]!regions[#Data],3,FALSE)</f>
        <v>#REF!</v>
      </c>
    </row>
    <row r="19" spans="1:73" x14ac:dyDescent="0.35">
      <c r="A19" t="s">
        <v>53</v>
      </c>
      <c r="B19">
        <v>15605217</v>
      </c>
      <c r="C19">
        <v>16081904</v>
      </c>
      <c r="D19">
        <v>16571216</v>
      </c>
      <c r="E19">
        <v>17072723</v>
      </c>
      <c r="F19">
        <v>17585977</v>
      </c>
      <c r="G19">
        <v>18110624</v>
      </c>
      <c r="H19">
        <v>18646433</v>
      </c>
      <c r="I19">
        <v>19193382</v>
      </c>
      <c r="K19" t="s">
        <v>53</v>
      </c>
      <c r="L19">
        <v>38.92</v>
      </c>
      <c r="M19">
        <f>birthrate[[#This Row],[2016]]/1000</f>
        <v>3.8920000000000003E-2</v>
      </c>
      <c r="O19" t="s">
        <v>47</v>
      </c>
      <c r="P19">
        <v>99.7</v>
      </c>
      <c r="Q19">
        <f>facility[[#This Row],[Facility (%)]]/100</f>
        <v>0.997</v>
      </c>
      <c r="S19" t="s">
        <v>44</v>
      </c>
      <c r="T19">
        <v>2016</v>
      </c>
      <c r="U19">
        <v>89</v>
      </c>
      <c r="V19">
        <f>SBA[[#This Row],[SBA (%)]]/100</f>
        <v>0.89</v>
      </c>
      <c r="X19" s="10" t="s">
        <v>47</v>
      </c>
      <c r="Y19" s="10" t="s">
        <v>252</v>
      </c>
      <c r="Z19" s="21">
        <v>1.11E-2</v>
      </c>
      <c r="AA19" s="21">
        <v>9.1000000000000004E-3</v>
      </c>
      <c r="AB19" s="21">
        <v>1.35E-2</v>
      </c>
      <c r="AC19" s="22">
        <v>3722084</v>
      </c>
      <c r="AD19" s="27">
        <v>1.2244897959183671E-3</v>
      </c>
      <c r="AF19" s="24" t="s">
        <v>42</v>
      </c>
      <c r="AG19" s="24" t="s">
        <v>253</v>
      </c>
      <c r="AH19" s="24"/>
      <c r="AI19" s="25">
        <f>IF(birthdose[[#This Row],[2017]]/100=0, ,birthdose[[#This Row],[2017]]/100)</f>
        <v>0</v>
      </c>
      <c r="AK19" s="24" t="s">
        <v>42</v>
      </c>
      <c r="AL19" s="24" t="s">
        <v>254</v>
      </c>
      <c r="AM19" s="24">
        <v>88</v>
      </c>
      <c r="AN19" s="25">
        <f>IF(fullvax[[#This Row],[2017]]/100=0, ,fullvax[[#This Row],[2017]]/100)</f>
        <v>0.88</v>
      </c>
      <c r="AP19" s="20" t="s">
        <v>63</v>
      </c>
      <c r="AQ19" s="20">
        <v>0.97273332206349483</v>
      </c>
      <c r="AR19" s="20">
        <v>2.7266677936505168E-2</v>
      </c>
      <c r="AS19" s="20">
        <v>8.7286206397363217E-2</v>
      </c>
      <c r="AT19" s="20">
        <v>0.91271379360263682</v>
      </c>
      <c r="AV19" s="8" t="s">
        <v>32</v>
      </c>
      <c r="AW19" s="11" t="s">
        <v>7</v>
      </c>
      <c r="AX19" s="41">
        <f>VLOOKUP(all_cause_mort[[#This Row],[Country]],[1]!populations[#Data],9,FALSE)*VLOOKUP(all_cause_mort[[#This Row],[Country]],[1]!birthrate[#Data],3,FALSE)</f>
        <v>22033.525008000001</v>
      </c>
      <c r="AY19">
        <f>VLOOKUP(all_cause_mort[[Country]:[Country]],'[1]Mortality Data'!$A$2:$W$201,2,FALSE)</f>
        <v>5.9573313000000003E-3</v>
      </c>
      <c r="AZ19">
        <f>VLOOKUP(all_cause_mort[[Country]:[Country]],'[1]Mortality Data'!$A$2:$W$201,3,FALSE)</f>
        <v>4.1705639999999999E-4</v>
      </c>
      <c r="BA19">
        <f>VLOOKUP(all_cause_mort[[Country]:[Country]],'[1]Mortality Data'!$A$2:$W$201,4,FALSE)</f>
        <v>1.8959477E-4</v>
      </c>
      <c r="BB19">
        <f>VLOOKUP(all_cause_mort[[Country]:[Country]],'[1]Mortality Data'!$A$2:$W$201,5,FALSE)</f>
        <v>1.7063376E-4</v>
      </c>
      <c r="BC19">
        <f>VLOOKUP(all_cause_mort[[Country]:[Country]],'[1]Mortality Data'!$A$2:$W$201,6,FALSE)</f>
        <v>4.0767456E-4</v>
      </c>
      <c r="BD19">
        <f>VLOOKUP(all_cause_mort[[Country]:[Country]],'[1]Mortality Data'!$A$2:$W$201,7,FALSE)</f>
        <v>5.1060430999999996E-4</v>
      </c>
      <c r="BE19">
        <f>VLOOKUP(all_cause_mort[[Country]:[Country]],'[1]Mortality Data'!$A$2:$W$201,8,FALSE)</f>
        <v>5.0177434000000002E-4</v>
      </c>
      <c r="BF19">
        <f>VLOOKUP(all_cause_mort[[Country]:[Country]],'[1]Mortality Data'!$A$2:$W$201,9,FALSE)</f>
        <v>5.8834423000000003E-4</v>
      </c>
      <c r="BG19">
        <f>VLOOKUP(all_cause_mort[[Country]:[Country]],'[1]Mortality Data'!$A$2:$W$201,10,FALSE)</f>
        <v>7.0266035000000004E-4</v>
      </c>
      <c r="BH19">
        <f>VLOOKUP(all_cause_mort[[Country]:[Country]],'[1]Mortality Data'!$A$2:$W$201,11,FALSE)</f>
        <v>1.056066E-3</v>
      </c>
      <c r="BI19">
        <f>VLOOKUP(all_cause_mort[[Country]:[Country]],'[1]Mortality Data'!$A$2:$W$201,12,FALSE)</f>
        <v>1.6606265000000001E-3</v>
      </c>
      <c r="BJ19">
        <f>VLOOKUP(all_cause_mort[[Country]:[Country]],'[1]Mortality Data'!$A$2:$W$201,13,FALSE)</f>
        <v>2.6860878E-3</v>
      </c>
      <c r="BK19">
        <f>VLOOKUP(all_cause_mort[[Country]:[Country]],'[1]Mortality Data'!$A$2:$W$201,14,FALSE)</f>
        <v>5.7750494999999997E-3</v>
      </c>
      <c r="BL19">
        <f>VLOOKUP(all_cause_mort[[Country]:[Country]],'[1]Mortality Data'!$A$2:$W$201,15,FALSE)</f>
        <v>1.1337244E-2</v>
      </c>
      <c r="BM19">
        <f>VLOOKUP(all_cause_mort[[Country]:[Country]],'[1]Mortality Data'!$A$2:$W$201,16,FALSE)</f>
        <v>2.0982132000000001E-2</v>
      </c>
      <c r="BN19">
        <f>VLOOKUP(all_cause_mort[[Country]:[Country]],'[1]Mortality Data'!$A$2:$W$201,17,FALSE)</f>
        <v>3.6393970999999997E-2</v>
      </c>
      <c r="BO19">
        <f>VLOOKUP(all_cause_mort[[Country]:[Country]],'[1]Mortality Data'!$A$2:$W$201,18,FALSE)</f>
        <v>6.3547267000000004E-2</v>
      </c>
      <c r="BP19">
        <f>VLOOKUP(all_cause_mort[[Country]:[Country]],'[1]Mortality Data'!$A$2:$W$201,19,FALSE)</f>
        <v>0.10533360999999999</v>
      </c>
      <c r="BQ19">
        <f>VLOOKUP(all_cause_mort[[Country]:[Country]],'[1]Mortality Data'!$A$2:$W$201,20,FALSE)</f>
        <v>0.16577965</v>
      </c>
      <c r="BR19">
        <f>VLOOKUP(all_cause_mort[[Country]:[Country]],'[1]Mortality Data'!$A$2:$W$201,21,FALSE)</f>
        <v>0.24436367000000001</v>
      </c>
      <c r="BS19">
        <f>VLOOKUP(all_cause_mort[[Country]:[Country]],'[1]Mortality Data'!$A$2:$W$201,22,FALSE)</f>
        <v>0.34512827000000001</v>
      </c>
      <c r="BT19">
        <f>VLOOKUP(all_cause_mort[[Country]:[Country]],'[1]Mortality Data'!$A$2:$W$201,23,FALSE)</f>
        <v>0.48283742308701599</v>
      </c>
      <c r="BU19" s="39" t="e">
        <f>VLOOKUP(all_cause_mort[[#This Row],[Country]],[2]!regions[#Data],3,FALSE)</f>
        <v>#REF!</v>
      </c>
    </row>
    <row r="20" spans="1:73" x14ac:dyDescent="0.35">
      <c r="A20" t="s">
        <v>34</v>
      </c>
      <c r="B20">
        <v>152149102</v>
      </c>
      <c r="C20">
        <v>153911916</v>
      </c>
      <c r="D20">
        <v>155727053</v>
      </c>
      <c r="E20">
        <v>157571292</v>
      </c>
      <c r="F20">
        <v>159405279</v>
      </c>
      <c r="G20">
        <v>161200886</v>
      </c>
      <c r="H20">
        <v>162951560</v>
      </c>
      <c r="I20">
        <v>164669751</v>
      </c>
      <c r="K20" t="s">
        <v>34</v>
      </c>
      <c r="L20">
        <v>18.95</v>
      </c>
      <c r="M20">
        <f>birthrate[[#This Row],[2016]]/1000</f>
        <v>1.8949999999999998E-2</v>
      </c>
      <c r="O20" t="s">
        <v>48</v>
      </c>
      <c r="P20">
        <v>99.7</v>
      </c>
      <c r="Q20">
        <f>facility[[#This Row],[Facility (%)]]/100</f>
        <v>0.997</v>
      </c>
      <c r="S20" t="s">
        <v>45</v>
      </c>
      <c r="T20" t="s">
        <v>265</v>
      </c>
      <c r="U20">
        <v>89.8</v>
      </c>
      <c r="V20">
        <f>SBA[[#This Row],[SBA (%)]]/100</f>
        <v>0.89800000000000002</v>
      </c>
      <c r="X20" s="10" t="s">
        <v>50</v>
      </c>
      <c r="Y20" s="10" t="s">
        <v>256</v>
      </c>
      <c r="Z20" s="21">
        <v>4.0000000000000001E-3</v>
      </c>
      <c r="AA20" s="21">
        <v>2E-3</v>
      </c>
      <c r="AB20" s="21">
        <v>6.0000000000000001E-3</v>
      </c>
      <c r="AC20">
        <v>209288278</v>
      </c>
      <c r="AD20" s="27">
        <v>1.0204081632653062E-3</v>
      </c>
      <c r="AF20" s="24" t="s">
        <v>43</v>
      </c>
      <c r="AG20" s="24" t="s">
        <v>253</v>
      </c>
      <c r="AH20" s="24"/>
      <c r="AI20" s="25">
        <f>IF(birthdose[[#This Row],[2017]]/100=0, ,birthdose[[#This Row],[2017]]/100)</f>
        <v>0</v>
      </c>
      <c r="AK20" s="24" t="s">
        <v>43</v>
      </c>
      <c r="AL20" s="24" t="s">
        <v>254</v>
      </c>
      <c r="AM20" s="24">
        <v>82</v>
      </c>
      <c r="AN20" s="25">
        <f>IF(fullvax[[#This Row],[2017]]/100=0, ,fullvax[[#This Row],[2017]]/100)</f>
        <v>0.82</v>
      </c>
      <c r="AP20" s="20" t="s">
        <v>67</v>
      </c>
      <c r="AQ20" s="20">
        <v>0.99652873804000563</v>
      </c>
      <c r="AR20" s="20">
        <v>3.471261959994365E-3</v>
      </c>
      <c r="AS20" s="20">
        <v>0.29211323931429223</v>
      </c>
      <c r="AT20" s="20">
        <v>0.70788676068570777</v>
      </c>
      <c r="AV20" s="12" t="s">
        <v>34</v>
      </c>
      <c r="AW20" s="14" t="s">
        <v>37</v>
      </c>
      <c r="AX20" s="41">
        <f>VLOOKUP(all_cause_mort[[#This Row],[Country]],[1]!populations[#Data],9,FALSE)*VLOOKUP(all_cause_mort[[#This Row],[Country]],[1]!birthrate[#Data],3,FALSE)</f>
        <v>3120491.7814499997</v>
      </c>
      <c r="AY20">
        <f>VLOOKUP(all_cause_mort[[Country]:[Country]],'[1]Mortality Data'!$A$2:$W$201,2,FALSE)</f>
        <v>2.7496488999999999E-2</v>
      </c>
      <c r="AZ20">
        <f>VLOOKUP(all_cause_mort[[Country]:[Country]],'[1]Mortality Data'!$A$2:$W$201,3,FALSE)</f>
        <v>1.4323857E-3</v>
      </c>
      <c r="BA20">
        <f>VLOOKUP(all_cause_mort[[Country]:[Country]],'[1]Mortality Data'!$A$2:$W$201,4,FALSE)</f>
        <v>7.4961978999999997E-4</v>
      </c>
      <c r="BB20">
        <f>VLOOKUP(all_cause_mort[[Country]:[Country]],'[1]Mortality Data'!$A$2:$W$201,5,FALSE)</f>
        <v>6.3698292999999999E-4</v>
      </c>
      <c r="BC20">
        <f>VLOOKUP(all_cause_mort[[Country]:[Country]],'[1]Mortality Data'!$A$2:$W$201,6,FALSE)</f>
        <v>1.0150504999999999E-3</v>
      </c>
      <c r="BD20">
        <f>VLOOKUP(all_cause_mort[[Country]:[Country]],'[1]Mortality Data'!$A$2:$W$201,7,FALSE)</f>
        <v>1.0420929E-3</v>
      </c>
      <c r="BE20">
        <f>VLOOKUP(all_cause_mort[[Country]:[Country]],'[1]Mortality Data'!$A$2:$W$201,8,FALSE)</f>
        <v>9.9861869000000001E-4</v>
      </c>
      <c r="BF20">
        <f>VLOOKUP(all_cause_mort[[Country]:[Country]],'[1]Mortality Data'!$A$2:$W$201,9,FALSE)</f>
        <v>1.2499077E-3</v>
      </c>
      <c r="BG20">
        <f>VLOOKUP(all_cause_mort[[Country]:[Country]],'[1]Mortality Data'!$A$2:$W$201,10,FALSE)</f>
        <v>1.7017181999999999E-3</v>
      </c>
      <c r="BH20">
        <f>VLOOKUP(all_cause_mort[[Country]:[Country]],'[1]Mortality Data'!$A$2:$W$201,11,FALSE)</f>
        <v>2.5044161999999998E-3</v>
      </c>
      <c r="BI20">
        <f>VLOOKUP(all_cause_mort[[Country]:[Country]],'[1]Mortality Data'!$A$2:$W$201,12,FALSE)</f>
        <v>3.9139939E-3</v>
      </c>
      <c r="BJ20">
        <f>VLOOKUP(all_cause_mort[[Country]:[Country]],'[1]Mortality Data'!$A$2:$W$201,13,FALSE)</f>
        <v>6.4627964E-3</v>
      </c>
      <c r="BK20">
        <f>VLOOKUP(all_cause_mort[[Country]:[Country]],'[1]Mortality Data'!$A$2:$W$201,14,FALSE)</f>
        <v>1.0261556999999999E-2</v>
      </c>
      <c r="BL20">
        <f>VLOOKUP(all_cause_mort[[Country]:[Country]],'[1]Mortality Data'!$A$2:$W$201,15,FALSE)</f>
        <v>1.7326417E-2</v>
      </c>
      <c r="BM20">
        <f>VLOOKUP(all_cause_mort[[Country]:[Country]],'[1]Mortality Data'!$A$2:$W$201,16,FALSE)</f>
        <v>2.5594777999999999E-2</v>
      </c>
      <c r="BN20">
        <f>VLOOKUP(all_cause_mort[[Country]:[Country]],'[1]Mortality Data'!$A$2:$W$201,17,FALSE)</f>
        <v>4.3215523999999998E-2</v>
      </c>
      <c r="BO20">
        <f>VLOOKUP(all_cause_mort[[Country]:[Country]],'[1]Mortality Data'!$A$2:$W$201,18,FALSE)</f>
        <v>6.0913914E-2</v>
      </c>
      <c r="BP20">
        <f>VLOOKUP(all_cause_mort[[Country]:[Country]],'[1]Mortality Data'!$A$2:$W$201,19,FALSE)</f>
        <v>9.4367913999999997E-2</v>
      </c>
      <c r="BQ20">
        <f>VLOOKUP(all_cause_mort[[Country]:[Country]],'[1]Mortality Data'!$A$2:$W$201,20,FALSE)</f>
        <v>0.1370556</v>
      </c>
      <c r="BR20">
        <f>VLOOKUP(all_cause_mort[[Country]:[Country]],'[1]Mortality Data'!$A$2:$W$201,21,FALSE)</f>
        <v>0.19052445000000001</v>
      </c>
      <c r="BS20">
        <f>VLOOKUP(all_cause_mort[[Country]:[Country]],'[1]Mortality Data'!$A$2:$W$201,22,FALSE)</f>
        <v>0.23876800000000001</v>
      </c>
      <c r="BT20">
        <f>VLOOKUP(all_cause_mort[[Country]:[Country]],'[1]Mortality Data'!$A$2:$W$201,23,FALSE)</f>
        <v>0.30788080653194999</v>
      </c>
      <c r="BU20" s="39" t="e">
        <f>VLOOKUP(all_cause_mort[[#This Row],[Country]],[2]!regions[#Data],3,FALSE)</f>
        <v>#REF!</v>
      </c>
    </row>
    <row r="21" spans="1:73" x14ac:dyDescent="0.35">
      <c r="A21" t="s">
        <v>52</v>
      </c>
      <c r="B21">
        <v>7395599</v>
      </c>
      <c r="C21">
        <v>7348328</v>
      </c>
      <c r="D21">
        <v>7305888</v>
      </c>
      <c r="E21">
        <v>7265115</v>
      </c>
      <c r="F21">
        <v>7223938</v>
      </c>
      <c r="G21">
        <v>7177991</v>
      </c>
      <c r="H21">
        <v>7127822</v>
      </c>
      <c r="I21">
        <v>7075991</v>
      </c>
      <c r="K21" t="s">
        <v>52</v>
      </c>
      <c r="L21">
        <v>9.1</v>
      </c>
      <c r="M21">
        <f>birthrate[[#This Row],[2016]]/1000</f>
        <v>9.1000000000000004E-3</v>
      </c>
      <c r="O21" t="s">
        <v>50</v>
      </c>
      <c r="P21">
        <v>99.1</v>
      </c>
      <c r="Q21">
        <f>facility[[#This Row],[Facility (%)]]/100</f>
        <v>0.99099999999999999</v>
      </c>
      <c r="S21" t="s">
        <v>47</v>
      </c>
      <c r="T21">
        <v>2015</v>
      </c>
      <c r="U21">
        <v>99.9</v>
      </c>
      <c r="V21">
        <f>SBA[[#This Row],[SBA (%)]]/100</f>
        <v>0.99900000000000011</v>
      </c>
      <c r="X21" s="13" t="s">
        <v>52</v>
      </c>
      <c r="Y21" s="13" t="s">
        <v>256</v>
      </c>
      <c r="Z21" s="26">
        <v>3.2000000000000001E-2</v>
      </c>
      <c r="AA21" s="26">
        <v>1.9E-2</v>
      </c>
      <c r="AB21" s="26">
        <v>5.6000000000000001E-2</v>
      </c>
      <c r="AC21">
        <v>7075991</v>
      </c>
      <c r="AD21" s="27">
        <v>1.2244897959183675E-2</v>
      </c>
      <c r="AF21" s="24" t="s">
        <v>44</v>
      </c>
      <c r="AG21" s="24" t="s">
        <v>253</v>
      </c>
      <c r="AH21" s="24">
        <v>82</v>
      </c>
      <c r="AI21" s="25">
        <f>IF(birthdose[[#This Row],[2017]]/100=0, ,birthdose[[#This Row],[2017]]/100)</f>
        <v>0.82</v>
      </c>
      <c r="AK21" s="24" t="s">
        <v>44</v>
      </c>
      <c r="AL21" s="24" t="s">
        <v>254</v>
      </c>
      <c r="AM21" s="24">
        <v>98</v>
      </c>
      <c r="AN21" s="25">
        <f>IF(fullvax[[#This Row],[2017]]/100=0, ,fullvax[[#This Row],[2017]]/100)</f>
        <v>0.98</v>
      </c>
      <c r="AP21" s="20" t="s">
        <v>266</v>
      </c>
      <c r="AQ21" s="20">
        <v>0.99708672631853212</v>
      </c>
      <c r="AR21" s="20">
        <v>2.9132736814678761E-3</v>
      </c>
      <c r="AS21" s="20">
        <v>0.31757381487848962</v>
      </c>
      <c r="AT21" s="20">
        <v>0.68242618512151032</v>
      </c>
      <c r="AV21" s="8" t="s">
        <v>38</v>
      </c>
      <c r="AW21" s="11" t="s">
        <v>23</v>
      </c>
      <c r="AX21" s="41">
        <f>VLOOKUP(all_cause_mort[[#This Row],[Country]],[1]!populations[#Data],9,FALSE)*VLOOKUP(all_cause_mort[[#This Row],[Country]],[1]!birthrate[#Data],3,FALSE)</f>
        <v>3401.4846949999996</v>
      </c>
      <c r="AY21">
        <f>VLOOKUP(all_cause_mort[[Country]:[Country]],'[1]Mortality Data'!$A$2:$W$201,2,FALSE)</f>
        <v>1.0131510999999999E-2</v>
      </c>
      <c r="AZ21">
        <f>VLOOKUP(all_cause_mort[[Country]:[Country]],'[1]Mortality Data'!$A$2:$W$201,3,FALSE)</f>
        <v>5.2060531E-4</v>
      </c>
      <c r="BA21">
        <f>VLOOKUP(all_cause_mort[[Country]:[Country]],'[1]Mortality Data'!$A$2:$W$201,4,FALSE)</f>
        <v>2.532085E-4</v>
      </c>
      <c r="BB21">
        <f>VLOOKUP(all_cause_mort[[Country]:[Country]],'[1]Mortality Data'!$A$2:$W$201,5,FALSE)</f>
        <v>2.4650969999999998E-4</v>
      </c>
      <c r="BC21">
        <f>VLOOKUP(all_cause_mort[[Country]:[Country]],'[1]Mortality Data'!$A$2:$W$201,6,FALSE)</f>
        <v>6.0094059999999999E-4</v>
      </c>
      <c r="BD21">
        <f>VLOOKUP(all_cause_mort[[Country]:[Country]],'[1]Mortality Data'!$A$2:$W$201,7,FALSE)</f>
        <v>7.7618596000000005E-4</v>
      </c>
      <c r="BE21">
        <f>VLOOKUP(all_cause_mort[[Country]:[Country]],'[1]Mortality Data'!$A$2:$W$201,8,FALSE)</f>
        <v>7.9944247999999996E-4</v>
      </c>
      <c r="BF21">
        <f>VLOOKUP(all_cause_mort[[Country]:[Country]],'[1]Mortality Data'!$A$2:$W$201,9,FALSE)</f>
        <v>9.6448979999999996E-4</v>
      </c>
      <c r="BG21">
        <f>VLOOKUP(all_cause_mort[[Country]:[Country]],'[1]Mortality Data'!$A$2:$W$201,10,FALSE)</f>
        <v>1.3455276E-3</v>
      </c>
      <c r="BH21">
        <f>VLOOKUP(all_cause_mort[[Country]:[Country]],'[1]Mortality Data'!$A$2:$W$201,11,FALSE)</f>
        <v>2.0411155999999998E-3</v>
      </c>
      <c r="BI21">
        <f>VLOOKUP(all_cause_mort[[Country]:[Country]],'[1]Mortality Data'!$A$2:$W$201,12,FALSE)</f>
        <v>3.2842002999999998E-3</v>
      </c>
      <c r="BJ21">
        <f>VLOOKUP(all_cause_mort[[Country]:[Country]],'[1]Mortality Data'!$A$2:$W$201,13,FALSE)</f>
        <v>5.2788725999999998E-3</v>
      </c>
      <c r="BK21">
        <f>VLOOKUP(all_cause_mort[[Country]:[Country]],'[1]Mortality Data'!$A$2:$W$201,14,FALSE)</f>
        <v>8.4438315999999999E-3</v>
      </c>
      <c r="BL21">
        <f>VLOOKUP(all_cause_mort[[Country]:[Country]],'[1]Mortality Data'!$A$2:$W$201,15,FALSE)</f>
        <v>1.0436361999999999E-2</v>
      </c>
      <c r="BM21">
        <f>VLOOKUP(all_cause_mort[[Country]:[Country]],'[1]Mortality Data'!$A$2:$W$201,16,FALSE)</f>
        <v>1.2926719E-2</v>
      </c>
      <c r="BN21">
        <f>VLOOKUP(all_cause_mort[[Country]:[Country]],'[1]Mortality Data'!$A$2:$W$201,17,FALSE)</f>
        <v>1.8939767E-2</v>
      </c>
      <c r="BO21">
        <f>VLOOKUP(all_cause_mort[[Country]:[Country]],'[1]Mortality Data'!$A$2:$W$201,18,FALSE)</f>
        <v>3.3724068000000003E-2</v>
      </c>
      <c r="BP21">
        <f>VLOOKUP(all_cause_mort[[Country]:[Country]],'[1]Mortality Data'!$A$2:$W$201,19,FALSE)</f>
        <v>5.8509717000000003E-2</v>
      </c>
      <c r="BQ21">
        <f>VLOOKUP(all_cause_mort[[Country]:[Country]],'[1]Mortality Data'!$A$2:$W$201,20,FALSE)</f>
        <v>9.8440263E-2</v>
      </c>
      <c r="BR21">
        <f>VLOOKUP(all_cause_mort[[Country]:[Country]],'[1]Mortality Data'!$A$2:$W$201,21,FALSE)</f>
        <v>0.15475480999999999</v>
      </c>
      <c r="BS21">
        <f>VLOOKUP(all_cause_mort[[Country]:[Country]],'[1]Mortality Data'!$A$2:$W$201,22,FALSE)</f>
        <v>0.22769528</v>
      </c>
      <c r="BT21">
        <f>VLOOKUP(all_cause_mort[[Country]:[Country]],'[1]Mortality Data'!$A$2:$W$201,23,FALSE)</f>
        <v>0.322915133156154</v>
      </c>
      <c r="BU21" s="39" t="e">
        <f>VLOOKUP(all_cause_mort[[#This Row],[Country]],[2]!regions[#Data],3,FALSE)</f>
        <v>#REF!</v>
      </c>
    </row>
    <row r="22" spans="1:73" x14ac:dyDescent="0.35">
      <c r="A22" t="s">
        <v>32</v>
      </c>
      <c r="B22">
        <v>1240862</v>
      </c>
      <c r="C22">
        <v>1278269</v>
      </c>
      <c r="D22">
        <v>1300217</v>
      </c>
      <c r="E22">
        <v>1315411</v>
      </c>
      <c r="F22">
        <v>1336397</v>
      </c>
      <c r="G22">
        <v>1371855</v>
      </c>
      <c r="H22">
        <v>1425171</v>
      </c>
      <c r="I22">
        <v>1492584</v>
      </c>
      <c r="K22" t="s">
        <v>32</v>
      </c>
      <c r="L22">
        <v>14.762</v>
      </c>
      <c r="M22">
        <f>birthrate[[#This Row],[2016]]/1000</f>
        <v>1.4762000000000001E-2</v>
      </c>
      <c r="O22" t="s">
        <v>51</v>
      </c>
      <c r="P22">
        <v>99.9</v>
      </c>
      <c r="Q22">
        <f>facility[[#This Row],[Facility (%)]]/100</f>
        <v>0.99900000000000011</v>
      </c>
      <c r="S22" t="s">
        <v>48</v>
      </c>
      <c r="T22">
        <v>2015</v>
      </c>
      <c r="U22">
        <v>99.7</v>
      </c>
      <c r="V22">
        <f>SBA[[#This Row],[SBA (%)]]/100</f>
        <v>0.997</v>
      </c>
      <c r="X22" s="10" t="s">
        <v>53</v>
      </c>
      <c r="Y22" s="10" t="s">
        <v>256</v>
      </c>
      <c r="Z22" s="21">
        <v>6.0999999999999999E-2</v>
      </c>
      <c r="AA22" s="21">
        <v>5.3999999999999999E-2</v>
      </c>
      <c r="AB22" s="21">
        <v>6.6000000000000003E-2</v>
      </c>
      <c r="AC22">
        <v>19193382</v>
      </c>
      <c r="AD22" s="27">
        <v>2.5510204081632677E-3</v>
      </c>
      <c r="AF22" s="24" t="s">
        <v>45</v>
      </c>
      <c r="AG22" s="24" t="s">
        <v>253</v>
      </c>
      <c r="AH22" s="24"/>
      <c r="AI22" s="25">
        <f>IF(birthdose[[#This Row],[2017]]/100=0, ,birthdose[[#This Row],[2017]]/100)</f>
        <v>0</v>
      </c>
      <c r="AK22" s="24" t="s">
        <v>45</v>
      </c>
      <c r="AL22" s="24" t="s">
        <v>254</v>
      </c>
      <c r="AM22" s="24">
        <v>83</v>
      </c>
      <c r="AN22" s="25">
        <f>IF(fullvax[[#This Row],[2017]]/100=0, ,fullvax[[#This Row],[2017]]/100)</f>
        <v>0.83</v>
      </c>
      <c r="AP22" s="20" t="s">
        <v>77</v>
      </c>
      <c r="AQ22" s="20">
        <v>0.97579193486540716</v>
      </c>
      <c r="AR22" s="20">
        <v>2.4208065134592838E-2</v>
      </c>
      <c r="AS22" s="20">
        <v>0.11640652785226148</v>
      </c>
      <c r="AT22" s="20">
        <v>0.88359347214773853</v>
      </c>
      <c r="AV22" s="12" t="s">
        <v>39</v>
      </c>
      <c r="AW22" s="14" t="s">
        <v>11</v>
      </c>
      <c r="AX22" s="41">
        <f>VLOOKUP(all_cause_mort[[#This Row],[Country]],[1]!populations[#Data],9,FALSE)*VLOOKUP(all_cause_mort[[#This Row],[Country]],[1]!birthrate[#Data],3,FALSE)</f>
        <v>117897.65</v>
      </c>
      <c r="AY22">
        <f>VLOOKUP(all_cause_mort[[Country]:[Country]],'[1]Mortality Data'!$A$2:$W$201,2,FALSE)</f>
        <v>2.9742570000000001E-3</v>
      </c>
      <c r="AZ22">
        <f>VLOOKUP(all_cause_mort[[Country]:[Country]],'[1]Mortality Data'!$A$2:$W$201,3,FALSE)</f>
        <v>2.1824527999999999E-4</v>
      </c>
      <c r="BA22">
        <f>VLOOKUP(all_cause_mort[[Country]:[Country]],'[1]Mortality Data'!$A$2:$W$201,4,FALSE)</f>
        <v>1.3874520999999999E-4</v>
      </c>
      <c r="BB22">
        <f>VLOOKUP(all_cause_mort[[Country]:[Country]],'[1]Mortality Data'!$A$2:$W$201,5,FALSE)</f>
        <v>1.3172581000000001E-4</v>
      </c>
      <c r="BC22">
        <f>VLOOKUP(all_cause_mort[[Country]:[Country]],'[1]Mortality Data'!$A$2:$W$201,6,FALSE)</f>
        <v>3.5196734000000001E-4</v>
      </c>
      <c r="BD22">
        <f>VLOOKUP(all_cause_mort[[Country]:[Country]],'[1]Mortality Data'!$A$2:$W$201,7,FALSE)</f>
        <v>5.9955608000000001E-4</v>
      </c>
      <c r="BE22">
        <f>VLOOKUP(all_cause_mort[[Country]:[Country]],'[1]Mortality Data'!$A$2:$W$201,8,FALSE)</f>
        <v>8.7638316999999997E-4</v>
      </c>
      <c r="BF22">
        <f>VLOOKUP(all_cause_mort[[Country]:[Country]],'[1]Mortality Data'!$A$2:$W$201,9,FALSE)</f>
        <v>1.4378284000000001E-3</v>
      </c>
      <c r="BG22">
        <f>VLOOKUP(all_cause_mort[[Country]:[Country]],'[1]Mortality Data'!$A$2:$W$201,10,FALSE)</f>
        <v>2.3068186000000002E-3</v>
      </c>
      <c r="BH22">
        <f>VLOOKUP(all_cause_mort[[Country]:[Country]],'[1]Mortality Data'!$A$2:$W$201,11,FALSE)</f>
        <v>3.3415919E-3</v>
      </c>
      <c r="BI22">
        <f>VLOOKUP(all_cause_mort[[Country]:[Country]],'[1]Mortality Data'!$A$2:$W$201,12,FALSE)</f>
        <v>5.0345516999999998E-3</v>
      </c>
      <c r="BJ22">
        <f>VLOOKUP(all_cause_mort[[Country]:[Country]],'[1]Mortality Data'!$A$2:$W$201,13,FALSE)</f>
        <v>7.4313358000000001E-3</v>
      </c>
      <c r="BK22">
        <f>VLOOKUP(all_cause_mort[[Country]:[Country]],'[1]Mortality Data'!$A$2:$W$201,14,FALSE)</f>
        <v>1.1150152E-2</v>
      </c>
      <c r="BL22">
        <f>VLOOKUP(all_cause_mort[[Country]:[Country]],'[1]Mortality Data'!$A$2:$W$201,15,FALSE)</f>
        <v>1.7102638E-2</v>
      </c>
      <c r="BM22">
        <f>VLOOKUP(all_cause_mort[[Country]:[Country]],'[1]Mortality Data'!$A$2:$W$201,16,FALSE)</f>
        <v>2.4527950999999999E-2</v>
      </c>
      <c r="BN22">
        <f>VLOOKUP(all_cause_mort[[Country]:[Country]],'[1]Mortality Data'!$A$2:$W$201,17,FALSE)</f>
        <v>3.6169323000000003E-2</v>
      </c>
      <c r="BO22">
        <f>VLOOKUP(all_cause_mort[[Country]:[Country]],'[1]Mortality Data'!$A$2:$W$201,18,FALSE)</f>
        <v>5.7294831999999997E-2</v>
      </c>
      <c r="BP22">
        <f>VLOOKUP(all_cause_mort[[Country]:[Country]],'[1]Mortality Data'!$A$2:$W$201,19,FALSE)</f>
        <v>9.5849866000000006E-2</v>
      </c>
      <c r="BQ22">
        <f>VLOOKUP(all_cause_mort[[Country]:[Country]],'[1]Mortality Data'!$A$2:$W$201,20,FALSE)</f>
        <v>0.15385720999999999</v>
      </c>
      <c r="BR22">
        <f>VLOOKUP(all_cause_mort[[Country]:[Country]],'[1]Mortality Data'!$A$2:$W$201,21,FALSE)</f>
        <v>0.24604038</v>
      </c>
      <c r="BS22">
        <f>VLOOKUP(all_cause_mort[[Country]:[Country]],'[1]Mortality Data'!$A$2:$W$201,22,FALSE)</f>
        <v>0.36641779000000002</v>
      </c>
      <c r="BT22">
        <f>VLOOKUP(all_cause_mort[[Country]:[Country]],'[1]Mortality Data'!$A$2:$W$201,23,FALSE)</f>
        <v>0.51844115941692404</v>
      </c>
      <c r="BU22" s="39" t="e">
        <f>VLOOKUP(all_cause_mort[[#This Row],[Country]],[2]!regions[#Data],3,FALSE)</f>
        <v>#REF!</v>
      </c>
    </row>
    <row r="23" spans="1:73" x14ac:dyDescent="0.35">
      <c r="A23" t="s">
        <v>31</v>
      </c>
      <c r="B23">
        <v>360832</v>
      </c>
      <c r="C23">
        <v>366568</v>
      </c>
      <c r="D23">
        <v>372039</v>
      </c>
      <c r="E23">
        <v>377240</v>
      </c>
      <c r="F23">
        <v>382169</v>
      </c>
      <c r="G23">
        <v>386838</v>
      </c>
      <c r="H23">
        <v>391232</v>
      </c>
      <c r="I23">
        <v>395361</v>
      </c>
      <c r="K23" t="s">
        <v>31</v>
      </c>
      <c r="L23">
        <v>14.271000000000001</v>
      </c>
      <c r="M23">
        <f>birthrate[[#This Row],[2016]]/1000</f>
        <v>1.4271000000000001E-2</v>
      </c>
      <c r="O23" t="s">
        <v>52</v>
      </c>
      <c r="P23">
        <v>93.8</v>
      </c>
      <c r="Q23">
        <f>facility[[#This Row],[Facility (%)]]/100</f>
        <v>0.93799999999999994</v>
      </c>
      <c r="S23" t="s">
        <v>50</v>
      </c>
      <c r="T23">
        <v>2015</v>
      </c>
      <c r="U23">
        <v>99.1</v>
      </c>
      <c r="V23">
        <f>SBA[[#This Row],[SBA (%)]]/100</f>
        <v>0.99099999999999999</v>
      </c>
      <c r="X23" s="13" t="s">
        <v>54</v>
      </c>
      <c r="Y23" s="13" t="s">
        <v>256</v>
      </c>
      <c r="Z23" s="26">
        <v>2.8000000000000001E-2</v>
      </c>
      <c r="AA23" s="26">
        <v>2.5999999999999999E-2</v>
      </c>
      <c r="AB23" s="26">
        <v>3.3000000000000002E-2</v>
      </c>
      <c r="AC23">
        <v>10864245</v>
      </c>
      <c r="AD23" s="27">
        <v>2.551020408163266E-3</v>
      </c>
      <c r="AF23" s="24" t="s">
        <v>47</v>
      </c>
      <c r="AG23" s="24" t="s">
        <v>253</v>
      </c>
      <c r="AH23" s="24"/>
      <c r="AI23" s="25">
        <f>IF(birthdose[[#This Row],[2017]]/100=0, ,birthdose[[#This Row],[2017]]/100)</f>
        <v>0</v>
      </c>
      <c r="AK23" s="24" t="s">
        <v>47</v>
      </c>
      <c r="AL23" s="24" t="s">
        <v>254</v>
      </c>
      <c r="AM23" s="24">
        <v>77</v>
      </c>
      <c r="AN23" s="25">
        <f>IF(fullvax[[#This Row],[2017]]/100=0, ,fullvax[[#This Row],[2017]]/100)</f>
        <v>0.77</v>
      </c>
      <c r="AP23" s="20" t="s">
        <v>70</v>
      </c>
      <c r="AQ23" s="20">
        <v>0.99368951689151341</v>
      </c>
      <c r="AR23" s="20">
        <v>6.3104831084865864E-3</v>
      </c>
      <c r="AS23" s="20">
        <v>0.46190298370088306</v>
      </c>
      <c r="AT23" s="20">
        <v>0.53809701629911699</v>
      </c>
      <c r="AV23" s="12" t="s">
        <v>42</v>
      </c>
      <c r="AW23" s="14" t="s">
        <v>23</v>
      </c>
      <c r="AX23" s="41">
        <f>VLOOKUP(all_cause_mort[[#This Row],[Country]],[1]!populations[#Data],9,FALSE)*VLOOKUP(all_cause_mort[[#This Row],[Country]],[1]!birthrate[#Data],3,FALSE)</f>
        <v>8443.0616539999992</v>
      </c>
      <c r="AY23">
        <f>VLOOKUP(all_cause_mort[[Country]:[Country]],'[1]Mortality Data'!$A$2:$W$201,2,FALSE)</f>
        <v>1.2968353E-2</v>
      </c>
      <c r="AZ23">
        <f>VLOOKUP(all_cause_mort[[Country]:[Country]],'[1]Mortality Data'!$A$2:$W$201,3,FALSE)</f>
        <v>5.2907631999999998E-4</v>
      </c>
      <c r="BA23">
        <f>VLOOKUP(all_cause_mort[[Country]:[Country]],'[1]Mortality Data'!$A$2:$W$201,4,FALSE)</f>
        <v>3.0456378000000002E-4</v>
      </c>
      <c r="BB23">
        <f>VLOOKUP(all_cause_mort[[Country]:[Country]],'[1]Mortality Data'!$A$2:$W$201,5,FALSE)</f>
        <v>3.3034733000000002E-4</v>
      </c>
      <c r="BC23">
        <f>VLOOKUP(all_cause_mort[[Country]:[Country]],'[1]Mortality Data'!$A$2:$W$201,6,FALSE)</f>
        <v>9.9552341999999995E-4</v>
      </c>
      <c r="BD23">
        <f>VLOOKUP(all_cause_mort[[Country]:[Country]],'[1]Mortality Data'!$A$2:$W$201,7,FALSE)</f>
        <v>1.5640909000000001E-3</v>
      </c>
      <c r="BE23">
        <f>VLOOKUP(all_cause_mort[[Country]:[Country]],'[1]Mortality Data'!$A$2:$W$201,8,FALSE)</f>
        <v>2.3416280000000001E-3</v>
      </c>
      <c r="BF23">
        <f>VLOOKUP(all_cause_mort[[Country]:[Country]],'[1]Mortality Data'!$A$2:$W$201,9,FALSE)</f>
        <v>2.7700735999999998E-3</v>
      </c>
      <c r="BG23">
        <f>VLOOKUP(all_cause_mort[[Country]:[Country]],'[1]Mortality Data'!$A$2:$W$201,10,FALSE)</f>
        <v>2.8873458999999998E-3</v>
      </c>
      <c r="BH23">
        <f>VLOOKUP(all_cause_mort[[Country]:[Country]],'[1]Mortality Data'!$A$2:$W$201,11,FALSE)</f>
        <v>3.5451492000000001E-3</v>
      </c>
      <c r="BI23">
        <f>VLOOKUP(all_cause_mort[[Country]:[Country]],'[1]Mortality Data'!$A$2:$W$201,12,FALSE)</f>
        <v>4.9011022000000001E-3</v>
      </c>
      <c r="BJ23">
        <f>VLOOKUP(all_cause_mort[[Country]:[Country]],'[1]Mortality Data'!$A$2:$W$201,13,FALSE)</f>
        <v>6.8295341000000004E-3</v>
      </c>
      <c r="BK23">
        <f>VLOOKUP(all_cause_mort[[Country]:[Country]],'[1]Mortality Data'!$A$2:$W$201,14,FALSE)</f>
        <v>1.0849226E-2</v>
      </c>
      <c r="BL23">
        <f>VLOOKUP(all_cause_mort[[Country]:[Country]],'[1]Mortality Data'!$A$2:$W$201,15,FALSE)</f>
        <v>1.4579675E-2</v>
      </c>
      <c r="BM23">
        <f>VLOOKUP(all_cause_mort[[Country]:[Country]],'[1]Mortality Data'!$A$2:$W$201,16,FALSE)</f>
        <v>1.9938518999999998E-2</v>
      </c>
      <c r="BN23">
        <f>VLOOKUP(all_cause_mort[[Country]:[Country]],'[1]Mortality Data'!$A$2:$W$201,17,FALSE)</f>
        <v>2.8359951000000001E-2</v>
      </c>
      <c r="BO23">
        <f>VLOOKUP(all_cause_mort[[Country]:[Country]],'[1]Mortality Data'!$A$2:$W$201,18,FALSE)</f>
        <v>4.2616586999999997E-2</v>
      </c>
      <c r="BP23">
        <f>VLOOKUP(all_cause_mort[[Country]:[Country]],'[1]Mortality Data'!$A$2:$W$201,19,FALSE)</f>
        <v>7.2001094000000002E-2</v>
      </c>
      <c r="BQ23">
        <f>VLOOKUP(all_cause_mort[[Country]:[Country]],'[1]Mortality Data'!$A$2:$W$201,20,FALSE)</f>
        <v>0.10914001</v>
      </c>
      <c r="BR23">
        <f>VLOOKUP(all_cause_mort[[Country]:[Country]],'[1]Mortality Data'!$A$2:$W$201,21,FALSE)</f>
        <v>0.15359703999999999</v>
      </c>
      <c r="BS23">
        <f>VLOOKUP(all_cause_mort[[Country]:[Country]],'[1]Mortality Data'!$A$2:$W$201,22,FALSE)</f>
        <v>0.26705579000000002</v>
      </c>
      <c r="BT23">
        <f>VLOOKUP(all_cause_mort[[Country]:[Country]],'[1]Mortality Data'!$A$2:$W$201,23,FALSE)</f>
        <v>0.413991145391786</v>
      </c>
      <c r="BU23" s="39" t="e">
        <f>VLOOKUP(all_cause_mort[[#This Row],[Country]],[2]!regions[#Data],3,FALSE)</f>
        <v>#REF!</v>
      </c>
    </row>
    <row r="24" spans="1:73" x14ac:dyDescent="0.35">
      <c r="A24" t="s">
        <v>47</v>
      </c>
      <c r="B24">
        <v>3722084</v>
      </c>
      <c r="C24">
        <v>3688865</v>
      </c>
      <c r="D24">
        <v>3648200</v>
      </c>
      <c r="E24">
        <v>3604999</v>
      </c>
      <c r="F24">
        <v>3566002</v>
      </c>
      <c r="G24">
        <v>3535961</v>
      </c>
      <c r="H24">
        <v>3516816</v>
      </c>
      <c r="I24">
        <v>3507017</v>
      </c>
      <c r="K24" t="s">
        <v>47</v>
      </c>
      <c r="L24">
        <v>9.1579999999999995</v>
      </c>
      <c r="M24">
        <f>birthrate[[#This Row],[2016]]/1000</f>
        <v>9.1579999999999995E-3</v>
      </c>
      <c r="O24" t="s">
        <v>53</v>
      </c>
      <c r="P24">
        <v>82.2</v>
      </c>
      <c r="Q24">
        <f>facility[[#This Row],[Facility (%)]]/100</f>
        <v>0.82200000000000006</v>
      </c>
      <c r="S24" t="s">
        <v>51</v>
      </c>
      <c r="T24">
        <v>2016</v>
      </c>
      <c r="U24">
        <v>99.99</v>
      </c>
      <c r="V24">
        <f>SBA[[#This Row],[SBA (%)]]/100</f>
        <v>0.9998999999999999</v>
      </c>
      <c r="X24" s="10" t="s">
        <v>56</v>
      </c>
      <c r="Y24" s="10" t="s">
        <v>256</v>
      </c>
      <c r="Z24" s="21">
        <v>0.03</v>
      </c>
      <c r="AA24" s="21">
        <v>2.9000000000000001E-2</v>
      </c>
      <c r="AB24" s="21">
        <v>5.0999999999999997E-2</v>
      </c>
      <c r="AC24">
        <v>16005373</v>
      </c>
      <c r="AD24" s="27">
        <v>1.0714285714285713E-2</v>
      </c>
      <c r="AF24" s="24" t="s">
        <v>48</v>
      </c>
      <c r="AG24" s="24" t="s">
        <v>253</v>
      </c>
      <c r="AH24" s="24"/>
      <c r="AI24" s="25">
        <f>IF(birthdose[[#This Row],[2017]]/100=0, ,birthdose[[#This Row],[2017]]/100)</f>
        <v>0</v>
      </c>
      <c r="AK24" s="24" t="s">
        <v>48</v>
      </c>
      <c r="AL24" s="24" t="s">
        <v>254</v>
      </c>
      <c r="AM24" s="24">
        <v>95</v>
      </c>
      <c r="AN24" s="25">
        <f>IF(fullvax[[#This Row],[2017]]/100=0, ,fullvax[[#This Row],[2017]]/100)</f>
        <v>0.95</v>
      </c>
      <c r="AP24" s="20" t="s">
        <v>71</v>
      </c>
      <c r="AQ24" s="20">
        <v>0.9851409780572663</v>
      </c>
      <c r="AR24" s="20">
        <v>1.4859021942733697E-2</v>
      </c>
      <c r="AS24" s="20">
        <v>7.00986836894711E-2</v>
      </c>
      <c r="AT24" s="20">
        <v>0.92990131631052886</v>
      </c>
      <c r="AV24" s="8" t="s">
        <v>43</v>
      </c>
      <c r="AW24" s="11" t="s">
        <v>15</v>
      </c>
      <c r="AX24" s="41">
        <f>VLOOKUP(all_cause_mort[[#This Row],[Country]],[1]!populations[#Data],9,FALSE)*VLOOKUP(all_cause_mort[[#This Row],[Country]],[1]!birthrate[#Data],3,FALSE)</f>
        <v>413791.17199200002</v>
      </c>
      <c r="AY24">
        <f>VLOOKUP(all_cause_mort[[Country]:[Country]],'[1]Mortality Data'!$A$2:$W$201,2,FALSE)</f>
        <v>6.4210196999999997E-2</v>
      </c>
      <c r="AZ24">
        <f>VLOOKUP(all_cause_mort[[Country]:[Country]],'[1]Mortality Data'!$A$2:$W$201,3,FALSE)</f>
        <v>9.4132555000000003E-3</v>
      </c>
      <c r="BA24">
        <f>VLOOKUP(all_cause_mort[[Country]:[Country]],'[1]Mortality Data'!$A$2:$W$201,4,FALSE)</f>
        <v>3.1206441000000001E-3</v>
      </c>
      <c r="BB24">
        <f>VLOOKUP(all_cause_mort[[Country]:[Country]],'[1]Mortality Data'!$A$2:$W$201,5,FALSE)</f>
        <v>1.8410379000000001E-3</v>
      </c>
      <c r="BC24">
        <f>VLOOKUP(all_cause_mort[[Country]:[Country]],'[1]Mortality Data'!$A$2:$W$201,6,FALSE)</f>
        <v>2.4778029000000002E-3</v>
      </c>
      <c r="BD24">
        <f>VLOOKUP(all_cause_mort[[Country]:[Country]],'[1]Mortality Data'!$A$2:$W$201,7,FALSE)</f>
        <v>3.3614639000000002E-3</v>
      </c>
      <c r="BE24">
        <f>VLOOKUP(all_cause_mort[[Country]:[Country]],'[1]Mortality Data'!$A$2:$W$201,8,FALSE)</f>
        <v>3.698705E-3</v>
      </c>
      <c r="BF24">
        <f>VLOOKUP(all_cause_mort[[Country]:[Country]],'[1]Mortality Data'!$A$2:$W$201,9,FALSE)</f>
        <v>4.0851113000000003E-3</v>
      </c>
      <c r="BG24">
        <f>VLOOKUP(all_cause_mort[[Country]:[Country]],'[1]Mortality Data'!$A$2:$W$201,10,FALSE)</f>
        <v>4.6605876999999997E-3</v>
      </c>
      <c r="BH24">
        <f>VLOOKUP(all_cause_mort[[Country]:[Country]],'[1]Mortality Data'!$A$2:$W$201,11,FALSE)</f>
        <v>5.7745046E-3</v>
      </c>
      <c r="BI24">
        <f>VLOOKUP(all_cause_mort[[Country]:[Country]],'[1]Mortality Data'!$A$2:$W$201,12,FALSE)</f>
        <v>7.0352686000000001E-3</v>
      </c>
      <c r="BJ24">
        <f>VLOOKUP(all_cause_mort[[Country]:[Country]],'[1]Mortality Data'!$A$2:$W$201,13,FALSE)</f>
        <v>9.8449268000000006E-3</v>
      </c>
      <c r="BK24">
        <f>VLOOKUP(all_cause_mort[[Country]:[Country]],'[1]Mortality Data'!$A$2:$W$201,14,FALSE)</f>
        <v>1.3270379000000001E-2</v>
      </c>
      <c r="BL24">
        <f>VLOOKUP(all_cause_mort[[Country]:[Country]],'[1]Mortality Data'!$A$2:$W$201,15,FALSE)</f>
        <v>2.0265406999999999E-2</v>
      </c>
      <c r="BM24">
        <f>VLOOKUP(all_cause_mort[[Country]:[Country]],'[1]Mortality Data'!$A$2:$W$201,16,FALSE)</f>
        <v>3.1703303000000002E-2</v>
      </c>
      <c r="BN24">
        <f>VLOOKUP(all_cause_mort[[Country]:[Country]],'[1]Mortality Data'!$A$2:$W$201,17,FALSE)</f>
        <v>5.0788672E-2</v>
      </c>
      <c r="BO24">
        <f>VLOOKUP(all_cause_mort[[Country]:[Country]],'[1]Mortality Data'!$A$2:$W$201,18,FALSE)</f>
        <v>8.1372317999999999E-2</v>
      </c>
      <c r="BP24">
        <f>VLOOKUP(all_cause_mort[[Country]:[Country]],'[1]Mortality Data'!$A$2:$W$201,19,FALSE)</f>
        <v>0.13044120000000001</v>
      </c>
      <c r="BQ24">
        <f>VLOOKUP(all_cause_mort[[Country]:[Country]],'[1]Mortality Data'!$A$2:$W$201,20,FALSE)</f>
        <v>0.20114161999999999</v>
      </c>
      <c r="BR24">
        <f>VLOOKUP(all_cause_mort[[Country]:[Country]],'[1]Mortality Data'!$A$2:$W$201,21,FALSE)</f>
        <v>0.29528442999999999</v>
      </c>
      <c r="BS24">
        <f>VLOOKUP(all_cause_mort[[Country]:[Country]],'[1]Mortality Data'!$A$2:$W$201,22,FALSE)</f>
        <v>0.40665932999999999</v>
      </c>
      <c r="BT24">
        <f>VLOOKUP(all_cause_mort[[Country]:[Country]],'[1]Mortality Data'!$A$2:$W$201,23,FALSE)</f>
        <v>0.54217247970445104</v>
      </c>
      <c r="BU24" s="39" t="e">
        <f>VLOOKUP(all_cause_mort[[#This Row],[Country]],[2]!regions[#Data],3,FALSE)</f>
        <v>#REF!</v>
      </c>
    </row>
    <row r="25" spans="1:73" x14ac:dyDescent="0.35">
      <c r="A25" t="s">
        <v>39</v>
      </c>
      <c r="B25">
        <v>9490583</v>
      </c>
      <c r="C25">
        <v>9473172</v>
      </c>
      <c r="D25">
        <v>9464495</v>
      </c>
      <c r="E25">
        <v>9465997</v>
      </c>
      <c r="F25">
        <v>9474511</v>
      </c>
      <c r="G25">
        <v>9489616</v>
      </c>
      <c r="H25">
        <v>9501534</v>
      </c>
      <c r="I25">
        <v>9507875</v>
      </c>
      <c r="K25" t="s">
        <v>39</v>
      </c>
      <c r="L25">
        <v>12.4</v>
      </c>
      <c r="M25">
        <f>birthrate[[#This Row],[2016]]/1000</f>
        <v>1.24E-2</v>
      </c>
      <c r="O25" t="s">
        <v>54</v>
      </c>
      <c r="P25">
        <v>83.9</v>
      </c>
      <c r="Q25">
        <f>facility[[#This Row],[Facility (%)]]/100</f>
        <v>0.83900000000000008</v>
      </c>
      <c r="S25" t="s">
        <v>52</v>
      </c>
      <c r="T25">
        <v>2015</v>
      </c>
      <c r="U25">
        <v>99.8</v>
      </c>
      <c r="V25">
        <f>SBA[[#This Row],[SBA (%)]]/100</f>
        <v>0.998</v>
      </c>
      <c r="X25" s="13" t="s">
        <v>59</v>
      </c>
      <c r="Y25" s="13" t="s">
        <v>256</v>
      </c>
      <c r="Z25" s="26">
        <v>6.8000000000000005E-2</v>
      </c>
      <c r="AA25" s="26">
        <v>6.5000000000000002E-2</v>
      </c>
      <c r="AB25" s="26">
        <v>7.3999999999999996E-2</v>
      </c>
      <c r="AC25">
        <v>24053727</v>
      </c>
      <c r="AD25" s="27">
        <v>3.0612244897959139E-3</v>
      </c>
      <c r="AF25" s="24" t="s">
        <v>50</v>
      </c>
      <c r="AG25" s="24" t="s">
        <v>253</v>
      </c>
      <c r="AH25" s="24">
        <v>80</v>
      </c>
      <c r="AI25" s="25">
        <f>IF(birthdose[[#This Row],[2017]]/100=0, ,birthdose[[#This Row],[2017]]/100)</f>
        <v>0.8</v>
      </c>
      <c r="AK25" s="24" t="s">
        <v>50</v>
      </c>
      <c r="AL25" s="24" t="s">
        <v>254</v>
      </c>
      <c r="AM25" s="24">
        <v>93</v>
      </c>
      <c r="AN25" s="25">
        <f>IF(fullvax[[#This Row],[2017]]/100=0, ,fullvax[[#This Row],[2017]]/100)</f>
        <v>0.93</v>
      </c>
      <c r="AP25" s="20" t="s">
        <v>81</v>
      </c>
      <c r="AQ25" s="20">
        <v>0.99234974733644032</v>
      </c>
      <c r="AR25" s="20">
        <v>7.6502526635596757E-3</v>
      </c>
      <c r="AS25" s="20">
        <v>0.26790826337289719</v>
      </c>
      <c r="AT25" s="20">
        <v>0.73209173662710281</v>
      </c>
      <c r="AV25" s="12" t="s">
        <v>44</v>
      </c>
      <c r="AW25" s="14" t="s">
        <v>37</v>
      </c>
      <c r="AX25" s="41">
        <f>VLOOKUP(all_cause_mort[[#This Row],[Country]],[1]!populations[#Data],9,FALSE)*VLOOKUP(all_cause_mort[[#This Row],[Country]],[1]!birthrate[#Data],3,FALSE)</f>
        <v>14670.235650000001</v>
      </c>
      <c r="AY25">
        <f>VLOOKUP(all_cause_mort[[Country]:[Country]],'[1]Mortality Data'!$A$2:$W$201,2,FALSE)</f>
        <v>2.4592960000000001E-2</v>
      </c>
      <c r="AZ25">
        <f>VLOOKUP(all_cause_mort[[Country]:[Country]],'[1]Mortality Data'!$A$2:$W$201,3,FALSE)</f>
        <v>1.4221768999999999E-3</v>
      </c>
      <c r="BA25">
        <f>VLOOKUP(all_cause_mort[[Country]:[Country]],'[1]Mortality Data'!$A$2:$W$201,4,FALSE)</f>
        <v>7.7513961000000005E-4</v>
      </c>
      <c r="BB25">
        <f>VLOOKUP(all_cause_mort[[Country]:[Country]],'[1]Mortality Data'!$A$2:$W$201,5,FALSE)</f>
        <v>6.2795587999999998E-4</v>
      </c>
      <c r="BC25">
        <f>VLOOKUP(all_cause_mort[[Country]:[Country]],'[1]Mortality Data'!$A$2:$W$201,6,FALSE)</f>
        <v>8.5001065000000001E-4</v>
      </c>
      <c r="BD25">
        <f>VLOOKUP(all_cause_mort[[Country]:[Country]],'[1]Mortality Data'!$A$2:$W$201,7,FALSE)</f>
        <v>1.3859578E-3</v>
      </c>
      <c r="BE25">
        <f>VLOOKUP(all_cause_mort[[Country]:[Country]],'[1]Mortality Data'!$A$2:$W$201,8,FALSE)</f>
        <v>2.0088519000000002E-3</v>
      </c>
      <c r="BF25">
        <f>VLOOKUP(all_cause_mort[[Country]:[Country]],'[1]Mortality Data'!$A$2:$W$201,9,FALSE)</f>
        <v>2.9179764999999998E-3</v>
      </c>
      <c r="BG25">
        <f>VLOOKUP(all_cause_mort[[Country]:[Country]],'[1]Mortality Data'!$A$2:$W$201,10,FALSE)</f>
        <v>3.9776804999999997E-3</v>
      </c>
      <c r="BH25">
        <f>VLOOKUP(all_cause_mort[[Country]:[Country]],'[1]Mortality Data'!$A$2:$W$201,11,FALSE)</f>
        <v>5.2167923999999997E-3</v>
      </c>
      <c r="BI25">
        <f>VLOOKUP(all_cause_mort[[Country]:[Country]],'[1]Mortality Data'!$A$2:$W$201,12,FALSE)</f>
        <v>6.7983495000000001E-3</v>
      </c>
      <c r="BJ25">
        <f>VLOOKUP(all_cause_mort[[Country]:[Country]],'[1]Mortality Data'!$A$2:$W$201,13,FALSE)</f>
        <v>8.9858491000000002E-3</v>
      </c>
      <c r="BK25">
        <f>VLOOKUP(all_cause_mort[[Country]:[Country]],'[1]Mortality Data'!$A$2:$W$201,14,FALSE)</f>
        <v>1.2264648E-2</v>
      </c>
      <c r="BL25">
        <f>VLOOKUP(all_cause_mort[[Country]:[Country]],'[1]Mortality Data'!$A$2:$W$201,15,FALSE)</f>
        <v>1.6624712E-2</v>
      </c>
      <c r="BM25">
        <f>VLOOKUP(all_cause_mort[[Country]:[Country]],'[1]Mortality Data'!$A$2:$W$201,16,FALSE)</f>
        <v>2.3639731000000001E-2</v>
      </c>
      <c r="BN25">
        <f>VLOOKUP(all_cause_mort[[Country]:[Country]],'[1]Mortality Data'!$A$2:$W$201,17,FALSE)</f>
        <v>3.4283037000000002E-2</v>
      </c>
      <c r="BO25">
        <f>VLOOKUP(all_cause_mort[[Country]:[Country]],'[1]Mortality Data'!$A$2:$W$201,18,FALSE)</f>
        <v>5.0834553999999997E-2</v>
      </c>
      <c r="BP25">
        <f>VLOOKUP(all_cause_mort[[Country]:[Country]],'[1]Mortality Data'!$A$2:$W$201,19,FALSE)</f>
        <v>7.5994737000000007E-2</v>
      </c>
      <c r="BQ25">
        <f>VLOOKUP(all_cause_mort[[Country]:[Country]],'[1]Mortality Data'!$A$2:$W$201,20,FALSE)</f>
        <v>0.10746435999999999</v>
      </c>
      <c r="BR25">
        <f>VLOOKUP(all_cause_mort[[Country]:[Country]],'[1]Mortality Data'!$A$2:$W$201,21,FALSE)</f>
        <v>0.15106344999999999</v>
      </c>
      <c r="BS25">
        <f>VLOOKUP(all_cause_mort[[Country]:[Country]],'[1]Mortality Data'!$A$2:$W$201,22,FALSE)</f>
        <v>0.2052021</v>
      </c>
      <c r="BT25">
        <f>VLOOKUP(all_cause_mort[[Country]:[Country]],'[1]Mortality Data'!$A$2:$W$201,23,FALSE)</f>
        <v>0.28146805858251001</v>
      </c>
      <c r="BU25" s="39" t="e">
        <f>VLOOKUP(all_cause_mort[[#This Row],[Country]],[2]!regions[#Data],3,FALSE)</f>
        <v>#REF!</v>
      </c>
    </row>
    <row r="26" spans="1:73" x14ac:dyDescent="0.35">
      <c r="A26" t="s">
        <v>42</v>
      </c>
      <c r="B26">
        <v>321608</v>
      </c>
      <c r="C26">
        <v>329192</v>
      </c>
      <c r="D26">
        <v>336701</v>
      </c>
      <c r="E26">
        <v>344181</v>
      </c>
      <c r="F26">
        <v>351694</v>
      </c>
      <c r="G26">
        <v>359288</v>
      </c>
      <c r="H26">
        <v>366954</v>
      </c>
      <c r="I26">
        <v>374681</v>
      </c>
      <c r="K26" t="s">
        <v>42</v>
      </c>
      <c r="L26">
        <v>22.533999999999999</v>
      </c>
      <c r="M26">
        <f>birthrate[[#This Row],[2016]]/1000</f>
        <v>2.2533999999999998E-2</v>
      </c>
      <c r="O26" t="s">
        <v>56</v>
      </c>
      <c r="P26">
        <v>83.2</v>
      </c>
      <c r="Q26">
        <f>facility[[#This Row],[Facility (%)]]/100</f>
        <v>0.83200000000000007</v>
      </c>
      <c r="S26" t="s">
        <v>53</v>
      </c>
      <c r="T26" t="s">
        <v>267</v>
      </c>
      <c r="U26">
        <v>79.8</v>
      </c>
      <c r="V26">
        <f>SBA[[#This Row],[SBA (%)]]/100</f>
        <v>0.79799999999999993</v>
      </c>
      <c r="X26" s="10" t="s">
        <v>60</v>
      </c>
      <c r="Y26" s="10" t="s">
        <v>256</v>
      </c>
      <c r="Z26" s="21">
        <v>6.0000000000000001E-3</v>
      </c>
      <c r="AA26" s="21">
        <v>4.0000000000000001E-3</v>
      </c>
      <c r="AB26" s="21">
        <v>1.0999999999999999E-2</v>
      </c>
      <c r="AC26">
        <v>36708083</v>
      </c>
      <c r="AD26" s="27">
        <v>2.5510204081632651E-3</v>
      </c>
      <c r="AF26" s="24" t="s">
        <v>51</v>
      </c>
      <c r="AG26" s="24" t="s">
        <v>253</v>
      </c>
      <c r="AH26" s="24">
        <v>99</v>
      </c>
      <c r="AI26" s="25">
        <f>IF(birthdose[[#This Row],[2017]]/100=0, ,birthdose[[#This Row],[2017]]/100)</f>
        <v>0.99</v>
      </c>
      <c r="AK26" s="24" t="s">
        <v>51</v>
      </c>
      <c r="AL26" s="24" t="s">
        <v>254</v>
      </c>
      <c r="AM26" s="24">
        <v>99</v>
      </c>
      <c r="AN26" s="25">
        <f>IF(fullvax[[#This Row],[2017]]/100=0, ,fullvax[[#This Row],[2017]]/100)</f>
        <v>0.99</v>
      </c>
      <c r="AP26" s="20" t="s">
        <v>83</v>
      </c>
      <c r="AQ26" s="20">
        <v>0.99741004251403831</v>
      </c>
      <c r="AR26" s="20">
        <v>2.5899574859616914E-3</v>
      </c>
      <c r="AS26" s="20">
        <v>0.27595962702890781</v>
      </c>
      <c r="AT26" s="20">
        <v>0.72404037297109225</v>
      </c>
      <c r="AV26" s="8" t="s">
        <v>45</v>
      </c>
      <c r="AW26" s="11" t="s">
        <v>23</v>
      </c>
      <c r="AX26" s="41">
        <f>VLOOKUP(all_cause_mort[[#This Row],[Country]],[1]!populations[#Data],9,FALSE)*VLOOKUP(all_cause_mort[[#This Row],[Country]],[1]!birthrate[#Data],3,FALSE)</f>
        <v>256971.80319999999</v>
      </c>
      <c r="AY26">
        <f>VLOOKUP(all_cause_mort[[Country]:[Country]],'[1]Mortality Data'!$A$2:$W$201,2,FALSE)</f>
        <v>3.0494327000000002E-2</v>
      </c>
      <c r="AZ26">
        <f>VLOOKUP(all_cause_mort[[Country]:[Country]],'[1]Mortality Data'!$A$2:$W$201,3,FALSE)</f>
        <v>4.9574212999999997E-3</v>
      </c>
      <c r="BA26">
        <f>VLOOKUP(all_cause_mort[[Country]:[Country]],'[1]Mortality Data'!$A$2:$W$201,4,FALSE)</f>
        <v>1.3715053E-3</v>
      </c>
      <c r="BB26">
        <f>VLOOKUP(all_cause_mort[[Country]:[Country]],'[1]Mortality Data'!$A$2:$W$201,5,FALSE)</f>
        <v>8.0304199000000005E-4</v>
      </c>
      <c r="BC26">
        <f>VLOOKUP(all_cause_mort[[Country]:[Country]],'[1]Mortality Data'!$A$2:$W$201,6,FALSE)</f>
        <v>1.5961051E-3</v>
      </c>
      <c r="BD26">
        <f>VLOOKUP(all_cause_mort[[Country]:[Country]],'[1]Mortality Data'!$A$2:$W$201,7,FALSE)</f>
        <v>2.2286659000000002E-3</v>
      </c>
      <c r="BE26">
        <f>VLOOKUP(all_cause_mort[[Country]:[Country]],'[1]Mortality Data'!$A$2:$W$201,8,FALSE)</f>
        <v>2.3948724999999999E-3</v>
      </c>
      <c r="BF26">
        <f>VLOOKUP(all_cause_mort[[Country]:[Country]],'[1]Mortality Data'!$A$2:$W$201,9,FALSE)</f>
        <v>2.7196274999999998E-3</v>
      </c>
      <c r="BG26">
        <f>VLOOKUP(all_cause_mort[[Country]:[Country]],'[1]Mortality Data'!$A$2:$W$201,10,FALSE)</f>
        <v>3.4333978999999998E-3</v>
      </c>
      <c r="BH26">
        <f>VLOOKUP(all_cause_mort[[Country]:[Country]],'[1]Mortality Data'!$A$2:$W$201,11,FALSE)</f>
        <v>4.0616999999999997E-3</v>
      </c>
      <c r="BI26">
        <f>VLOOKUP(all_cause_mort[[Country]:[Country]],'[1]Mortality Data'!$A$2:$W$201,12,FALSE)</f>
        <v>5.5174385999999997E-3</v>
      </c>
      <c r="BJ26">
        <f>VLOOKUP(all_cause_mort[[Country]:[Country]],'[1]Mortality Data'!$A$2:$W$201,13,FALSE)</f>
        <v>7.4974181000000001E-3</v>
      </c>
      <c r="BK26">
        <f>VLOOKUP(all_cause_mort[[Country]:[Country]],'[1]Mortality Data'!$A$2:$W$201,14,FALSE)</f>
        <v>1.0604571E-2</v>
      </c>
      <c r="BL26">
        <f>VLOOKUP(all_cause_mort[[Country]:[Country]],'[1]Mortality Data'!$A$2:$W$201,15,FALSE)</f>
        <v>1.5851634999999999E-2</v>
      </c>
      <c r="BM26">
        <f>VLOOKUP(all_cause_mort[[Country]:[Country]],'[1]Mortality Data'!$A$2:$W$201,16,FALSE)</f>
        <v>2.1262792999999999E-2</v>
      </c>
      <c r="BN26">
        <f>VLOOKUP(all_cause_mort[[Country]:[Country]],'[1]Mortality Data'!$A$2:$W$201,17,FALSE)</f>
        <v>2.8003045000000001E-2</v>
      </c>
      <c r="BO26">
        <f>VLOOKUP(all_cause_mort[[Country]:[Country]],'[1]Mortality Data'!$A$2:$W$201,18,FALSE)</f>
        <v>4.1498825000000003E-2</v>
      </c>
      <c r="BP26">
        <f>VLOOKUP(all_cause_mort[[Country]:[Country]],'[1]Mortality Data'!$A$2:$W$201,19,FALSE)</f>
        <v>6.1500072000000003E-2</v>
      </c>
      <c r="BQ26">
        <f>VLOOKUP(all_cause_mort[[Country]:[Country]],'[1]Mortality Data'!$A$2:$W$201,20,FALSE)</f>
        <v>9.2607406000000003E-2</v>
      </c>
      <c r="BR26">
        <f>VLOOKUP(all_cause_mort[[Country]:[Country]],'[1]Mortality Data'!$A$2:$W$201,21,FALSE)</f>
        <v>0.13594039999999999</v>
      </c>
      <c r="BS26">
        <f>VLOOKUP(all_cause_mort[[Country]:[Country]],'[1]Mortality Data'!$A$2:$W$201,22,FALSE)</f>
        <v>0.18903618999999999</v>
      </c>
      <c r="BT26">
        <f>VLOOKUP(all_cause_mort[[Country]:[Country]],'[1]Mortality Data'!$A$2:$W$201,23,FALSE)</f>
        <v>0.27503186725487899</v>
      </c>
      <c r="BU26" s="39" t="e">
        <f>VLOOKUP(all_cause_mort[[#This Row],[Country]],[2]!regions[#Data],3,FALSE)</f>
        <v>#REF!</v>
      </c>
    </row>
    <row r="27" spans="1:73" x14ac:dyDescent="0.35">
      <c r="A27" t="s">
        <v>268</v>
      </c>
      <c r="B27">
        <v>65124</v>
      </c>
      <c r="C27">
        <v>64564</v>
      </c>
      <c r="D27">
        <v>64798</v>
      </c>
      <c r="E27">
        <v>65001</v>
      </c>
      <c r="F27">
        <v>65139</v>
      </c>
      <c r="G27">
        <v>65239</v>
      </c>
      <c r="H27">
        <v>65341</v>
      </c>
      <c r="I27">
        <v>65441</v>
      </c>
      <c r="K27" t="s">
        <v>268</v>
      </c>
      <c r="L27">
        <v>9.6</v>
      </c>
      <c r="M27">
        <f>birthrate[[#This Row],[2016]]/1000</f>
        <v>9.5999999999999992E-3</v>
      </c>
      <c r="O27" t="s">
        <v>59</v>
      </c>
      <c r="P27">
        <v>61.3</v>
      </c>
      <c r="Q27">
        <f>facility[[#This Row],[Facility (%)]]/100</f>
        <v>0.61299999999999999</v>
      </c>
      <c r="S27" t="s">
        <v>54</v>
      </c>
      <c r="T27" t="s">
        <v>269</v>
      </c>
      <c r="U27">
        <v>85.1</v>
      </c>
      <c r="V27">
        <f>SBA[[#This Row],[SBA (%)]]/100</f>
        <v>0.85099999999999998</v>
      </c>
      <c r="X27" s="10" t="s">
        <v>62</v>
      </c>
      <c r="Y27" s="13" t="s">
        <v>256</v>
      </c>
      <c r="Z27" s="26">
        <v>0.121</v>
      </c>
      <c r="AA27" s="26">
        <v>0.11</v>
      </c>
      <c r="AB27" s="26">
        <v>0.13500000000000001</v>
      </c>
      <c r="AC27">
        <v>4659080</v>
      </c>
      <c r="AD27" s="27">
        <v>7.1428571428571496E-3</v>
      </c>
      <c r="AF27" s="24" t="s">
        <v>52</v>
      </c>
      <c r="AG27" s="24" t="s">
        <v>253</v>
      </c>
      <c r="AH27" s="24">
        <v>97</v>
      </c>
      <c r="AI27" s="25">
        <f>IF(birthdose[[#This Row],[2017]]/100=0, ,birthdose[[#This Row],[2017]]/100)</f>
        <v>0.97</v>
      </c>
      <c r="AK27" s="24" t="s">
        <v>52</v>
      </c>
      <c r="AL27" s="24" t="s">
        <v>254</v>
      </c>
      <c r="AM27" s="24">
        <v>92</v>
      </c>
      <c r="AN27" s="25">
        <f>IF(fullvax[[#This Row],[2017]]/100=0, ,fullvax[[#This Row],[2017]]/100)</f>
        <v>0.92</v>
      </c>
      <c r="AP27" s="20" t="s">
        <v>88</v>
      </c>
      <c r="AQ27" s="20">
        <v>0.98351924820766956</v>
      </c>
      <c r="AR27" s="20">
        <v>1.6480751792330439E-2</v>
      </c>
      <c r="AS27" s="20">
        <v>1.0935002463177685E-2</v>
      </c>
      <c r="AT27" s="20">
        <v>0.98906499753682231</v>
      </c>
      <c r="AV27" s="12" t="s">
        <v>47</v>
      </c>
      <c r="AW27" s="14" t="s">
        <v>11</v>
      </c>
      <c r="AX27" s="41">
        <f>VLOOKUP(all_cause_mort[[#This Row],[Country]],[1]!populations[#Data],9,FALSE)*VLOOKUP(all_cause_mort[[#This Row],[Country]],[1]!birthrate[#Data],3,FALSE)</f>
        <v>32117.261685999998</v>
      </c>
      <c r="AY27">
        <f>VLOOKUP(all_cause_mort[[Country]:[Country]],'[1]Mortality Data'!$A$2:$W$201,2,FALSE)</f>
        <v>6.0402325000000002E-3</v>
      </c>
      <c r="AZ27">
        <f>VLOOKUP(all_cause_mort[[Country]:[Country]],'[1]Mortality Data'!$A$2:$W$201,3,FALSE)</f>
        <v>1.939159E-4</v>
      </c>
      <c r="BA27">
        <f>VLOOKUP(all_cause_mort[[Country]:[Country]],'[1]Mortality Data'!$A$2:$W$201,4,FALSE)</f>
        <v>7.8832053999999994E-5</v>
      </c>
      <c r="BB27">
        <f>VLOOKUP(all_cause_mort[[Country]:[Country]],'[1]Mortality Data'!$A$2:$W$201,5,FALSE)</f>
        <v>1.4240849E-4</v>
      </c>
      <c r="BC27">
        <f>VLOOKUP(all_cause_mort[[Country]:[Country]],'[1]Mortality Data'!$A$2:$W$201,6,FALSE)</f>
        <v>2.3229245000000001E-4</v>
      </c>
      <c r="BD27">
        <f>VLOOKUP(all_cause_mort[[Country]:[Country]],'[1]Mortality Data'!$A$2:$W$201,7,FALSE)</f>
        <v>3.5424140000000001E-4</v>
      </c>
      <c r="BE27">
        <f>VLOOKUP(all_cause_mort[[Country]:[Country]],'[1]Mortality Data'!$A$2:$W$201,8,FALSE)</f>
        <v>4.1942398999999999E-4</v>
      </c>
      <c r="BF27">
        <f>VLOOKUP(all_cause_mort[[Country]:[Country]],'[1]Mortality Data'!$A$2:$W$201,9,FALSE)</f>
        <v>6.3370710999999995E-4</v>
      </c>
      <c r="BG27">
        <f>VLOOKUP(all_cause_mort[[Country]:[Country]],'[1]Mortality Data'!$A$2:$W$201,10,FALSE)</f>
        <v>8.7284910000000001E-4</v>
      </c>
      <c r="BH27">
        <f>VLOOKUP(all_cause_mort[[Country]:[Country]],'[1]Mortality Data'!$A$2:$W$201,11,FALSE)</f>
        <v>1.4318649E-3</v>
      </c>
      <c r="BI27">
        <f>VLOOKUP(all_cause_mort[[Country]:[Country]],'[1]Mortality Data'!$A$2:$W$201,12,FALSE)</f>
        <v>2.5983379999999999E-3</v>
      </c>
      <c r="BJ27">
        <f>VLOOKUP(all_cause_mort[[Country]:[Country]],'[1]Mortality Data'!$A$2:$W$201,13,FALSE)</f>
        <v>4.6078689000000001E-3</v>
      </c>
      <c r="BK27">
        <f>VLOOKUP(all_cause_mort[[Country]:[Country]],'[1]Mortality Data'!$A$2:$W$201,14,FALSE)</f>
        <v>7.4053047000000004E-3</v>
      </c>
      <c r="BL27">
        <f>VLOOKUP(all_cause_mort[[Country]:[Country]],'[1]Mortality Data'!$A$2:$W$201,15,FALSE)</f>
        <v>1.2136341E-2</v>
      </c>
      <c r="BM27">
        <f>VLOOKUP(all_cause_mort[[Country]:[Country]],'[1]Mortality Data'!$A$2:$W$201,16,FALSE)</f>
        <v>1.9539249000000002E-2</v>
      </c>
      <c r="BN27">
        <f>VLOOKUP(all_cause_mort[[Country]:[Country]],'[1]Mortality Data'!$A$2:$W$201,17,FALSE)</f>
        <v>3.3116898999999998E-2</v>
      </c>
      <c r="BO27">
        <f>VLOOKUP(all_cause_mort[[Country]:[Country]],'[1]Mortality Data'!$A$2:$W$201,18,FALSE)</f>
        <v>5.7350312000000001E-2</v>
      </c>
      <c r="BP27">
        <f>VLOOKUP(all_cause_mort[[Country]:[Country]],'[1]Mortality Data'!$A$2:$W$201,19,FALSE)</f>
        <v>9.3549371000000006E-2</v>
      </c>
      <c r="BQ27">
        <f>VLOOKUP(all_cause_mort[[Country]:[Country]],'[1]Mortality Data'!$A$2:$W$201,20,FALSE)</f>
        <v>0.15065823</v>
      </c>
      <c r="BR27">
        <f>VLOOKUP(all_cause_mort[[Country]:[Country]],'[1]Mortality Data'!$A$2:$W$201,21,FALSE)</f>
        <v>0.23397577999999999</v>
      </c>
      <c r="BS27">
        <f>VLOOKUP(all_cause_mort[[Country]:[Country]],'[1]Mortality Data'!$A$2:$W$201,22,FALSE)</f>
        <v>0.34715161999999999</v>
      </c>
      <c r="BT27">
        <f>VLOOKUP(all_cause_mort[[Country]:[Country]],'[1]Mortality Data'!$A$2:$W$201,23,FALSE)</f>
        <v>0.49513735506339301</v>
      </c>
      <c r="BU27" s="39" t="e">
        <f>VLOOKUP(all_cause_mort[[#This Row],[Country]],[2]!regions[#Data],3,FALSE)</f>
        <v>#REF!</v>
      </c>
    </row>
    <row r="28" spans="1:73" x14ac:dyDescent="0.35">
      <c r="A28" s="8" t="s">
        <v>45</v>
      </c>
      <c r="B28">
        <v>9918242</v>
      </c>
      <c r="C28">
        <v>10078343</v>
      </c>
      <c r="D28">
        <v>10239004</v>
      </c>
      <c r="E28">
        <v>10400264</v>
      </c>
      <c r="F28">
        <v>10562159</v>
      </c>
      <c r="G28">
        <v>10724705</v>
      </c>
      <c r="H28">
        <v>10887882</v>
      </c>
      <c r="I28">
        <v>11051600</v>
      </c>
      <c r="K28" s="8" t="s">
        <v>45</v>
      </c>
      <c r="L28">
        <v>23.251999999999999</v>
      </c>
      <c r="M28">
        <f>birthrate[[#This Row],[2016]]/1000</f>
        <v>2.3251999999999998E-2</v>
      </c>
      <c r="O28" t="s">
        <v>60</v>
      </c>
      <c r="P28">
        <v>98.4</v>
      </c>
      <c r="Q28">
        <f>facility[[#This Row],[Facility (%)]]/100</f>
        <v>0.9840000000000001</v>
      </c>
      <c r="S28" t="s">
        <v>55</v>
      </c>
      <c r="T28">
        <v>2015</v>
      </c>
      <c r="U28">
        <v>91.4</v>
      </c>
      <c r="V28">
        <f>SBA[[#This Row],[SBA (%)]]/100</f>
        <v>0.91400000000000003</v>
      </c>
      <c r="X28" s="10" t="s">
        <v>63</v>
      </c>
      <c r="Y28" s="10" t="s">
        <v>256</v>
      </c>
      <c r="Z28" s="21">
        <v>0.105</v>
      </c>
      <c r="AA28" s="21">
        <v>8.2000000000000003E-2</v>
      </c>
      <c r="AB28" s="21">
        <v>0.123</v>
      </c>
      <c r="AC28">
        <v>14899994</v>
      </c>
      <c r="AD28" s="27">
        <v>9.1836734693877559E-3</v>
      </c>
      <c r="AF28" s="24" t="s">
        <v>53</v>
      </c>
      <c r="AG28" s="24" t="s">
        <v>253</v>
      </c>
      <c r="AH28" s="24"/>
      <c r="AI28" s="25">
        <f>IF(birthdose[[#This Row],[2017]]/100=0, ,birthdose[[#This Row],[2017]]/100)</f>
        <v>0</v>
      </c>
      <c r="AK28" s="24" t="s">
        <v>53</v>
      </c>
      <c r="AL28" s="24" t="s">
        <v>254</v>
      </c>
      <c r="AM28" s="24">
        <v>91</v>
      </c>
      <c r="AN28" s="25">
        <f>IF(fullvax[[#This Row],[2017]]/100=0, ,fullvax[[#This Row],[2017]]/100)</f>
        <v>0.91</v>
      </c>
      <c r="AP28" s="20" t="s">
        <v>92</v>
      </c>
      <c r="AQ28" s="20">
        <v>0.98607404021234046</v>
      </c>
      <c r="AR28" s="20">
        <v>1.3925959787659536E-2</v>
      </c>
      <c r="AS28" s="20">
        <v>8.9587722136739156E-2</v>
      </c>
      <c r="AT28" s="20">
        <v>0.91041227786326084</v>
      </c>
      <c r="AV28" s="8" t="s">
        <v>48</v>
      </c>
      <c r="AW28" s="11" t="s">
        <v>15</v>
      </c>
      <c r="AX28" s="41">
        <f>VLOOKUP(all_cause_mort[[#This Row],[Country]],[1]!populations[#Data],9,FALSE)*VLOOKUP(all_cause_mort[[#This Row],[Country]],[1]!birthrate[#Data],3,FALSE)</f>
        <v>54241.324208999999</v>
      </c>
      <c r="AY28">
        <f>VLOOKUP(all_cause_mort[[Country]:[Country]],'[1]Mortality Data'!$A$2:$W$201,2,FALSE)</f>
        <v>3.0969974000000001E-2</v>
      </c>
      <c r="AZ28">
        <f>VLOOKUP(all_cause_mort[[Country]:[Country]],'[1]Mortality Data'!$A$2:$W$201,3,FALSE)</f>
        <v>2.0257418E-3</v>
      </c>
      <c r="BA28">
        <f>VLOOKUP(all_cause_mort[[Country]:[Country]],'[1]Mortality Data'!$A$2:$W$201,4,FALSE)</f>
        <v>5.2266919000000002E-4</v>
      </c>
      <c r="BB28">
        <f>VLOOKUP(all_cause_mort[[Country]:[Country]],'[1]Mortality Data'!$A$2:$W$201,5,FALSE)</f>
        <v>4.3886921000000002E-4</v>
      </c>
      <c r="BC28">
        <f>VLOOKUP(all_cause_mort[[Country]:[Country]],'[1]Mortality Data'!$A$2:$W$201,6,FALSE)</f>
        <v>7.8645829999999996E-4</v>
      </c>
      <c r="BD28">
        <f>VLOOKUP(all_cause_mort[[Country]:[Country]],'[1]Mortality Data'!$A$2:$W$201,7,FALSE)</f>
        <v>1.3873525000000001E-3</v>
      </c>
      <c r="BE28">
        <f>VLOOKUP(all_cause_mort[[Country]:[Country]],'[1]Mortality Data'!$A$2:$W$201,8,FALSE)</f>
        <v>2.2136392E-3</v>
      </c>
      <c r="BF28">
        <f>VLOOKUP(all_cause_mort[[Country]:[Country]],'[1]Mortality Data'!$A$2:$W$201,9,FALSE)</f>
        <v>3.1615366000000002E-3</v>
      </c>
      <c r="BG28">
        <f>VLOOKUP(all_cause_mort[[Country]:[Country]],'[1]Mortality Data'!$A$2:$W$201,10,FALSE)</f>
        <v>4.5662232000000004E-3</v>
      </c>
      <c r="BH28">
        <f>VLOOKUP(all_cause_mort[[Country]:[Country]],'[1]Mortality Data'!$A$2:$W$201,11,FALSE)</f>
        <v>5.7044540000000003E-3</v>
      </c>
      <c r="BI28">
        <f>VLOOKUP(all_cause_mort[[Country]:[Country]],'[1]Mortality Data'!$A$2:$W$201,12,FALSE)</f>
        <v>7.1301801999999999E-3</v>
      </c>
      <c r="BJ28">
        <f>VLOOKUP(all_cause_mort[[Country]:[Country]],'[1]Mortality Data'!$A$2:$W$201,13,FALSE)</f>
        <v>9.1612900000000008E-3</v>
      </c>
      <c r="BK28">
        <f>VLOOKUP(all_cause_mort[[Country]:[Country]],'[1]Mortality Data'!$A$2:$W$201,14,FALSE)</f>
        <v>1.1507106E-2</v>
      </c>
      <c r="BL28">
        <f>VLOOKUP(all_cause_mort[[Country]:[Country]],'[1]Mortality Data'!$A$2:$W$201,15,FALSE)</f>
        <v>1.6252664999999999E-2</v>
      </c>
      <c r="BM28">
        <f>VLOOKUP(all_cause_mort[[Country]:[Country]],'[1]Mortality Data'!$A$2:$W$201,16,FALSE)</f>
        <v>2.4879605999999999E-2</v>
      </c>
      <c r="BN28">
        <f>VLOOKUP(all_cause_mort[[Country]:[Country]],'[1]Mortality Data'!$A$2:$W$201,17,FALSE)</f>
        <v>3.9367595999999998E-2</v>
      </c>
      <c r="BO28">
        <f>VLOOKUP(all_cause_mort[[Country]:[Country]],'[1]Mortality Data'!$A$2:$W$201,18,FALSE)</f>
        <v>6.3412958000000005E-2</v>
      </c>
      <c r="BP28">
        <f>VLOOKUP(all_cause_mort[[Country]:[Country]],'[1]Mortality Data'!$A$2:$W$201,19,FALSE)</f>
        <v>0.10884399</v>
      </c>
      <c r="BQ28">
        <f>VLOOKUP(all_cause_mort[[Country]:[Country]],'[1]Mortality Data'!$A$2:$W$201,20,FALSE)</f>
        <v>0.18914632000000001</v>
      </c>
      <c r="BR28">
        <f>VLOOKUP(all_cause_mort[[Country]:[Country]],'[1]Mortality Data'!$A$2:$W$201,21,FALSE)</f>
        <v>0.32036890000000001</v>
      </c>
      <c r="BS28">
        <f>VLOOKUP(all_cause_mort[[Country]:[Country]],'[1]Mortality Data'!$A$2:$W$201,22,FALSE)</f>
        <v>0.46481059000000002</v>
      </c>
      <c r="BT28">
        <f>VLOOKUP(all_cause_mort[[Country]:[Country]],'[1]Mortality Data'!$A$2:$W$201,23,FALSE)</f>
        <v>0.61810920271268299</v>
      </c>
      <c r="BU28" s="39" t="e">
        <f>VLOOKUP(all_cause_mort[[#This Row],[Country]],[2]!regions[#Data],3,FALSE)</f>
        <v>#REF!</v>
      </c>
    </row>
    <row r="29" spans="1:73" x14ac:dyDescent="0.35">
      <c r="A29" t="s">
        <v>50</v>
      </c>
      <c r="B29">
        <v>196796269</v>
      </c>
      <c r="C29">
        <v>198686688</v>
      </c>
      <c r="D29">
        <v>200560983</v>
      </c>
      <c r="E29">
        <v>202408632</v>
      </c>
      <c r="F29">
        <v>204213133</v>
      </c>
      <c r="G29">
        <v>205962108</v>
      </c>
      <c r="H29">
        <v>207652865</v>
      </c>
      <c r="I29">
        <v>209288278</v>
      </c>
      <c r="K29" t="s">
        <v>50</v>
      </c>
      <c r="L29">
        <v>14.163</v>
      </c>
      <c r="M29">
        <f>birthrate[[#This Row],[2016]]/1000</f>
        <v>1.4163E-2</v>
      </c>
      <c r="O29" t="s">
        <v>270</v>
      </c>
      <c r="P29">
        <v>75.599999999999994</v>
      </c>
      <c r="Q29">
        <f>facility[[#This Row],[Facility (%)]]/100</f>
        <v>0.75599999999999989</v>
      </c>
      <c r="S29" t="s">
        <v>56</v>
      </c>
      <c r="T29" t="s">
        <v>271</v>
      </c>
      <c r="U29">
        <v>89</v>
      </c>
      <c r="V29">
        <f>SBA[[#This Row],[SBA (%)]]/100</f>
        <v>0.89</v>
      </c>
      <c r="X29" s="13" t="s">
        <v>64</v>
      </c>
      <c r="Y29" s="13" t="s">
        <v>256</v>
      </c>
      <c r="Z29" s="26">
        <v>1E-3</v>
      </c>
      <c r="AA29" s="26">
        <v>1E-3</v>
      </c>
      <c r="AB29" s="26">
        <v>2E-3</v>
      </c>
      <c r="AC29">
        <v>18054726</v>
      </c>
      <c r="AD29" s="27">
        <v>5.1020408163265311E-4</v>
      </c>
      <c r="AF29" s="24" t="s">
        <v>54</v>
      </c>
      <c r="AG29" s="24" t="s">
        <v>253</v>
      </c>
      <c r="AH29" s="24"/>
      <c r="AI29" s="25">
        <f>IF(birthdose[[#This Row],[2017]]/100=0, ,birthdose[[#This Row],[2017]]/100)</f>
        <v>0</v>
      </c>
      <c r="AK29" s="24" t="s">
        <v>54</v>
      </c>
      <c r="AL29" s="24" t="s">
        <v>254</v>
      </c>
      <c r="AM29" s="24">
        <v>91</v>
      </c>
      <c r="AN29" s="25">
        <f>IF(fullvax[[#This Row],[2017]]/100=0, ,fullvax[[#This Row],[2017]]/100)</f>
        <v>0.91</v>
      </c>
      <c r="AP29" s="20" t="s">
        <v>93</v>
      </c>
      <c r="AQ29" s="20">
        <v>0.89876745255997725</v>
      </c>
      <c r="AR29" s="20">
        <v>0.10123254744002275</v>
      </c>
      <c r="AS29" s="20">
        <v>2.5206904550905154E-2</v>
      </c>
      <c r="AT29" s="20">
        <v>0.97479309544909487</v>
      </c>
      <c r="AV29" s="12" t="s">
        <v>50</v>
      </c>
      <c r="AW29" s="14" t="s">
        <v>23</v>
      </c>
      <c r="AX29" s="41">
        <f>VLOOKUP(all_cause_mort[[#This Row],[Country]],[1]!populations[#Data],9,FALSE)*VLOOKUP(all_cause_mort[[#This Row],[Country]],[1]!birthrate[#Data],3,FALSE)</f>
        <v>2964149.8813140001</v>
      </c>
      <c r="AY29">
        <f>VLOOKUP(all_cause_mort[[Country]:[Country]],'[1]Mortality Data'!$A$2:$W$201,2,FALSE)</f>
        <v>1.3174124000000001E-2</v>
      </c>
      <c r="AZ29">
        <f>VLOOKUP(all_cause_mort[[Country]:[Country]],'[1]Mortality Data'!$A$2:$W$201,3,FALSE)</f>
        <v>5.6625385000000003E-4</v>
      </c>
      <c r="BA29">
        <f>VLOOKUP(all_cause_mort[[Country]:[Country]],'[1]Mortality Data'!$A$2:$W$201,4,FALSE)</f>
        <v>2.2618363E-4</v>
      </c>
      <c r="BB29">
        <f>VLOOKUP(all_cause_mort[[Country]:[Country]],'[1]Mortality Data'!$A$2:$W$201,5,FALSE)</f>
        <v>3.1079000999999998E-4</v>
      </c>
      <c r="BC29">
        <f>VLOOKUP(all_cause_mort[[Country]:[Country]],'[1]Mortality Data'!$A$2:$W$201,6,FALSE)</f>
        <v>1.0859554999999999E-3</v>
      </c>
      <c r="BD29">
        <f>VLOOKUP(all_cause_mort[[Country]:[Country]],'[1]Mortality Data'!$A$2:$W$201,7,FALSE)</f>
        <v>1.6530842E-3</v>
      </c>
      <c r="BE29">
        <f>VLOOKUP(all_cause_mort[[Country]:[Country]],'[1]Mortality Data'!$A$2:$W$201,8,FALSE)</f>
        <v>1.580098E-3</v>
      </c>
      <c r="BF29">
        <f>VLOOKUP(all_cause_mort[[Country]:[Country]],'[1]Mortality Data'!$A$2:$W$201,9,FALSE)</f>
        <v>1.8233072E-3</v>
      </c>
      <c r="BG29">
        <f>VLOOKUP(all_cause_mort[[Country]:[Country]],'[1]Mortality Data'!$A$2:$W$201,10,FALSE)</f>
        <v>2.3055901000000002E-3</v>
      </c>
      <c r="BH29">
        <f>VLOOKUP(all_cause_mort[[Country]:[Country]],'[1]Mortality Data'!$A$2:$W$201,11,FALSE)</f>
        <v>2.9700159999999998E-3</v>
      </c>
      <c r="BI29">
        <f>VLOOKUP(all_cause_mort[[Country]:[Country]],'[1]Mortality Data'!$A$2:$W$201,12,FALSE)</f>
        <v>4.2972098999999996E-3</v>
      </c>
      <c r="BJ29">
        <f>VLOOKUP(all_cause_mort[[Country]:[Country]],'[1]Mortality Data'!$A$2:$W$201,13,FALSE)</f>
        <v>6.1532295999999998E-3</v>
      </c>
      <c r="BK29">
        <f>VLOOKUP(all_cause_mort[[Country]:[Country]],'[1]Mortality Data'!$A$2:$W$201,14,FALSE)</f>
        <v>8.7493740000000007E-3</v>
      </c>
      <c r="BL29">
        <f>VLOOKUP(all_cause_mort[[Country]:[Country]],'[1]Mortality Data'!$A$2:$W$201,15,FALSE)</f>
        <v>1.3155154E-2</v>
      </c>
      <c r="BM29">
        <f>VLOOKUP(all_cause_mort[[Country]:[Country]],'[1]Mortality Data'!$A$2:$W$201,16,FALSE)</f>
        <v>1.9786016999999999E-2</v>
      </c>
      <c r="BN29">
        <f>VLOOKUP(all_cause_mort[[Country]:[Country]],'[1]Mortality Data'!$A$2:$W$201,17,FALSE)</f>
        <v>2.87052E-2</v>
      </c>
      <c r="BO29">
        <f>VLOOKUP(all_cause_mort[[Country]:[Country]],'[1]Mortality Data'!$A$2:$W$201,18,FALSE)</f>
        <v>4.4504811999999998E-2</v>
      </c>
      <c r="BP29">
        <f>VLOOKUP(all_cause_mort[[Country]:[Country]],'[1]Mortality Data'!$A$2:$W$201,19,FALSE)</f>
        <v>6.8069609000000003E-2</v>
      </c>
      <c r="BQ29">
        <f>VLOOKUP(all_cause_mort[[Country]:[Country]],'[1]Mortality Data'!$A$2:$W$201,20,FALSE)</f>
        <v>0.10192384</v>
      </c>
      <c r="BR29">
        <f>VLOOKUP(all_cause_mort[[Country]:[Country]],'[1]Mortality Data'!$A$2:$W$201,21,FALSE)</f>
        <v>0.14772637</v>
      </c>
      <c r="BS29">
        <f>VLOOKUP(all_cause_mort[[Country]:[Country]],'[1]Mortality Data'!$A$2:$W$201,22,FALSE)</f>
        <v>0.22369322</v>
      </c>
      <c r="BT29">
        <f>VLOOKUP(all_cause_mort[[Country]:[Country]],'[1]Mortality Data'!$A$2:$W$201,23,FALSE)</f>
        <v>0.33541437830207099</v>
      </c>
      <c r="BU29" s="39" t="e">
        <f>VLOOKUP(all_cause_mort[[#This Row],[Country]],[2]!regions[#Data],3,FALSE)</f>
        <v>#REF!</v>
      </c>
    </row>
    <row r="30" spans="1:73" x14ac:dyDescent="0.35">
      <c r="A30" t="s">
        <v>38</v>
      </c>
      <c r="B30">
        <v>279569</v>
      </c>
      <c r="C30">
        <v>280601</v>
      </c>
      <c r="D30">
        <v>281585</v>
      </c>
      <c r="E30">
        <v>282509</v>
      </c>
      <c r="F30">
        <v>283385</v>
      </c>
      <c r="G30">
        <v>284217</v>
      </c>
      <c r="H30">
        <v>284996</v>
      </c>
      <c r="I30">
        <v>285719</v>
      </c>
      <c r="K30" t="s">
        <v>38</v>
      </c>
      <c r="L30">
        <v>11.904999999999999</v>
      </c>
      <c r="M30">
        <f>birthrate[[#This Row],[2016]]/1000</f>
        <v>1.1904999999999999E-2</v>
      </c>
      <c r="O30" t="s">
        <v>62</v>
      </c>
      <c r="P30">
        <v>52.5</v>
      </c>
      <c r="Q30">
        <f>facility[[#This Row],[Facility (%)]]/100</f>
        <v>0.52500000000000002</v>
      </c>
      <c r="S30" t="s">
        <v>59</v>
      </c>
      <c r="T30" t="s">
        <v>264</v>
      </c>
      <c r="U30">
        <v>64.7</v>
      </c>
      <c r="V30">
        <f>SBA[[#This Row],[SBA (%)]]/100</f>
        <v>0.64700000000000002</v>
      </c>
      <c r="X30" s="10" t="s">
        <v>65</v>
      </c>
      <c r="Y30" s="10" t="s">
        <v>256</v>
      </c>
      <c r="Z30" s="21">
        <v>6.0999999999999999E-2</v>
      </c>
      <c r="AA30" s="21">
        <v>5.5E-2</v>
      </c>
      <c r="AB30" s="21">
        <v>6.9000000000000006E-2</v>
      </c>
      <c r="AC30">
        <v>1386395000</v>
      </c>
      <c r="AD30" s="27">
        <v>4.0816326530612283E-3</v>
      </c>
      <c r="AF30" s="24" t="s">
        <v>55</v>
      </c>
      <c r="AG30" s="24" t="s">
        <v>253</v>
      </c>
      <c r="AH30" s="24">
        <v>96</v>
      </c>
      <c r="AI30" s="25">
        <f>IF(birthdose[[#This Row],[2017]]/100=0, ,birthdose[[#This Row],[2017]]/100)</f>
        <v>0.96</v>
      </c>
      <c r="AK30" s="24" t="s">
        <v>55</v>
      </c>
      <c r="AL30" s="24" t="s">
        <v>254</v>
      </c>
      <c r="AM30" s="24">
        <v>97</v>
      </c>
      <c r="AN30" s="25">
        <f>IF(fullvax[[#This Row],[2017]]/100=0, ,fullvax[[#This Row],[2017]]/100)</f>
        <v>0.97</v>
      </c>
      <c r="AP30" s="20" t="s">
        <v>96</v>
      </c>
      <c r="AQ30" s="20">
        <v>0.99300137514339248</v>
      </c>
      <c r="AR30" s="20">
        <v>6.998624856607516E-3</v>
      </c>
      <c r="AS30" s="20">
        <v>4.5174010678930926E-2</v>
      </c>
      <c r="AT30" s="20">
        <v>0.9548259893210691</v>
      </c>
      <c r="AV30" s="12" t="s">
        <v>52</v>
      </c>
      <c r="AW30" s="14" t="s">
        <v>11</v>
      </c>
      <c r="AX30" s="41">
        <f>VLOOKUP(all_cause_mort[[#This Row],[Country]],[1]!populations[#Data],9,FALSE)*VLOOKUP(all_cause_mort[[#This Row],[Country]],[1]!birthrate[#Data],3,FALSE)</f>
        <v>64391.518100000001</v>
      </c>
      <c r="AY30">
        <f>VLOOKUP(all_cause_mort[[Country]:[Country]],'[1]Mortality Data'!$A$2:$W$201,2,FALSE)</f>
        <v>6.3243541000000004E-3</v>
      </c>
      <c r="AZ30">
        <f>VLOOKUP(all_cause_mort[[Country]:[Country]],'[1]Mortality Data'!$A$2:$W$201,3,FALSE)</f>
        <v>2.9440324000000001E-4</v>
      </c>
      <c r="BA30">
        <f>VLOOKUP(all_cause_mort[[Country]:[Country]],'[1]Mortality Data'!$A$2:$W$201,4,FALSE)</f>
        <v>1.4204616000000001E-4</v>
      </c>
      <c r="BB30">
        <f>VLOOKUP(all_cause_mort[[Country]:[Country]],'[1]Mortality Data'!$A$2:$W$201,5,FALSE)</f>
        <v>1.6843173000000001E-4</v>
      </c>
      <c r="BC30">
        <f>VLOOKUP(all_cause_mort[[Country]:[Country]],'[1]Mortality Data'!$A$2:$W$201,6,FALSE)</f>
        <v>4.4165676000000001E-4</v>
      </c>
      <c r="BD30">
        <f>VLOOKUP(all_cause_mort[[Country]:[Country]],'[1]Mortality Data'!$A$2:$W$201,7,FALSE)</f>
        <v>5.8318457000000005E-4</v>
      </c>
      <c r="BE30">
        <f>VLOOKUP(all_cause_mort[[Country]:[Country]],'[1]Mortality Data'!$A$2:$W$201,8,FALSE)</f>
        <v>6.8126362E-4</v>
      </c>
      <c r="BF30">
        <f>VLOOKUP(all_cause_mort[[Country]:[Country]],'[1]Mortality Data'!$A$2:$W$201,9,FALSE)</f>
        <v>9.7934057000000009E-4</v>
      </c>
      <c r="BG30">
        <f>VLOOKUP(all_cause_mort[[Country]:[Country]],'[1]Mortality Data'!$A$2:$W$201,10,FALSE)</f>
        <v>1.4567264999999999E-3</v>
      </c>
      <c r="BH30">
        <f>VLOOKUP(all_cause_mort[[Country]:[Country]],'[1]Mortality Data'!$A$2:$W$201,11,FALSE)</f>
        <v>2.4462739E-3</v>
      </c>
      <c r="BI30">
        <f>VLOOKUP(all_cause_mort[[Country]:[Country]],'[1]Mortality Data'!$A$2:$W$201,12,FALSE)</f>
        <v>4.3520086000000003E-3</v>
      </c>
      <c r="BJ30">
        <f>VLOOKUP(all_cause_mort[[Country]:[Country]],'[1]Mortality Data'!$A$2:$W$201,13,FALSE)</f>
        <v>7.1978516000000001E-3</v>
      </c>
      <c r="BK30">
        <f>VLOOKUP(all_cause_mort[[Country]:[Country]],'[1]Mortality Data'!$A$2:$W$201,14,FALSE)</f>
        <v>1.1178314999999999E-2</v>
      </c>
      <c r="BL30">
        <f>VLOOKUP(all_cause_mort[[Country]:[Country]],'[1]Mortality Data'!$A$2:$W$201,15,FALSE)</f>
        <v>1.6307233000000001E-2</v>
      </c>
      <c r="BM30">
        <f>VLOOKUP(all_cause_mort[[Country]:[Country]],'[1]Mortality Data'!$A$2:$W$201,16,FALSE)</f>
        <v>2.3210957000000001E-2</v>
      </c>
      <c r="BN30">
        <f>VLOOKUP(all_cause_mort[[Country]:[Country]],'[1]Mortality Data'!$A$2:$W$201,17,FALSE)</f>
        <v>3.3853842000000002E-2</v>
      </c>
      <c r="BO30">
        <f>VLOOKUP(all_cause_mort[[Country]:[Country]],'[1]Mortality Data'!$A$2:$W$201,18,FALSE)</f>
        <v>5.4165828999999999E-2</v>
      </c>
      <c r="BP30">
        <f>VLOOKUP(all_cause_mort[[Country]:[Country]],'[1]Mortality Data'!$A$2:$W$201,19,FALSE)</f>
        <v>9.5032077000000006E-2</v>
      </c>
      <c r="BQ30">
        <f>VLOOKUP(all_cause_mort[[Country]:[Country]],'[1]Mortality Data'!$A$2:$W$201,20,FALSE)</f>
        <v>0.19775761</v>
      </c>
      <c r="BR30">
        <f>VLOOKUP(all_cause_mort[[Country]:[Country]],'[1]Mortality Data'!$A$2:$W$201,21,FALSE)</f>
        <v>0.26826402999999999</v>
      </c>
      <c r="BS30">
        <f>VLOOKUP(all_cause_mort[[Country]:[Country]],'[1]Mortality Data'!$A$2:$W$201,22,FALSE)</f>
        <v>0.40889629999999999</v>
      </c>
      <c r="BT30">
        <f>VLOOKUP(all_cause_mort[[Country]:[Country]],'[1]Mortality Data'!$A$2:$W$201,23,FALSE)</f>
        <v>0.57599287059064497</v>
      </c>
      <c r="BU30" s="39" t="e">
        <f>VLOOKUP(all_cause_mort[[#This Row],[Country]],[2]!regions[#Data],3,FALSE)</f>
        <v>#REF!</v>
      </c>
    </row>
    <row r="31" spans="1:73" x14ac:dyDescent="0.35">
      <c r="A31" t="s">
        <v>51</v>
      </c>
      <c r="B31">
        <v>388662</v>
      </c>
      <c r="C31">
        <v>394013</v>
      </c>
      <c r="D31">
        <v>399748</v>
      </c>
      <c r="E31">
        <v>405716</v>
      </c>
      <c r="F31">
        <v>411704</v>
      </c>
      <c r="G31">
        <v>417542</v>
      </c>
      <c r="H31">
        <v>423196</v>
      </c>
      <c r="I31">
        <v>428697</v>
      </c>
      <c r="K31" t="s">
        <v>51</v>
      </c>
      <c r="L31">
        <v>15.872999999999999</v>
      </c>
      <c r="M31">
        <f>birthrate[[#This Row],[2016]]/1000</f>
        <v>1.5872999999999998E-2</v>
      </c>
      <c r="O31" t="s">
        <v>63</v>
      </c>
      <c r="P31">
        <v>21.7</v>
      </c>
      <c r="Q31">
        <f>facility[[#This Row],[Facility (%)]]/100</f>
        <v>0.217</v>
      </c>
      <c r="S31" t="s">
        <v>60</v>
      </c>
      <c r="T31">
        <v>2014</v>
      </c>
      <c r="U31">
        <v>97.9</v>
      </c>
      <c r="V31">
        <f>SBA[[#This Row],[SBA (%)]]/100</f>
        <v>0.97900000000000009</v>
      </c>
      <c r="X31" s="13" t="s">
        <v>66</v>
      </c>
      <c r="Y31" s="13" t="s">
        <v>256</v>
      </c>
      <c r="Z31" s="26">
        <v>3.0000000000000001E-3</v>
      </c>
      <c r="AA31" s="26">
        <v>1E-3</v>
      </c>
      <c r="AB31" s="26">
        <v>2.1999999999999999E-2</v>
      </c>
      <c r="AC31">
        <v>49065615</v>
      </c>
      <c r="AD31" s="27">
        <v>9.6938775510204082E-3</v>
      </c>
      <c r="AF31" s="24" t="s">
        <v>56</v>
      </c>
      <c r="AG31" s="24" t="s">
        <v>253</v>
      </c>
      <c r="AH31" s="24">
        <v>79</v>
      </c>
      <c r="AI31" s="25">
        <f>IF(birthdose[[#This Row],[2017]]/100=0, ,birthdose[[#This Row],[2017]]/100)</f>
        <v>0.79</v>
      </c>
      <c r="AK31" s="24" t="s">
        <v>56</v>
      </c>
      <c r="AL31" s="24" t="s">
        <v>254</v>
      </c>
      <c r="AM31" s="24">
        <v>93</v>
      </c>
      <c r="AN31" s="25">
        <f>IF(fullvax[[#This Row],[2017]]/100=0, ,fullvax[[#This Row],[2017]]/100)</f>
        <v>0.93</v>
      </c>
      <c r="AP31" s="20" t="s">
        <v>99</v>
      </c>
      <c r="AQ31" s="20">
        <v>0.98467463445414083</v>
      </c>
      <c r="AR31" s="20">
        <v>1.5325365545859171E-2</v>
      </c>
      <c r="AS31" s="20">
        <v>1.0107783587950853E-2</v>
      </c>
      <c r="AT31" s="20">
        <v>0.98989221641204916</v>
      </c>
      <c r="AV31" s="8" t="s">
        <v>53</v>
      </c>
      <c r="AW31" s="11" t="s">
        <v>15</v>
      </c>
      <c r="AX31" s="41">
        <f>VLOOKUP(all_cause_mort[[#This Row],[Country]],[1]!populations[#Data],9,FALSE)*VLOOKUP(all_cause_mort[[#This Row],[Country]],[1]!birthrate[#Data],3,FALSE)</f>
        <v>747006.42744000012</v>
      </c>
      <c r="AY31">
        <f>VLOOKUP(all_cause_mort[[Country]:[Country]],'[1]Mortality Data'!$A$2:$W$201,2,FALSE)</f>
        <v>5.6670724999999998E-2</v>
      </c>
      <c r="AZ31">
        <f>VLOOKUP(all_cause_mort[[Country]:[Country]],'[1]Mortality Data'!$A$2:$W$201,3,FALSE)</f>
        <v>7.9561192000000003E-3</v>
      </c>
      <c r="BA31">
        <f>VLOOKUP(all_cause_mort[[Country]:[Country]],'[1]Mortality Data'!$A$2:$W$201,4,FALSE)</f>
        <v>2.7283332E-3</v>
      </c>
      <c r="BB31">
        <f>VLOOKUP(all_cause_mort[[Country]:[Country]],'[1]Mortality Data'!$A$2:$W$201,5,FALSE)</f>
        <v>1.6175550999999999E-3</v>
      </c>
      <c r="BC31">
        <f>VLOOKUP(all_cause_mort[[Country]:[Country]],'[1]Mortality Data'!$A$2:$W$201,6,FALSE)</f>
        <v>2.4707928000000001E-3</v>
      </c>
      <c r="BD31">
        <f>VLOOKUP(all_cause_mort[[Country]:[Country]],'[1]Mortality Data'!$A$2:$W$201,7,FALSE)</f>
        <v>3.4695579000000002E-3</v>
      </c>
      <c r="BE31">
        <f>VLOOKUP(all_cause_mort[[Country]:[Country]],'[1]Mortality Data'!$A$2:$W$201,8,FALSE)</f>
        <v>3.7178478000000001E-3</v>
      </c>
      <c r="BF31">
        <f>VLOOKUP(all_cause_mort[[Country]:[Country]],'[1]Mortality Data'!$A$2:$W$201,9,FALSE)</f>
        <v>4.1098323000000004E-3</v>
      </c>
      <c r="BG31">
        <f>VLOOKUP(all_cause_mort[[Country]:[Country]],'[1]Mortality Data'!$A$2:$W$201,10,FALSE)</f>
        <v>4.7204261999999999E-3</v>
      </c>
      <c r="BH31">
        <f>VLOOKUP(all_cause_mort[[Country]:[Country]],'[1]Mortality Data'!$A$2:$W$201,11,FALSE)</f>
        <v>5.8167082000000004E-3</v>
      </c>
      <c r="BI31">
        <f>VLOOKUP(all_cause_mort[[Country]:[Country]],'[1]Mortality Data'!$A$2:$W$201,12,FALSE)</f>
        <v>7.3107266999999998E-3</v>
      </c>
      <c r="BJ31">
        <f>VLOOKUP(all_cause_mort[[Country]:[Country]],'[1]Mortality Data'!$A$2:$W$201,13,FALSE)</f>
        <v>1.032632E-2</v>
      </c>
      <c r="BK31">
        <f>VLOOKUP(all_cause_mort[[Country]:[Country]],'[1]Mortality Data'!$A$2:$W$201,14,FALSE)</f>
        <v>1.4825661E-2</v>
      </c>
      <c r="BL31">
        <f>VLOOKUP(all_cause_mort[[Country]:[Country]],'[1]Mortality Data'!$A$2:$W$201,15,FALSE)</f>
        <v>2.3500014E-2</v>
      </c>
      <c r="BM31">
        <f>VLOOKUP(all_cause_mort[[Country]:[Country]],'[1]Mortality Data'!$A$2:$W$201,16,FALSE)</f>
        <v>3.7373742000000001E-2</v>
      </c>
      <c r="BN31">
        <f>VLOOKUP(all_cause_mort[[Country]:[Country]],'[1]Mortality Data'!$A$2:$W$201,17,FALSE)</f>
        <v>6.3455684999999998E-2</v>
      </c>
      <c r="BO31">
        <f>VLOOKUP(all_cause_mort[[Country]:[Country]],'[1]Mortality Data'!$A$2:$W$201,18,FALSE)</f>
        <v>0.10738005</v>
      </c>
      <c r="BP31">
        <f>VLOOKUP(all_cause_mort[[Country]:[Country]],'[1]Mortality Data'!$A$2:$W$201,19,FALSE)</f>
        <v>0.17871722000000001</v>
      </c>
      <c r="BQ31">
        <f>VLOOKUP(all_cause_mort[[Country]:[Country]],'[1]Mortality Data'!$A$2:$W$201,20,FALSE)</f>
        <v>0.27899512999999998</v>
      </c>
      <c r="BR31">
        <f>VLOOKUP(all_cause_mort[[Country]:[Country]],'[1]Mortality Data'!$A$2:$W$201,21,FALSE)</f>
        <v>0.40755004</v>
      </c>
      <c r="BS31">
        <f>VLOOKUP(all_cause_mort[[Country]:[Country]],'[1]Mortality Data'!$A$2:$W$201,22,FALSE)</f>
        <v>0.57030132</v>
      </c>
      <c r="BT31">
        <f>VLOOKUP(all_cause_mort[[Country]:[Country]],'[1]Mortality Data'!$A$2:$W$201,23,FALSE)</f>
        <v>1.66790233210941</v>
      </c>
      <c r="BU31" s="39" t="e">
        <f>VLOOKUP(all_cause_mort[[#This Row],[Country]],[2]!regions[#Data],3,FALSE)</f>
        <v>#REF!</v>
      </c>
    </row>
    <row r="32" spans="1:73" x14ac:dyDescent="0.35">
      <c r="A32" t="s">
        <v>44</v>
      </c>
      <c r="B32">
        <v>727641</v>
      </c>
      <c r="C32">
        <v>740510</v>
      </c>
      <c r="D32">
        <v>752967</v>
      </c>
      <c r="E32">
        <v>764961</v>
      </c>
      <c r="F32">
        <v>776448</v>
      </c>
      <c r="G32">
        <v>787386</v>
      </c>
      <c r="H32">
        <v>797765</v>
      </c>
      <c r="I32">
        <v>807610</v>
      </c>
      <c r="K32" t="s">
        <v>44</v>
      </c>
      <c r="L32">
        <v>18.164999999999999</v>
      </c>
      <c r="M32">
        <f>birthrate[[#This Row],[2016]]/1000</f>
        <v>1.8165000000000001E-2</v>
      </c>
      <c r="O32" t="s">
        <v>64</v>
      </c>
      <c r="P32">
        <v>99.65</v>
      </c>
      <c r="Q32">
        <f>facility[[#This Row],[Facility (%)]]/100</f>
        <v>0.99650000000000005</v>
      </c>
      <c r="S32" t="s">
        <v>62</v>
      </c>
      <c r="T32" t="s">
        <v>272</v>
      </c>
      <c r="U32">
        <v>40</v>
      </c>
      <c r="V32">
        <f>SBA[[#This Row],[SBA (%)]]/100</f>
        <v>0.4</v>
      </c>
      <c r="X32" s="13" t="s">
        <v>68</v>
      </c>
      <c r="Y32" s="13" t="s">
        <v>252</v>
      </c>
      <c r="Z32" s="26">
        <v>0.1095</v>
      </c>
      <c r="AA32" s="26">
        <v>9.7500000000000003E-2</v>
      </c>
      <c r="AB32" s="26">
        <v>0.1229</v>
      </c>
      <c r="AC32" s="22">
        <v>4386693</v>
      </c>
      <c r="AD32" s="27">
        <v>6.8367346938775489E-3</v>
      </c>
      <c r="AF32" s="24" t="s">
        <v>59</v>
      </c>
      <c r="AG32" s="24" t="s">
        <v>253</v>
      </c>
      <c r="AH32" s="24"/>
      <c r="AI32" s="25">
        <f>IF(birthdose[[#This Row],[2017]]/100=0, ,birthdose[[#This Row],[2017]]/100)</f>
        <v>0</v>
      </c>
      <c r="AK32" s="24" t="s">
        <v>59</v>
      </c>
      <c r="AL32" s="24" t="s">
        <v>254</v>
      </c>
      <c r="AM32" s="24">
        <v>86</v>
      </c>
      <c r="AN32" s="25">
        <f>IF(fullvax[[#This Row],[2017]]/100=0, ,fullvax[[#This Row],[2017]]/100)</f>
        <v>0.86</v>
      </c>
      <c r="AP32" s="20" t="s">
        <v>100</v>
      </c>
      <c r="AQ32" s="20">
        <v>0.96417636170144783</v>
      </c>
      <c r="AR32" s="20">
        <v>3.5823638298552174E-2</v>
      </c>
      <c r="AS32" s="20">
        <v>0.11479908972901186</v>
      </c>
      <c r="AT32" s="20">
        <v>0.88520091027098813</v>
      </c>
      <c r="AV32" s="12" t="s">
        <v>54</v>
      </c>
      <c r="AW32" s="14" t="s">
        <v>15</v>
      </c>
      <c r="AX32" s="41">
        <f>VLOOKUP(all_cause_mort[[#This Row],[Country]],[1]!populations[#Data],9,FALSE)*VLOOKUP(all_cause_mort[[#This Row],[Country]],[1]!birthrate[#Data],3,FALSE)</f>
        <v>458992.62276</v>
      </c>
      <c r="AY32">
        <f>VLOOKUP(all_cause_mort[[Country]:[Country]],'[1]Mortality Data'!$A$2:$W$201,2,FALSE)</f>
        <v>4.4002563000000001E-2</v>
      </c>
      <c r="AZ32">
        <f>VLOOKUP(all_cause_mort[[Country]:[Country]],'[1]Mortality Data'!$A$2:$W$201,3,FALSE)</f>
        <v>5.3087176000000003E-3</v>
      </c>
      <c r="BA32">
        <f>VLOOKUP(all_cause_mort[[Country]:[Country]],'[1]Mortality Data'!$A$2:$W$201,4,FALSE)</f>
        <v>4.0470102000000003E-3</v>
      </c>
      <c r="BB32">
        <f>VLOOKUP(all_cause_mort[[Country]:[Country]],'[1]Mortality Data'!$A$2:$W$201,5,FALSE)</f>
        <v>2.5153480000000001E-3</v>
      </c>
      <c r="BC32">
        <f>VLOOKUP(all_cause_mort[[Country]:[Country]],'[1]Mortality Data'!$A$2:$W$201,6,FALSE)</f>
        <v>2.9648805000000002E-3</v>
      </c>
      <c r="BD32">
        <f>VLOOKUP(all_cause_mort[[Country]:[Country]],'[1]Mortality Data'!$A$2:$W$201,7,FALSE)</f>
        <v>3.8812193000000001E-3</v>
      </c>
      <c r="BE32">
        <f>VLOOKUP(all_cause_mort[[Country]:[Country]],'[1]Mortality Data'!$A$2:$W$201,8,FALSE)</f>
        <v>4.6557055000000002E-3</v>
      </c>
      <c r="BF32">
        <f>VLOOKUP(all_cause_mort[[Country]:[Country]],'[1]Mortality Data'!$A$2:$W$201,9,FALSE)</f>
        <v>5.7472584999999996E-3</v>
      </c>
      <c r="BG32">
        <f>VLOOKUP(all_cause_mort[[Country]:[Country]],'[1]Mortality Data'!$A$2:$W$201,10,FALSE)</f>
        <v>7.2310190999999996E-3</v>
      </c>
      <c r="BH32">
        <f>VLOOKUP(all_cause_mort[[Country]:[Country]],'[1]Mortality Data'!$A$2:$W$201,11,FALSE)</f>
        <v>8.0515967000000001E-3</v>
      </c>
      <c r="BI32">
        <f>VLOOKUP(all_cause_mort[[Country]:[Country]],'[1]Mortality Data'!$A$2:$W$201,12,FALSE)</f>
        <v>8.7783598999999993E-3</v>
      </c>
      <c r="BJ32">
        <f>VLOOKUP(all_cause_mort[[Country]:[Country]],'[1]Mortality Data'!$A$2:$W$201,13,FALSE)</f>
        <v>1.1128275E-2</v>
      </c>
      <c r="BK32">
        <f>VLOOKUP(all_cause_mort[[Country]:[Country]],'[1]Mortality Data'!$A$2:$W$201,14,FALSE)</f>
        <v>1.4698086000000001E-2</v>
      </c>
      <c r="BL32">
        <f>VLOOKUP(all_cause_mort[[Country]:[Country]],'[1]Mortality Data'!$A$2:$W$201,15,FALSE)</f>
        <v>2.2093853E-2</v>
      </c>
      <c r="BM32">
        <f>VLOOKUP(all_cause_mort[[Country]:[Country]],'[1]Mortality Data'!$A$2:$W$201,16,FALSE)</f>
        <v>3.4283919000000003E-2</v>
      </c>
      <c r="BN32">
        <f>VLOOKUP(all_cause_mort[[Country]:[Country]],'[1]Mortality Data'!$A$2:$W$201,17,FALSE)</f>
        <v>5.4538338999999998E-2</v>
      </c>
      <c r="BO32">
        <f>VLOOKUP(all_cause_mort[[Country]:[Country]],'[1]Mortality Data'!$A$2:$W$201,18,FALSE)</f>
        <v>8.6333403000000003E-2</v>
      </c>
      <c r="BP32">
        <f>VLOOKUP(all_cause_mort[[Country]:[Country]],'[1]Mortality Data'!$A$2:$W$201,19,FALSE)</f>
        <v>0.13705558000000001</v>
      </c>
      <c r="BQ32">
        <f>VLOOKUP(all_cause_mort[[Country]:[Country]],'[1]Mortality Data'!$A$2:$W$201,20,FALSE)</f>
        <v>0.20986234000000001</v>
      </c>
      <c r="BR32">
        <f>VLOOKUP(all_cause_mort[[Country]:[Country]],'[1]Mortality Data'!$A$2:$W$201,21,FALSE)</f>
        <v>0.30324363999999998</v>
      </c>
      <c r="BS32">
        <f>VLOOKUP(all_cause_mort[[Country]:[Country]],'[1]Mortality Data'!$A$2:$W$201,22,FALSE)</f>
        <v>0.41067430999999999</v>
      </c>
      <c r="BT32">
        <f>VLOOKUP(all_cause_mort[[Country]:[Country]],'[1]Mortality Data'!$A$2:$W$201,23,FALSE)</f>
        <v>0.54752398702587202</v>
      </c>
      <c r="BU32" s="39" t="e">
        <f>VLOOKUP(all_cause_mort[[#This Row],[Country]],[2]!regions[#Data],3,FALSE)</f>
        <v>#REF!</v>
      </c>
    </row>
    <row r="33" spans="1:73" x14ac:dyDescent="0.35">
      <c r="A33" t="s">
        <v>48</v>
      </c>
      <c r="B33">
        <v>2014866</v>
      </c>
      <c r="C33">
        <v>2051339</v>
      </c>
      <c r="D33">
        <v>2089315</v>
      </c>
      <c r="E33">
        <v>2128507</v>
      </c>
      <c r="F33">
        <v>2168573</v>
      </c>
      <c r="G33">
        <v>2209197</v>
      </c>
      <c r="H33">
        <v>2250260</v>
      </c>
      <c r="I33">
        <v>2291661</v>
      </c>
      <c r="K33" t="s">
        <v>48</v>
      </c>
      <c r="L33">
        <v>23.669</v>
      </c>
      <c r="M33">
        <f>birthrate[[#This Row],[2016]]/1000</f>
        <v>2.3668999999999999E-2</v>
      </c>
      <c r="O33" t="s">
        <v>65</v>
      </c>
      <c r="P33">
        <v>99.7</v>
      </c>
      <c r="Q33">
        <f>facility[[#This Row],[Facility (%)]]/100</f>
        <v>0.997</v>
      </c>
      <c r="S33" t="s">
        <v>63</v>
      </c>
      <c r="T33" t="s">
        <v>273</v>
      </c>
      <c r="U33">
        <v>20.2</v>
      </c>
      <c r="V33">
        <f>SBA[[#This Row],[SBA (%)]]/100</f>
        <v>0.20199999999999999</v>
      </c>
      <c r="X33" s="10" t="s">
        <v>70</v>
      </c>
      <c r="Y33" s="10" t="s">
        <v>256</v>
      </c>
      <c r="Z33" s="21">
        <v>2E-3</v>
      </c>
      <c r="AA33" s="21">
        <v>1E-3</v>
      </c>
      <c r="AB33" s="21">
        <v>2E-3</v>
      </c>
      <c r="AC33">
        <v>4905769</v>
      </c>
      <c r="AD33" s="27">
        <v>5.102040816326522E-5</v>
      </c>
      <c r="AF33" s="24" t="s">
        <v>60</v>
      </c>
      <c r="AG33" s="24" t="s">
        <v>253</v>
      </c>
      <c r="AH33" s="24"/>
      <c r="AI33" s="25">
        <f>IF(birthdose[[#This Row],[2017]]/100=0, ,birthdose[[#This Row],[2017]]/100)</f>
        <v>0</v>
      </c>
      <c r="AK33" s="24" t="s">
        <v>60</v>
      </c>
      <c r="AL33" s="24" t="s">
        <v>254</v>
      </c>
      <c r="AM33" s="24">
        <v>69</v>
      </c>
      <c r="AN33" s="25">
        <f>IF(fullvax[[#This Row],[2017]]/100=0, ,fullvax[[#This Row],[2017]]/100)</f>
        <v>0.69</v>
      </c>
      <c r="AP33" s="20" t="s">
        <v>102</v>
      </c>
      <c r="AQ33" s="20">
        <v>0.99141291738828874</v>
      </c>
      <c r="AR33" s="20">
        <v>8.5870826117112609E-3</v>
      </c>
      <c r="AS33" s="20">
        <v>0.3615578527384839</v>
      </c>
      <c r="AT33" s="20">
        <v>0.63844214726151605</v>
      </c>
      <c r="AV33" s="8" t="s">
        <v>55</v>
      </c>
      <c r="AW33" s="11" t="s">
        <v>15</v>
      </c>
      <c r="AX33" s="41">
        <f>VLOOKUP(all_cause_mort[[#This Row],[Country]],[1]!populations[#Data],9,FALSE)*VLOOKUP(all_cause_mort[[#This Row],[Country]],[1]!birthrate[#Data],3,FALSE)</f>
        <v>11420.055587999999</v>
      </c>
      <c r="AY33">
        <f>VLOOKUP(all_cause_mort[[Country]:[Country]],'[1]Mortality Data'!$A$2:$W$201,2,FALSE)</f>
        <v>1.7153295999999998E-2</v>
      </c>
      <c r="AZ33">
        <f>VLOOKUP(all_cause_mort[[Country]:[Country]],'[1]Mortality Data'!$A$2:$W$201,3,FALSE)</f>
        <v>8.8542310000000002E-4</v>
      </c>
      <c r="BA33">
        <f>VLOOKUP(all_cause_mort[[Country]:[Country]],'[1]Mortality Data'!$A$2:$W$201,4,FALSE)</f>
        <v>3.6051565E-4</v>
      </c>
      <c r="BB33">
        <f>VLOOKUP(all_cause_mort[[Country]:[Country]],'[1]Mortality Data'!$A$2:$W$201,5,FALSE)</f>
        <v>3.1768729999999998E-4</v>
      </c>
      <c r="BC33">
        <f>VLOOKUP(all_cause_mort[[Country]:[Country]],'[1]Mortality Data'!$A$2:$W$201,6,FALSE)</f>
        <v>7.1992015999999999E-4</v>
      </c>
      <c r="BD33">
        <f>VLOOKUP(all_cause_mort[[Country]:[Country]],'[1]Mortality Data'!$A$2:$W$201,7,FALSE)</f>
        <v>9.896588999999999E-4</v>
      </c>
      <c r="BE33">
        <f>VLOOKUP(all_cause_mort[[Country]:[Country]],'[1]Mortality Data'!$A$2:$W$201,8,FALSE)</f>
        <v>1.0576461E-3</v>
      </c>
      <c r="BF33">
        <f>VLOOKUP(all_cause_mort[[Country]:[Country]],'[1]Mortality Data'!$A$2:$W$201,9,FALSE)</f>
        <v>1.2855958999999999E-3</v>
      </c>
      <c r="BG33">
        <f>VLOOKUP(all_cause_mort[[Country]:[Country]],'[1]Mortality Data'!$A$2:$W$201,10,FALSE)</f>
        <v>1.7741284E-3</v>
      </c>
      <c r="BH33">
        <f>VLOOKUP(all_cause_mort[[Country]:[Country]],'[1]Mortality Data'!$A$2:$W$201,11,FALSE)</f>
        <v>2.6482204999999999E-3</v>
      </c>
      <c r="BI33">
        <f>VLOOKUP(all_cause_mort[[Country]:[Country]],'[1]Mortality Data'!$A$2:$W$201,12,FALSE)</f>
        <v>4.1680455999999998E-3</v>
      </c>
      <c r="BJ33">
        <f>VLOOKUP(all_cause_mort[[Country]:[Country]],'[1]Mortality Data'!$A$2:$W$201,13,FALSE)</f>
        <v>6.4743044999999999E-3</v>
      </c>
      <c r="BK33">
        <f>VLOOKUP(all_cause_mort[[Country]:[Country]],'[1]Mortality Data'!$A$2:$W$201,14,FALSE)</f>
        <v>1.0062336999999999E-2</v>
      </c>
      <c r="BL33">
        <f>VLOOKUP(all_cause_mort[[Country]:[Country]],'[1]Mortality Data'!$A$2:$W$201,15,FALSE)</f>
        <v>1.5953370000000001E-2</v>
      </c>
      <c r="BM33">
        <f>VLOOKUP(all_cause_mort[[Country]:[Country]],'[1]Mortality Data'!$A$2:$W$201,16,FALSE)</f>
        <v>2.5262908000000001E-2</v>
      </c>
      <c r="BN33">
        <f>VLOOKUP(all_cause_mort[[Country]:[Country]],'[1]Mortality Data'!$A$2:$W$201,17,FALSE)</f>
        <v>4.0841272999999997E-2</v>
      </c>
      <c r="BO33">
        <f>VLOOKUP(all_cause_mort[[Country]:[Country]],'[1]Mortality Data'!$A$2:$W$201,18,FALSE)</f>
        <v>6.9481919000000003E-2</v>
      </c>
      <c r="BP33">
        <f>VLOOKUP(all_cause_mort[[Country]:[Country]],'[1]Mortality Data'!$A$2:$W$201,19,FALSE)</f>
        <v>0.11467402</v>
      </c>
      <c r="BQ33">
        <f>VLOOKUP(all_cause_mort[[Country]:[Country]],'[1]Mortality Data'!$A$2:$W$201,20,FALSE)</f>
        <v>0.18286848</v>
      </c>
      <c r="BR33">
        <f>VLOOKUP(all_cause_mort[[Country]:[Country]],'[1]Mortality Data'!$A$2:$W$201,21,FALSE)</f>
        <v>0.27716899</v>
      </c>
      <c r="BS33">
        <f>VLOOKUP(all_cause_mort[[Country]:[Country]],'[1]Mortality Data'!$A$2:$W$201,22,FALSE)</f>
        <v>0.39896030999999998</v>
      </c>
      <c r="BT33">
        <f>VLOOKUP(all_cause_mort[[Country]:[Country]],'[1]Mortality Data'!$A$2:$W$201,23,FALSE)</f>
        <v>0.53980107142955502</v>
      </c>
      <c r="BU33" s="39" t="e">
        <f>VLOOKUP(all_cause_mort[[#This Row],[Country]],[2]!regions[#Data],3,FALSE)</f>
        <v>#REF!</v>
      </c>
    </row>
    <row r="34" spans="1:73" x14ac:dyDescent="0.35">
      <c r="A34" t="s">
        <v>62</v>
      </c>
      <c r="B34">
        <v>4448525</v>
      </c>
      <c r="C34">
        <v>4476153</v>
      </c>
      <c r="D34">
        <v>4490416</v>
      </c>
      <c r="E34">
        <v>4499653</v>
      </c>
      <c r="F34">
        <v>4515392</v>
      </c>
      <c r="G34">
        <v>4546100</v>
      </c>
      <c r="H34">
        <v>4594621</v>
      </c>
      <c r="I34">
        <v>4659080</v>
      </c>
      <c r="K34" t="s">
        <v>62</v>
      </c>
      <c r="L34">
        <v>35.700000000000003</v>
      </c>
      <c r="M34">
        <f>birthrate[[#This Row],[2016]]/1000</f>
        <v>3.5700000000000003E-2</v>
      </c>
      <c r="O34" t="s">
        <v>66</v>
      </c>
      <c r="P34">
        <v>99.15</v>
      </c>
      <c r="Q34">
        <f>facility[[#This Row],[Facility (%)]]/100</f>
        <v>0.99150000000000005</v>
      </c>
      <c r="S34" t="s">
        <v>64</v>
      </c>
      <c r="T34">
        <v>2015</v>
      </c>
      <c r="U34">
        <v>99.7</v>
      </c>
      <c r="V34">
        <f>SBA[[#This Row],[SBA (%)]]/100</f>
        <v>0.997</v>
      </c>
      <c r="X34" s="13" t="s">
        <v>71</v>
      </c>
      <c r="Y34" s="13" t="s">
        <v>256</v>
      </c>
      <c r="Z34" s="26">
        <v>8.8999999999999996E-2</v>
      </c>
      <c r="AA34" s="26">
        <v>5.5E-2</v>
      </c>
      <c r="AB34" s="26">
        <v>9.4E-2</v>
      </c>
      <c r="AC34">
        <v>24294750</v>
      </c>
      <c r="AD34" s="27">
        <v>2.5510204081632677E-3</v>
      </c>
      <c r="AF34" s="8" t="s">
        <v>62</v>
      </c>
      <c r="AG34" s="24" t="s">
        <v>253</v>
      </c>
      <c r="AH34" s="24"/>
      <c r="AI34" s="25">
        <f>IF(birthdose[[#This Row],[2017]]/100=0, ,birthdose[[#This Row],[2017]]/100)</f>
        <v>0</v>
      </c>
      <c r="AK34" s="8" t="s">
        <v>62</v>
      </c>
      <c r="AL34" s="24" t="s">
        <v>254</v>
      </c>
      <c r="AM34" s="24">
        <v>47</v>
      </c>
      <c r="AN34" s="25">
        <f>IF(fullvax[[#This Row],[2017]]/100=0, ,fullvax[[#This Row],[2017]]/100)</f>
        <v>0.47</v>
      </c>
      <c r="AP34" s="20" t="s">
        <v>103</v>
      </c>
      <c r="AQ34" s="20">
        <v>0.99003922825695689</v>
      </c>
      <c r="AR34" s="20">
        <v>9.9607717430431064E-3</v>
      </c>
      <c r="AS34" s="20">
        <v>2.9643513876982344E-2</v>
      </c>
      <c r="AT34" s="20">
        <v>0.97035648612301761</v>
      </c>
      <c r="AV34" s="12" t="s">
        <v>56</v>
      </c>
      <c r="AW34" s="14" t="s">
        <v>58</v>
      </c>
      <c r="AX34" s="41">
        <f>VLOOKUP(all_cause_mort[[#This Row],[Country]],[1]!populations[#Data],9,FALSE)*VLOOKUP(all_cause_mort[[#This Row],[Country]],[1]!birthrate[#Data],3,FALSE)</f>
        <v>372861.16940800002</v>
      </c>
      <c r="AY34">
        <f>VLOOKUP(all_cause_mort[[Country]:[Country]],'[1]Mortality Data'!$A$2:$W$201,2,FALSE)</f>
        <v>2.4319762000000002E-2</v>
      </c>
      <c r="AZ34">
        <f>VLOOKUP(all_cause_mort[[Country]:[Country]],'[1]Mortality Data'!$A$2:$W$201,3,FALSE)</f>
        <v>9.7637856999999997E-4</v>
      </c>
      <c r="BA34">
        <f>VLOOKUP(all_cause_mort[[Country]:[Country]],'[1]Mortality Data'!$A$2:$W$201,4,FALSE)</f>
        <v>1.6780438E-3</v>
      </c>
      <c r="BB34">
        <f>VLOOKUP(all_cause_mort[[Country]:[Country]],'[1]Mortality Data'!$A$2:$W$201,5,FALSE)</f>
        <v>1.1981278000000001E-3</v>
      </c>
      <c r="BC34">
        <f>VLOOKUP(all_cause_mort[[Country]:[Country]],'[1]Mortality Data'!$A$2:$W$201,6,FALSE)</f>
        <v>1.1123853999999999E-3</v>
      </c>
      <c r="BD34">
        <f>VLOOKUP(all_cause_mort[[Country]:[Country]],'[1]Mortality Data'!$A$2:$W$201,7,FALSE)</f>
        <v>1.3413406000000001E-3</v>
      </c>
      <c r="BE34">
        <f>VLOOKUP(all_cause_mort[[Country]:[Country]],'[1]Mortality Data'!$A$2:$W$201,8,FALSE)</f>
        <v>1.8355927000000001E-3</v>
      </c>
      <c r="BF34">
        <f>VLOOKUP(all_cause_mort[[Country]:[Country]],'[1]Mortality Data'!$A$2:$W$201,9,FALSE)</f>
        <v>2.4157819E-3</v>
      </c>
      <c r="BG34">
        <f>VLOOKUP(all_cause_mort[[Country]:[Country]],'[1]Mortality Data'!$A$2:$W$201,10,FALSE)</f>
        <v>3.1896906E-3</v>
      </c>
      <c r="BH34">
        <f>VLOOKUP(all_cause_mort[[Country]:[Country]],'[1]Mortality Data'!$A$2:$W$201,11,FALSE)</f>
        <v>4.1072347000000002E-3</v>
      </c>
      <c r="BI34">
        <f>VLOOKUP(all_cause_mort[[Country]:[Country]],'[1]Mortality Data'!$A$2:$W$201,12,FALSE)</f>
        <v>5.1784513000000003E-3</v>
      </c>
      <c r="BJ34">
        <f>VLOOKUP(all_cause_mort[[Country]:[Country]],'[1]Mortality Data'!$A$2:$W$201,13,FALSE)</f>
        <v>6.7657211999999998E-3</v>
      </c>
      <c r="BK34">
        <f>VLOOKUP(all_cause_mort[[Country]:[Country]],'[1]Mortality Data'!$A$2:$W$201,14,FALSE)</f>
        <v>1.0511642E-2</v>
      </c>
      <c r="BL34">
        <f>VLOOKUP(all_cause_mort[[Country]:[Country]],'[1]Mortality Data'!$A$2:$W$201,15,FALSE)</f>
        <v>1.8682247999999999E-2</v>
      </c>
      <c r="BM34">
        <f>VLOOKUP(all_cause_mort[[Country]:[Country]],'[1]Mortality Data'!$A$2:$W$201,16,FALSE)</f>
        <v>2.9901993000000002E-2</v>
      </c>
      <c r="BN34">
        <f>VLOOKUP(all_cause_mort[[Country]:[Country]],'[1]Mortality Data'!$A$2:$W$201,17,FALSE)</f>
        <v>4.9674155999999997E-2</v>
      </c>
      <c r="BO34">
        <f>VLOOKUP(all_cause_mort[[Country]:[Country]],'[1]Mortality Data'!$A$2:$W$201,18,FALSE)</f>
        <v>8.1369705000000001E-2</v>
      </c>
      <c r="BP34">
        <f>VLOOKUP(all_cause_mort[[Country]:[Country]],'[1]Mortality Data'!$A$2:$W$201,19,FALSE)</f>
        <v>0.12744142</v>
      </c>
      <c r="BQ34">
        <f>VLOOKUP(all_cause_mort[[Country]:[Country]],'[1]Mortality Data'!$A$2:$W$201,20,FALSE)</f>
        <v>0.19472696</v>
      </c>
      <c r="BR34">
        <f>VLOOKUP(all_cause_mort[[Country]:[Country]],'[1]Mortality Data'!$A$2:$W$201,21,FALSE)</f>
        <v>0.27745112999999999</v>
      </c>
      <c r="BS34">
        <f>VLOOKUP(all_cause_mort[[Country]:[Country]],'[1]Mortality Data'!$A$2:$W$201,22,FALSE)</f>
        <v>0.39649795999999998</v>
      </c>
      <c r="BT34">
        <f>VLOOKUP(all_cause_mort[[Country]:[Country]],'[1]Mortality Data'!$A$2:$W$201,23,FALSE)</f>
        <v>0.55717427062823499</v>
      </c>
      <c r="BU34" s="39" t="e">
        <f>VLOOKUP(all_cause_mort[[#This Row],[Country]],[2]!regions[#Data],3,FALSE)</f>
        <v>#REF!</v>
      </c>
    </row>
    <row r="35" spans="1:73" x14ac:dyDescent="0.35">
      <c r="A35" t="s">
        <v>60</v>
      </c>
      <c r="B35">
        <v>34005274</v>
      </c>
      <c r="C35">
        <v>34342780</v>
      </c>
      <c r="D35">
        <v>34750545</v>
      </c>
      <c r="E35">
        <v>35152370</v>
      </c>
      <c r="F35">
        <v>35535348</v>
      </c>
      <c r="G35">
        <v>35832513</v>
      </c>
      <c r="H35">
        <v>36264604</v>
      </c>
      <c r="I35">
        <v>36708083</v>
      </c>
      <c r="K35" t="s">
        <v>60</v>
      </c>
      <c r="L35">
        <v>10.8</v>
      </c>
      <c r="M35">
        <f>birthrate[[#This Row],[2016]]/1000</f>
        <v>1.0800000000000001E-2</v>
      </c>
      <c r="O35" t="s">
        <v>67</v>
      </c>
      <c r="P35">
        <v>76.099999999999994</v>
      </c>
      <c r="Q35">
        <f>facility[[#This Row],[Facility (%)]]/100</f>
        <v>0.7609999999999999</v>
      </c>
      <c r="S35" t="s">
        <v>65</v>
      </c>
      <c r="T35">
        <v>2015</v>
      </c>
      <c r="U35">
        <v>99.9</v>
      </c>
      <c r="V35">
        <f>SBA[[#This Row],[SBA (%)]]/100</f>
        <v>0.99900000000000011</v>
      </c>
      <c r="X35" s="10" t="s">
        <v>72</v>
      </c>
      <c r="Y35" s="10" t="s">
        <v>256</v>
      </c>
      <c r="Z35" s="21">
        <v>6.0000000000000001E-3</v>
      </c>
      <c r="AA35" s="21">
        <v>5.0000000000000001E-3</v>
      </c>
      <c r="AB35" s="21">
        <v>0.01</v>
      </c>
      <c r="AC35">
        <v>4125700</v>
      </c>
      <c r="AD35" s="27">
        <v>2.0408163265306124E-3</v>
      </c>
      <c r="AF35" s="24" t="s">
        <v>63</v>
      </c>
      <c r="AG35" s="24" t="s">
        <v>253</v>
      </c>
      <c r="AH35" s="24"/>
      <c r="AI35" s="25">
        <f>IF(birthdose[[#This Row],[2017]]/100=0, ,birthdose[[#This Row],[2017]]/100)</f>
        <v>0</v>
      </c>
      <c r="AK35" s="24" t="s">
        <v>63</v>
      </c>
      <c r="AL35" s="24" t="s">
        <v>254</v>
      </c>
      <c r="AM35" s="24">
        <v>41</v>
      </c>
      <c r="AN35" s="25">
        <f>IF(fullvax[[#This Row],[2017]]/100=0, ,fullvax[[#This Row],[2017]]/100)</f>
        <v>0.41</v>
      </c>
      <c r="AP35" s="20" t="s">
        <v>104</v>
      </c>
      <c r="AQ35" s="20">
        <v>0.99678559030370095</v>
      </c>
      <c r="AR35" s="20">
        <v>3.2144096962990476E-3</v>
      </c>
      <c r="AS35" s="20">
        <v>1.4353312406054645E-2</v>
      </c>
      <c r="AT35" s="20">
        <v>0.98564668759394536</v>
      </c>
      <c r="AV35" s="8" t="s">
        <v>59</v>
      </c>
      <c r="AW35" s="11" t="s">
        <v>15</v>
      </c>
      <c r="AX35" s="41">
        <f>VLOOKUP(all_cause_mort[[#This Row],[Country]],[1]!populations[#Data],9,FALSE)*VLOOKUP(all_cause_mort[[#This Row],[Country]],[1]!birthrate[#Data],3,FALSE)</f>
        <v>873150.29009999998</v>
      </c>
      <c r="AY35">
        <f>VLOOKUP(all_cause_mort[[Country]:[Country]],'[1]Mortality Data'!$A$2:$W$201,2,FALSE)</f>
        <v>6.4242095999999999E-2</v>
      </c>
      <c r="AZ35">
        <f>VLOOKUP(all_cause_mort[[Country]:[Country]],'[1]Mortality Data'!$A$2:$W$201,3,FALSE)</f>
        <v>7.3532815999999999E-3</v>
      </c>
      <c r="BA35">
        <f>VLOOKUP(all_cause_mort[[Country]:[Country]],'[1]Mortality Data'!$A$2:$W$201,4,FALSE)</f>
        <v>2.6449342999999999E-3</v>
      </c>
      <c r="BB35">
        <f>VLOOKUP(all_cause_mort[[Country]:[Country]],'[1]Mortality Data'!$A$2:$W$201,5,FALSE)</f>
        <v>1.8005351000000001E-3</v>
      </c>
      <c r="BC35">
        <f>VLOOKUP(all_cause_mort[[Country]:[Country]],'[1]Mortality Data'!$A$2:$W$201,6,FALSE)</f>
        <v>2.6918248000000001E-3</v>
      </c>
      <c r="BD35">
        <f>VLOOKUP(all_cause_mort[[Country]:[Country]],'[1]Mortality Data'!$A$2:$W$201,7,FALSE)</f>
        <v>3.8768697E-3</v>
      </c>
      <c r="BE35">
        <f>VLOOKUP(all_cause_mort[[Country]:[Country]],'[1]Mortality Data'!$A$2:$W$201,8,FALSE)</f>
        <v>4.6089835000000003E-3</v>
      </c>
      <c r="BF35">
        <f>VLOOKUP(all_cause_mort[[Country]:[Country]],'[1]Mortality Data'!$A$2:$W$201,9,FALSE)</f>
        <v>5.4273736999999999E-3</v>
      </c>
      <c r="BG35">
        <f>VLOOKUP(all_cause_mort[[Country]:[Country]],'[1]Mortality Data'!$A$2:$W$201,10,FALSE)</f>
        <v>6.5892141E-3</v>
      </c>
      <c r="BH35">
        <f>VLOOKUP(all_cause_mort[[Country]:[Country]],'[1]Mortality Data'!$A$2:$W$201,11,FALSE)</f>
        <v>8.0836545000000006E-3</v>
      </c>
      <c r="BI35">
        <f>VLOOKUP(all_cause_mort[[Country]:[Country]],'[1]Mortality Data'!$A$2:$W$201,12,FALSE)</f>
        <v>9.8513491999999998E-3</v>
      </c>
      <c r="BJ35">
        <f>VLOOKUP(all_cause_mort[[Country]:[Country]],'[1]Mortality Data'!$A$2:$W$201,13,FALSE)</f>
        <v>1.3402542999999999E-2</v>
      </c>
      <c r="BK35">
        <f>VLOOKUP(all_cause_mort[[Country]:[Country]],'[1]Mortality Data'!$A$2:$W$201,14,FALSE)</f>
        <v>1.7645335000000002E-2</v>
      </c>
      <c r="BL35">
        <f>VLOOKUP(all_cause_mort[[Country]:[Country]],'[1]Mortality Data'!$A$2:$W$201,15,FALSE)</f>
        <v>2.6172866999999999E-2</v>
      </c>
      <c r="BM35">
        <f>VLOOKUP(all_cause_mort[[Country]:[Country]],'[1]Mortality Data'!$A$2:$W$201,16,FALSE)</f>
        <v>4.0446996999999998E-2</v>
      </c>
      <c r="BN35">
        <f>VLOOKUP(all_cause_mort[[Country]:[Country]],'[1]Mortality Data'!$A$2:$W$201,17,FALSE)</f>
        <v>6.4528401999999999E-2</v>
      </c>
      <c r="BO35">
        <f>VLOOKUP(all_cause_mort[[Country]:[Country]],'[1]Mortality Data'!$A$2:$W$201,18,FALSE)</f>
        <v>0.10423283999999999</v>
      </c>
      <c r="BP35">
        <f>VLOOKUP(all_cause_mort[[Country]:[Country]],'[1]Mortality Data'!$A$2:$W$201,19,FALSE)</f>
        <v>0.17337254999999999</v>
      </c>
      <c r="BQ35">
        <f>VLOOKUP(all_cause_mort[[Country]:[Country]],'[1]Mortality Data'!$A$2:$W$201,20,FALSE)</f>
        <v>0.28651747</v>
      </c>
      <c r="BR35">
        <f>VLOOKUP(all_cause_mort[[Country]:[Country]],'[1]Mortality Data'!$A$2:$W$201,21,FALSE)</f>
        <v>0.46769831000000001</v>
      </c>
      <c r="BS35">
        <f>VLOOKUP(all_cause_mort[[Country]:[Country]],'[1]Mortality Data'!$A$2:$W$201,22,FALSE)</f>
        <v>0.65858433000000005</v>
      </c>
      <c r="BT35">
        <f>VLOOKUP(all_cause_mort[[Country]:[Country]],'[1]Mortality Data'!$A$2:$W$201,23,FALSE)</f>
        <v>0.85562705270277595</v>
      </c>
      <c r="BU35" s="39" t="e">
        <f>VLOOKUP(all_cause_mort[[#This Row],[Country]],[2]!regions[#Data],3,FALSE)</f>
        <v>#REF!</v>
      </c>
    </row>
    <row r="36" spans="1:73" x14ac:dyDescent="0.35">
      <c r="A36" t="s">
        <v>274</v>
      </c>
      <c r="B36">
        <v>104543801</v>
      </c>
      <c r="C36">
        <v>104174038</v>
      </c>
      <c r="D36">
        <v>103935318</v>
      </c>
      <c r="E36">
        <v>103713726</v>
      </c>
      <c r="F36">
        <v>103496179</v>
      </c>
      <c r="G36">
        <v>103257751</v>
      </c>
      <c r="H36">
        <v>102994343</v>
      </c>
      <c r="I36">
        <v>102727102</v>
      </c>
      <c r="K36" t="s">
        <v>274</v>
      </c>
      <c r="L36">
        <v>9.9816606073209275</v>
      </c>
      <c r="M36">
        <f>birthrate[[#This Row],[2016]]/1000</f>
        <v>9.9816606073209278E-3</v>
      </c>
      <c r="O36" t="s">
        <v>68</v>
      </c>
      <c r="P36">
        <v>91.5</v>
      </c>
      <c r="Q36">
        <f>facility[[#This Row],[Facility (%)]]/100</f>
        <v>0.91500000000000004</v>
      </c>
      <c r="S36" t="s">
        <v>66</v>
      </c>
      <c r="T36" t="s">
        <v>267</v>
      </c>
      <c r="U36">
        <v>95.9</v>
      </c>
      <c r="V36">
        <f>SBA[[#This Row],[SBA (%)]]/100</f>
        <v>0.95900000000000007</v>
      </c>
      <c r="X36" s="13" t="s">
        <v>73</v>
      </c>
      <c r="Y36" s="13" t="s">
        <v>256</v>
      </c>
      <c r="Z36" s="26">
        <v>6.0000000000000001E-3</v>
      </c>
      <c r="AA36" s="26">
        <v>5.0000000000000001E-3</v>
      </c>
      <c r="AB36" s="26">
        <v>7.0000000000000001E-3</v>
      </c>
      <c r="AC36">
        <v>11484636</v>
      </c>
      <c r="AD36" s="27">
        <v>5.1020408163265311E-4</v>
      </c>
      <c r="AF36" s="24" t="s">
        <v>64</v>
      </c>
      <c r="AG36" s="24" t="s">
        <v>253</v>
      </c>
      <c r="AH36" s="24"/>
      <c r="AI36" s="25">
        <f>IF(birthdose[[#This Row],[2017]]/100=0, ,birthdose[[#This Row],[2017]]/100)</f>
        <v>0</v>
      </c>
      <c r="AK36" s="24" t="s">
        <v>64</v>
      </c>
      <c r="AL36" s="24" t="s">
        <v>254</v>
      </c>
      <c r="AM36" s="24">
        <v>93</v>
      </c>
      <c r="AN36" s="25">
        <f>IF(fullvax[[#This Row],[2017]]/100=0, ,fullvax[[#This Row],[2017]]/100)</f>
        <v>0.93</v>
      </c>
      <c r="AP36" s="20" t="s">
        <v>107</v>
      </c>
      <c r="AQ36" s="20">
        <v>0.99280196788570285</v>
      </c>
      <c r="AR36" s="20">
        <v>7.1980321142971482E-3</v>
      </c>
      <c r="AS36" s="20">
        <v>0.14134516548394116</v>
      </c>
      <c r="AT36" s="20">
        <v>0.85865483451605884</v>
      </c>
      <c r="AV36" s="8" t="s">
        <v>62</v>
      </c>
      <c r="AW36" s="11" t="s">
        <v>15</v>
      </c>
      <c r="AX36" s="41">
        <f>VLOOKUP(all_cause_mort[[#This Row],[Country]],[1]!populations[#Data],9,FALSE)*VLOOKUP(all_cause_mort[[#This Row],[Country]],[1]!birthrate[#Data],3,FALSE)</f>
        <v>166329.15600000002</v>
      </c>
      <c r="AY36">
        <f>VLOOKUP(all_cause_mort[[Country]:[Country]],'[1]Mortality Data'!$A$2:$W$201,2,FALSE)</f>
        <v>8.7004168000000007E-2</v>
      </c>
      <c r="AZ36">
        <f>VLOOKUP(all_cause_mort[[Country]:[Country]],'[1]Mortality Data'!$A$2:$W$201,3,FALSE)</f>
        <v>1.1195604E-2</v>
      </c>
      <c r="BA36">
        <f>VLOOKUP(all_cause_mort[[Country]:[Country]],'[1]Mortality Data'!$A$2:$W$201,4,FALSE)</f>
        <v>3.2221620000000002E-3</v>
      </c>
      <c r="BB36">
        <f>VLOOKUP(all_cause_mort[[Country]:[Country]],'[1]Mortality Data'!$A$2:$W$201,5,FALSE)</f>
        <v>2.3010999999999999E-3</v>
      </c>
      <c r="BC36">
        <f>VLOOKUP(all_cause_mort[[Country]:[Country]],'[1]Mortality Data'!$A$2:$W$201,6,FALSE)</f>
        <v>3.3202861E-3</v>
      </c>
      <c r="BD36">
        <f>VLOOKUP(all_cause_mort[[Country]:[Country]],'[1]Mortality Data'!$A$2:$W$201,7,FALSE)</f>
        <v>5.0793015000000002E-3</v>
      </c>
      <c r="BE36">
        <f>VLOOKUP(all_cause_mort[[Country]:[Country]],'[1]Mortality Data'!$A$2:$W$201,8,FALSE)</f>
        <v>6.9574537000000004E-3</v>
      </c>
      <c r="BF36">
        <f>VLOOKUP(all_cause_mort[[Country]:[Country]],'[1]Mortality Data'!$A$2:$W$201,9,FALSE)</f>
        <v>8.8594712999999995E-3</v>
      </c>
      <c r="BG36">
        <f>VLOOKUP(all_cause_mort[[Country]:[Country]],'[1]Mortality Data'!$A$2:$W$201,10,FALSE)</f>
        <v>1.1369631999999999E-2</v>
      </c>
      <c r="BH36">
        <f>VLOOKUP(all_cause_mort[[Country]:[Country]],'[1]Mortality Data'!$A$2:$W$201,11,FALSE)</f>
        <v>1.3362771000000001E-2</v>
      </c>
      <c r="BI36">
        <f>VLOOKUP(all_cause_mort[[Country]:[Country]],'[1]Mortality Data'!$A$2:$W$201,12,FALSE)</f>
        <v>1.555637E-2</v>
      </c>
      <c r="BJ36">
        <f>VLOOKUP(all_cause_mort[[Country]:[Country]],'[1]Mortality Data'!$A$2:$W$201,13,FALSE)</f>
        <v>1.9153309E-2</v>
      </c>
      <c r="BK36">
        <f>VLOOKUP(all_cause_mort[[Country]:[Country]],'[1]Mortality Data'!$A$2:$W$201,14,FALSE)</f>
        <v>2.3582585999999999E-2</v>
      </c>
      <c r="BL36">
        <f>VLOOKUP(all_cause_mort[[Country]:[Country]],'[1]Mortality Data'!$A$2:$W$201,15,FALSE)</f>
        <v>3.2107477000000002E-2</v>
      </c>
      <c r="BM36">
        <f>VLOOKUP(all_cause_mort[[Country]:[Country]],'[1]Mortality Data'!$A$2:$W$201,16,FALSE)</f>
        <v>4.6187907E-2</v>
      </c>
      <c r="BN36">
        <f>VLOOKUP(all_cause_mort[[Country]:[Country]],'[1]Mortality Data'!$A$2:$W$201,17,FALSE)</f>
        <v>6.9666721000000001E-2</v>
      </c>
      <c r="BO36">
        <f>VLOOKUP(all_cause_mort[[Country]:[Country]],'[1]Mortality Data'!$A$2:$W$201,18,FALSE)</f>
        <v>0.10685268000000001</v>
      </c>
      <c r="BP36">
        <f>VLOOKUP(all_cause_mort[[Country]:[Country]],'[1]Mortality Data'!$A$2:$W$201,19,FALSE)</f>
        <v>0.17202190000000001</v>
      </c>
      <c r="BQ36">
        <f>VLOOKUP(all_cause_mort[[Country]:[Country]],'[1]Mortality Data'!$A$2:$W$201,20,FALSE)</f>
        <v>0.27642119999999998</v>
      </c>
      <c r="BR36">
        <f>VLOOKUP(all_cause_mort[[Country]:[Country]],'[1]Mortality Data'!$A$2:$W$201,21,FALSE)</f>
        <v>0.42791174999999998</v>
      </c>
      <c r="BS36">
        <f>VLOOKUP(all_cause_mort[[Country]:[Country]],'[1]Mortality Data'!$A$2:$W$201,22,FALSE)</f>
        <v>0.57533449999999997</v>
      </c>
      <c r="BT36">
        <f>VLOOKUP(all_cause_mort[[Country]:[Country]],'[1]Mortality Data'!$A$2:$W$201,23,FALSE)</f>
        <v>0.71848113088929999</v>
      </c>
      <c r="BU36" s="39" t="e">
        <f>VLOOKUP(all_cause_mort[[#This Row],[Country]],[2]!regions[#Data],3,FALSE)</f>
        <v>#REF!</v>
      </c>
    </row>
    <row r="37" spans="1:73" x14ac:dyDescent="0.35">
      <c r="A37" t="s">
        <v>198</v>
      </c>
      <c r="B37">
        <v>7824909</v>
      </c>
      <c r="C37">
        <v>7912398</v>
      </c>
      <c r="D37">
        <v>7996861</v>
      </c>
      <c r="E37">
        <v>8089346</v>
      </c>
      <c r="F37">
        <v>8188649</v>
      </c>
      <c r="G37">
        <v>8282396</v>
      </c>
      <c r="H37">
        <v>8373338</v>
      </c>
      <c r="I37">
        <v>8466017</v>
      </c>
      <c r="K37" t="s">
        <v>198</v>
      </c>
      <c r="L37">
        <v>10.5</v>
      </c>
      <c r="M37">
        <f>birthrate[[#This Row],[2016]]/1000</f>
        <v>1.0500000000000001E-2</v>
      </c>
      <c r="O37" t="s">
        <v>69</v>
      </c>
      <c r="P37">
        <v>99.6</v>
      </c>
      <c r="Q37">
        <f>facility[[#This Row],[Facility (%)]]/100</f>
        <v>0.996</v>
      </c>
      <c r="S37" t="s">
        <v>67</v>
      </c>
      <c r="T37" t="s">
        <v>275</v>
      </c>
      <c r="U37">
        <v>82.2</v>
      </c>
      <c r="V37">
        <f>SBA[[#This Row],[SBA (%)]]/100</f>
        <v>0.82200000000000006</v>
      </c>
      <c r="X37" s="10" t="s">
        <v>74</v>
      </c>
      <c r="Y37" s="10" t="s">
        <v>252</v>
      </c>
      <c r="Z37" s="21">
        <v>2.69E-2</v>
      </c>
      <c r="AA37" s="21">
        <v>2.3800000000000002E-2</v>
      </c>
      <c r="AB37" s="21">
        <v>3.04E-2</v>
      </c>
      <c r="AC37" s="22">
        <v>1112607</v>
      </c>
      <c r="AD37" s="27">
        <v>1.7857142857142857E-3</v>
      </c>
      <c r="AF37" s="24" t="s">
        <v>65</v>
      </c>
      <c r="AG37" s="24" t="s">
        <v>253</v>
      </c>
      <c r="AH37" s="24">
        <v>96</v>
      </c>
      <c r="AI37" s="25">
        <f>IF(birthdose[[#This Row],[2017]]/100=0, ,birthdose[[#This Row],[2017]]/100)</f>
        <v>0.96</v>
      </c>
      <c r="AK37" s="24" t="s">
        <v>65</v>
      </c>
      <c r="AL37" s="24" t="s">
        <v>254</v>
      </c>
      <c r="AM37" s="24">
        <v>99</v>
      </c>
      <c r="AN37" s="25">
        <f>IF(fullvax[[#This Row],[2017]]/100=0, ,fullvax[[#This Row],[2017]]/100)</f>
        <v>0.99</v>
      </c>
      <c r="AP37" s="20" t="s">
        <v>108</v>
      </c>
      <c r="AQ37" s="20">
        <v>0.99610938159809803</v>
      </c>
      <c r="AR37" s="20">
        <v>3.8906184019019685E-3</v>
      </c>
      <c r="AS37" s="20">
        <v>0.55791576682649657</v>
      </c>
      <c r="AT37" s="20">
        <v>0.44208423317350343</v>
      </c>
      <c r="AV37" s="12" t="s">
        <v>63</v>
      </c>
      <c r="AW37" s="14" t="s">
        <v>15</v>
      </c>
      <c r="AX37" s="41">
        <f>VLOOKUP(all_cause_mort[[#This Row],[Country]],[1]!populations[#Data],9,FALSE)*VLOOKUP(all_cause_mort[[#This Row],[Country]],[1]!birthrate[#Data],3,FALSE)</f>
        <v>645631.640014</v>
      </c>
      <c r="AY37">
        <f>VLOOKUP(all_cause_mort[[Country]:[Country]],'[1]Mortality Data'!$A$2:$W$201,2,FALSE)</f>
        <v>7.8845524E-2</v>
      </c>
      <c r="AZ37">
        <f>VLOOKUP(all_cause_mort[[Country]:[Country]],'[1]Mortality Data'!$A$2:$W$201,3,FALSE)</f>
        <v>1.3541741E-2</v>
      </c>
      <c r="BA37">
        <f>VLOOKUP(all_cause_mort[[Country]:[Country]],'[1]Mortality Data'!$A$2:$W$201,4,FALSE)</f>
        <v>5.2404499000000002E-3</v>
      </c>
      <c r="BB37">
        <f>VLOOKUP(all_cause_mort[[Country]:[Country]],'[1]Mortality Data'!$A$2:$W$201,5,FALSE)</f>
        <v>3.3849482000000001E-3</v>
      </c>
      <c r="BC37">
        <f>VLOOKUP(all_cause_mort[[Country]:[Country]],'[1]Mortality Data'!$A$2:$W$201,6,FALSE)</f>
        <v>3.8957267000000002E-3</v>
      </c>
      <c r="BD37">
        <f>VLOOKUP(all_cause_mort[[Country]:[Country]],'[1]Mortality Data'!$A$2:$W$201,7,FALSE)</f>
        <v>5.1617490000000002E-3</v>
      </c>
      <c r="BE37">
        <f>VLOOKUP(all_cause_mort[[Country]:[Country]],'[1]Mortality Data'!$A$2:$W$201,8,FALSE)</f>
        <v>6.8051606000000004E-3</v>
      </c>
      <c r="BF37">
        <f>VLOOKUP(all_cause_mort[[Country]:[Country]],'[1]Mortality Data'!$A$2:$W$201,9,FALSE)</f>
        <v>8.6497177999999997E-3</v>
      </c>
      <c r="BG37">
        <f>VLOOKUP(all_cause_mort[[Country]:[Country]],'[1]Mortality Data'!$A$2:$W$201,10,FALSE)</f>
        <v>1.0686173E-2</v>
      </c>
      <c r="BH37">
        <f>VLOOKUP(all_cause_mort[[Country]:[Country]],'[1]Mortality Data'!$A$2:$W$201,11,FALSE)</f>
        <v>1.1395986E-2</v>
      </c>
      <c r="BI37">
        <f>VLOOKUP(all_cause_mort[[Country]:[Country]],'[1]Mortality Data'!$A$2:$W$201,12,FALSE)</f>
        <v>1.1902159000000001E-2</v>
      </c>
      <c r="BJ37">
        <f>VLOOKUP(all_cause_mort[[Country]:[Country]],'[1]Mortality Data'!$A$2:$W$201,13,FALSE)</f>
        <v>1.3347754E-2</v>
      </c>
      <c r="BK37">
        <f>VLOOKUP(all_cause_mort[[Country]:[Country]],'[1]Mortality Data'!$A$2:$W$201,14,FALSE)</f>
        <v>1.7018721000000001E-2</v>
      </c>
      <c r="BL37">
        <f>VLOOKUP(all_cause_mort[[Country]:[Country]],'[1]Mortality Data'!$A$2:$W$201,15,FALSE)</f>
        <v>2.4789708000000001E-2</v>
      </c>
      <c r="BM37">
        <f>VLOOKUP(all_cause_mort[[Country]:[Country]],'[1]Mortality Data'!$A$2:$W$201,16,FALSE)</f>
        <v>3.7823844000000002E-2</v>
      </c>
      <c r="BN37">
        <f>VLOOKUP(all_cause_mort[[Country]:[Country]],'[1]Mortality Data'!$A$2:$W$201,17,FALSE)</f>
        <v>5.9696424999999997E-2</v>
      </c>
      <c r="BO37">
        <f>VLOOKUP(all_cause_mort[[Country]:[Country]],'[1]Mortality Data'!$A$2:$W$201,18,FALSE)</f>
        <v>9.3474618999999995E-2</v>
      </c>
      <c r="BP37">
        <f>VLOOKUP(all_cause_mort[[Country]:[Country]],'[1]Mortality Data'!$A$2:$W$201,19,FALSE)</f>
        <v>0.14668134999999999</v>
      </c>
      <c r="BQ37">
        <f>VLOOKUP(all_cause_mort[[Country]:[Country]],'[1]Mortality Data'!$A$2:$W$201,20,FALSE)</f>
        <v>0.22213627</v>
      </c>
      <c r="BR37">
        <f>VLOOKUP(all_cause_mort[[Country]:[Country]],'[1]Mortality Data'!$A$2:$W$201,21,FALSE)</f>
        <v>0.31837542000000002</v>
      </c>
      <c r="BS37">
        <f>VLOOKUP(all_cause_mort[[Country]:[Country]],'[1]Mortality Data'!$A$2:$W$201,22,FALSE)</f>
        <v>0.42636942</v>
      </c>
      <c r="BT37">
        <f>VLOOKUP(all_cause_mort[[Country]:[Country]],'[1]Mortality Data'!$A$2:$W$201,23,FALSE)</f>
        <v>0.55807869132779198</v>
      </c>
      <c r="BU37" s="39" t="e">
        <f>VLOOKUP(all_cause_mort[[#This Row],[Country]],[2]!regions[#Data],3,FALSE)</f>
        <v>#REF!</v>
      </c>
    </row>
    <row r="38" spans="1:73" x14ac:dyDescent="0.35">
      <c r="A38" t="s">
        <v>276</v>
      </c>
      <c r="B38">
        <v>159581</v>
      </c>
      <c r="C38">
        <v>160497</v>
      </c>
      <c r="D38">
        <v>161358</v>
      </c>
      <c r="E38">
        <v>162180</v>
      </c>
      <c r="F38">
        <v>162969</v>
      </c>
      <c r="G38">
        <v>163758</v>
      </c>
      <c r="H38">
        <v>164541</v>
      </c>
      <c r="I38">
        <v>165314</v>
      </c>
      <c r="K38" t="s">
        <v>276</v>
      </c>
      <c r="L38">
        <v>9.3320000000000007</v>
      </c>
      <c r="M38">
        <f>birthrate[[#This Row],[2016]]/1000</f>
        <v>9.332E-3</v>
      </c>
      <c r="O38" t="s">
        <v>70</v>
      </c>
      <c r="P38">
        <v>99.15</v>
      </c>
      <c r="Q38">
        <f>facility[[#This Row],[Facility (%)]]/100</f>
        <v>0.99150000000000005</v>
      </c>
      <c r="S38" t="s">
        <v>68</v>
      </c>
      <c r="T38" t="s">
        <v>277</v>
      </c>
      <c r="U38">
        <v>91.2</v>
      </c>
      <c r="V38">
        <f>SBA[[#This Row],[SBA (%)]]/100</f>
        <v>0.91200000000000003</v>
      </c>
      <c r="X38" s="10" t="s">
        <v>75</v>
      </c>
      <c r="Y38" s="10" t="s">
        <v>256</v>
      </c>
      <c r="Z38" s="21">
        <v>4.0000000000000001E-3</v>
      </c>
      <c r="AA38" s="21">
        <v>4.0000000000000001E-3</v>
      </c>
      <c r="AB38" s="21">
        <v>5.0000000000000001E-3</v>
      </c>
      <c r="AC38">
        <v>10591323</v>
      </c>
      <c r="AD38" s="27">
        <v>5.1020408163265311E-4</v>
      </c>
      <c r="AF38" s="24" t="s">
        <v>66</v>
      </c>
      <c r="AG38" s="24" t="s">
        <v>253</v>
      </c>
      <c r="AH38" s="24">
        <v>81</v>
      </c>
      <c r="AI38" s="25">
        <f>IF(birthdose[[#This Row],[2017]]/100=0, ,birthdose[[#This Row],[2017]]/100)</f>
        <v>0.81</v>
      </c>
      <c r="AK38" s="24" t="s">
        <v>66</v>
      </c>
      <c r="AL38" s="24" t="s">
        <v>254</v>
      </c>
      <c r="AM38" s="24">
        <v>92</v>
      </c>
      <c r="AN38" s="25">
        <f>IF(fullvax[[#This Row],[2017]]/100=0, ,fullvax[[#This Row],[2017]]/100)</f>
        <v>0.92</v>
      </c>
      <c r="AP38" s="20" t="s">
        <v>111</v>
      </c>
      <c r="AQ38" s="20">
        <v>0.99707475073856211</v>
      </c>
      <c r="AR38" s="20">
        <v>2.92524926143789E-3</v>
      </c>
      <c r="AS38" s="20">
        <v>0.6201799551647541</v>
      </c>
      <c r="AT38" s="20">
        <v>0.3798200448352459</v>
      </c>
      <c r="AV38" s="8" t="s">
        <v>64</v>
      </c>
      <c r="AW38" s="11" t="s">
        <v>23</v>
      </c>
      <c r="AX38" s="41">
        <f>VLOOKUP(all_cause_mort[[#This Row],[Country]],[1]!populations[#Data],9,FALSE)*VLOOKUP(all_cause_mort[[#This Row],[Country]],[1]!birthrate[#Data],3,FALSE)</f>
        <v>239784.81600600001</v>
      </c>
      <c r="AY38">
        <f>VLOOKUP(all_cause_mort[[Country]:[Country]],'[1]Mortality Data'!$A$2:$W$201,2,FALSE)</f>
        <v>6.7594743000000002E-3</v>
      </c>
      <c r="AZ38">
        <f>VLOOKUP(all_cause_mort[[Country]:[Country]],'[1]Mortality Data'!$A$2:$W$201,3,FALSE)</f>
        <v>2.5527094999999999E-4</v>
      </c>
      <c r="BA38">
        <f>VLOOKUP(all_cause_mort[[Country]:[Country]],'[1]Mortality Data'!$A$2:$W$201,4,FALSE)</f>
        <v>1.3642600000000001E-4</v>
      </c>
      <c r="BB38">
        <f>VLOOKUP(all_cause_mort[[Country]:[Country]],'[1]Mortality Data'!$A$2:$W$201,5,FALSE)</f>
        <v>1.8179393E-4</v>
      </c>
      <c r="BC38">
        <f>VLOOKUP(all_cause_mort[[Country]:[Country]],'[1]Mortality Data'!$A$2:$W$201,6,FALSE)</f>
        <v>4.4268178999999999E-4</v>
      </c>
      <c r="BD38">
        <f>VLOOKUP(all_cause_mort[[Country]:[Country]],'[1]Mortality Data'!$A$2:$W$201,7,FALSE)</f>
        <v>6.3342765E-4</v>
      </c>
      <c r="BE38">
        <f>VLOOKUP(all_cause_mort[[Country]:[Country]],'[1]Mortality Data'!$A$2:$W$201,8,FALSE)</f>
        <v>7.2811830000000003E-4</v>
      </c>
      <c r="BF38">
        <f>VLOOKUP(all_cause_mort[[Country]:[Country]],'[1]Mortality Data'!$A$2:$W$201,9,FALSE)</f>
        <v>8.9680703E-4</v>
      </c>
      <c r="BG38">
        <f>VLOOKUP(all_cause_mort[[Country]:[Country]],'[1]Mortality Data'!$A$2:$W$201,10,FALSE)</f>
        <v>1.1853782E-3</v>
      </c>
      <c r="BH38">
        <f>VLOOKUP(all_cause_mort[[Country]:[Country]],'[1]Mortality Data'!$A$2:$W$201,11,FALSE)</f>
        <v>1.7036703999999999E-3</v>
      </c>
      <c r="BI38">
        <f>VLOOKUP(all_cause_mort[[Country]:[Country]],'[1]Mortality Data'!$A$2:$W$201,12,FALSE)</f>
        <v>2.5274565000000001E-3</v>
      </c>
      <c r="BJ38">
        <f>VLOOKUP(all_cause_mort[[Country]:[Country]],'[1]Mortality Data'!$A$2:$W$201,13,FALSE)</f>
        <v>3.8212141999999999E-3</v>
      </c>
      <c r="BK38">
        <f>VLOOKUP(all_cause_mort[[Country]:[Country]],'[1]Mortality Data'!$A$2:$W$201,14,FALSE)</f>
        <v>5.7278585000000003E-3</v>
      </c>
      <c r="BL38">
        <f>VLOOKUP(all_cause_mort[[Country]:[Country]],'[1]Mortality Data'!$A$2:$W$201,15,FALSE)</f>
        <v>8.9113006999999994E-3</v>
      </c>
      <c r="BM38">
        <f>VLOOKUP(all_cause_mort[[Country]:[Country]],'[1]Mortality Data'!$A$2:$W$201,16,FALSE)</f>
        <v>1.4327942E-2</v>
      </c>
      <c r="BN38">
        <f>VLOOKUP(all_cause_mort[[Country]:[Country]],'[1]Mortality Data'!$A$2:$W$201,17,FALSE)</f>
        <v>2.254888E-2</v>
      </c>
      <c r="BO38">
        <f>VLOOKUP(all_cause_mort[[Country]:[Country]],'[1]Mortality Data'!$A$2:$W$201,18,FALSE)</f>
        <v>3.6500393999999999E-2</v>
      </c>
      <c r="BP38">
        <f>VLOOKUP(all_cause_mort[[Country]:[Country]],'[1]Mortality Data'!$A$2:$W$201,19,FALSE)</f>
        <v>6.1300278E-2</v>
      </c>
      <c r="BQ38">
        <f>VLOOKUP(all_cause_mort[[Country]:[Country]],'[1]Mortality Data'!$A$2:$W$201,20,FALSE)</f>
        <v>0.10040207</v>
      </c>
      <c r="BR38">
        <f>VLOOKUP(all_cause_mort[[Country]:[Country]],'[1]Mortality Data'!$A$2:$W$201,21,FALSE)</f>
        <v>0.15414125000000001</v>
      </c>
      <c r="BS38">
        <f>VLOOKUP(all_cause_mort[[Country]:[Country]],'[1]Mortality Data'!$A$2:$W$201,22,FALSE)</f>
        <v>0.22950420999999999</v>
      </c>
      <c r="BT38">
        <f>VLOOKUP(all_cause_mort[[Country]:[Country]],'[1]Mortality Data'!$A$2:$W$201,23,FALSE)</f>
        <v>0.32896101381047399</v>
      </c>
      <c r="BU38" s="39" t="e">
        <f>VLOOKUP(all_cause_mort[[#This Row],[Country]],[2]!regions[#Data],3,FALSE)</f>
        <v>#REF!</v>
      </c>
    </row>
    <row r="39" spans="1:73" x14ac:dyDescent="0.35">
      <c r="A39" t="s">
        <v>64</v>
      </c>
      <c r="B39">
        <v>16993354</v>
      </c>
      <c r="C39">
        <v>17153357</v>
      </c>
      <c r="D39">
        <v>17309746</v>
      </c>
      <c r="E39">
        <v>17462982</v>
      </c>
      <c r="F39">
        <v>17613798</v>
      </c>
      <c r="G39">
        <v>17762681</v>
      </c>
      <c r="H39">
        <v>17909754</v>
      </c>
      <c r="I39">
        <v>18054726</v>
      </c>
      <c r="K39" t="s">
        <v>64</v>
      </c>
      <c r="L39">
        <v>13.281000000000001</v>
      </c>
      <c r="M39">
        <f>birthrate[[#This Row],[2016]]/1000</f>
        <v>1.3281000000000001E-2</v>
      </c>
      <c r="O39" t="s">
        <v>71</v>
      </c>
      <c r="P39">
        <v>69.8</v>
      </c>
      <c r="Q39">
        <f>facility[[#This Row],[Facility (%)]]/100</f>
        <v>0.69799999999999995</v>
      </c>
      <c r="S39" t="s">
        <v>69</v>
      </c>
      <c r="T39">
        <v>2009</v>
      </c>
      <c r="U39">
        <v>99.99</v>
      </c>
      <c r="V39">
        <f>SBA[[#This Row],[SBA (%)]]/100</f>
        <v>0.9998999999999999</v>
      </c>
      <c r="X39" s="13" t="s">
        <v>77</v>
      </c>
      <c r="Y39" s="13" t="s">
        <v>252</v>
      </c>
      <c r="Z39" s="26">
        <v>5.9900000000000002E-2</v>
      </c>
      <c r="AA39" s="26">
        <v>5.6800000000000003E-2</v>
      </c>
      <c r="AB39" s="26">
        <v>6.3100000000000003E-2</v>
      </c>
      <c r="AC39" s="22">
        <v>64523263</v>
      </c>
      <c r="AD39" s="27">
        <v>1.6326530612244905E-3</v>
      </c>
      <c r="AF39" s="24" t="s">
        <v>67</v>
      </c>
      <c r="AG39" s="24" t="s">
        <v>253</v>
      </c>
      <c r="AH39" s="24"/>
      <c r="AI39" s="25">
        <f>IF(birthdose[[#This Row],[2017]]/100=0, ,birthdose[[#This Row],[2017]]/100)</f>
        <v>0</v>
      </c>
      <c r="AK39" s="24" t="s">
        <v>67</v>
      </c>
      <c r="AL39" s="24" t="s">
        <v>254</v>
      </c>
      <c r="AM39" s="24">
        <v>91</v>
      </c>
      <c r="AN39" s="25">
        <f>IF(fullvax[[#This Row],[2017]]/100=0, ,fullvax[[#This Row],[2017]]/100)</f>
        <v>0.91</v>
      </c>
      <c r="AP39" s="20" t="s">
        <v>115</v>
      </c>
      <c r="AQ39" s="20">
        <v>0.99904511286205877</v>
      </c>
      <c r="AR39" s="20">
        <v>9.5488713794122937E-4</v>
      </c>
      <c r="AS39" s="20">
        <v>0.42559822696263466</v>
      </c>
      <c r="AT39" s="20">
        <v>0.57440177303736539</v>
      </c>
      <c r="AV39" s="12" t="s">
        <v>65</v>
      </c>
      <c r="AW39" s="14" t="s">
        <v>58</v>
      </c>
      <c r="AX39" s="41">
        <f>VLOOKUP(all_cause_mort[[#This Row],[Country]],[1]!populations[#Data],9,FALSE)*VLOOKUP(all_cause_mort[[#This Row],[Country]],[1]!birthrate[#Data],3,FALSE)</f>
        <v>16636740</v>
      </c>
      <c r="AY39">
        <f>VLOOKUP(all_cause_mort[[Country]:[Country]],'[1]Mortality Data'!$A$2:$W$201,2,FALSE)</f>
        <v>9.9850605000000002E-3</v>
      </c>
      <c r="AZ39">
        <f>VLOOKUP(all_cause_mort[[Country]:[Country]],'[1]Mortality Data'!$A$2:$W$201,3,FALSE)</f>
        <v>4.1390468999999999E-4</v>
      </c>
      <c r="BA39">
        <f>VLOOKUP(all_cause_mort[[Country]:[Country]],'[1]Mortality Data'!$A$2:$W$201,4,FALSE)</f>
        <v>3.1216753000000002E-4</v>
      </c>
      <c r="BB39">
        <f>VLOOKUP(all_cause_mort[[Country]:[Country]],'[1]Mortality Data'!$A$2:$W$201,5,FALSE)</f>
        <v>2.3295459000000001E-4</v>
      </c>
      <c r="BC39">
        <f>VLOOKUP(all_cause_mort[[Country]:[Country]],'[1]Mortality Data'!$A$2:$W$201,6,FALSE)</f>
        <v>3.3865475000000001E-4</v>
      </c>
      <c r="BD39">
        <f>VLOOKUP(all_cause_mort[[Country]:[Country]],'[1]Mortality Data'!$A$2:$W$201,7,FALSE)</f>
        <v>4.7566581999999998E-4</v>
      </c>
      <c r="BE39">
        <f>VLOOKUP(all_cause_mort[[Country]:[Country]],'[1]Mortality Data'!$A$2:$W$201,8,FALSE)</f>
        <v>6.3656341000000003E-4</v>
      </c>
      <c r="BF39">
        <f>VLOOKUP(all_cause_mort[[Country]:[Country]],'[1]Mortality Data'!$A$2:$W$201,9,FALSE)</f>
        <v>8.0538109000000005E-4</v>
      </c>
      <c r="BG39">
        <f>VLOOKUP(all_cause_mort[[Country]:[Country]],'[1]Mortality Data'!$A$2:$W$201,10,FALSE)</f>
        <v>1.0207529000000001E-3</v>
      </c>
      <c r="BH39">
        <f>VLOOKUP(all_cause_mort[[Country]:[Country]],'[1]Mortality Data'!$A$2:$W$201,11,FALSE)</f>
        <v>1.4465109999999999E-3</v>
      </c>
      <c r="BI39">
        <f>VLOOKUP(all_cause_mort[[Country]:[Country]],'[1]Mortality Data'!$A$2:$W$201,12,FALSE)</f>
        <v>2.1278301999999999E-3</v>
      </c>
      <c r="BJ39">
        <f>VLOOKUP(all_cause_mort[[Country]:[Country]],'[1]Mortality Data'!$A$2:$W$201,13,FALSE)</f>
        <v>3.5410851999999999E-3</v>
      </c>
      <c r="BK39">
        <f>VLOOKUP(all_cause_mort[[Country]:[Country]],'[1]Mortality Data'!$A$2:$W$201,14,FALSE)</f>
        <v>5.9628336999999997E-3</v>
      </c>
      <c r="BL39">
        <f>VLOOKUP(all_cause_mort[[Country]:[Country]],'[1]Mortality Data'!$A$2:$W$201,15,FALSE)</f>
        <v>1.1234760999999999E-2</v>
      </c>
      <c r="BM39">
        <f>VLOOKUP(all_cause_mort[[Country]:[Country]],'[1]Mortality Data'!$A$2:$W$201,16,FALSE)</f>
        <v>2.0345727000000001E-2</v>
      </c>
      <c r="BN39">
        <f>VLOOKUP(all_cause_mort[[Country]:[Country]],'[1]Mortality Data'!$A$2:$W$201,17,FALSE)</f>
        <v>3.7246385999999999E-2</v>
      </c>
      <c r="BO39">
        <f>VLOOKUP(all_cause_mort[[Country]:[Country]],'[1]Mortality Data'!$A$2:$W$201,18,FALSE)</f>
        <v>6.2741248999999999E-2</v>
      </c>
      <c r="BP39">
        <f>VLOOKUP(all_cause_mort[[Country]:[Country]],'[1]Mortality Data'!$A$2:$W$201,19,FALSE)</f>
        <v>9.6177229000000003E-2</v>
      </c>
      <c r="BQ39">
        <f>VLOOKUP(all_cause_mort[[Country]:[Country]],'[1]Mortality Data'!$A$2:$W$201,20,FALSE)</f>
        <v>0.14942684000000001</v>
      </c>
      <c r="BR39">
        <f>VLOOKUP(all_cause_mort[[Country]:[Country]],'[1]Mortality Data'!$A$2:$W$201,21,FALSE)</f>
        <v>0.21278585</v>
      </c>
      <c r="BS39">
        <f>VLOOKUP(all_cause_mort[[Country]:[Country]],'[1]Mortality Data'!$A$2:$W$201,22,FALSE)</f>
        <v>0.28747664000000001</v>
      </c>
      <c r="BT39">
        <f>VLOOKUP(all_cause_mort[[Country]:[Country]],'[1]Mortality Data'!$A$2:$W$201,23,FALSE)</f>
        <v>0.34920817395763298</v>
      </c>
      <c r="BU39" s="39" t="e">
        <f>VLOOKUP(all_cause_mort[[#This Row],[Country]],[2]!regions[#Data],3,FALSE)</f>
        <v>#REF!</v>
      </c>
    </row>
    <row r="40" spans="1:73" x14ac:dyDescent="0.35">
      <c r="A40" t="s">
        <v>65</v>
      </c>
      <c r="B40">
        <v>1337705000</v>
      </c>
      <c r="C40">
        <v>1344130000</v>
      </c>
      <c r="D40">
        <v>1350695000</v>
      </c>
      <c r="E40">
        <v>1357380000</v>
      </c>
      <c r="F40">
        <v>1364270000</v>
      </c>
      <c r="G40">
        <v>1371220000</v>
      </c>
      <c r="H40">
        <v>1378665000</v>
      </c>
      <c r="I40">
        <v>1386395000</v>
      </c>
      <c r="K40" t="s">
        <v>65</v>
      </c>
      <c r="L40">
        <v>12</v>
      </c>
      <c r="M40">
        <f>birthrate[[#This Row],[2016]]/1000</f>
        <v>1.2E-2</v>
      </c>
      <c r="O40" t="s">
        <v>73</v>
      </c>
      <c r="P40">
        <v>99.9</v>
      </c>
      <c r="Q40">
        <f>facility[[#This Row],[Facility (%)]]/100</f>
        <v>0.99900000000000011</v>
      </c>
      <c r="S40" t="s">
        <v>70</v>
      </c>
      <c r="T40" t="s">
        <v>267</v>
      </c>
      <c r="U40">
        <v>90</v>
      </c>
      <c r="V40">
        <f>SBA[[#This Row],[SBA (%)]]/100</f>
        <v>0.9</v>
      </c>
      <c r="X40" s="13" t="s">
        <v>78</v>
      </c>
      <c r="Y40" s="13" t="s">
        <v>256</v>
      </c>
      <c r="Z40" s="26">
        <v>3.0000000000000001E-3</v>
      </c>
      <c r="AA40" s="26">
        <v>2E-3</v>
      </c>
      <c r="AB40" s="26">
        <v>3.0000000000000001E-3</v>
      </c>
      <c r="AC40">
        <v>5769603</v>
      </c>
      <c r="AD40" s="27">
        <v>5.102040816326522E-5</v>
      </c>
      <c r="AF40" s="24" t="s">
        <v>68</v>
      </c>
      <c r="AG40" s="24" t="s">
        <v>253</v>
      </c>
      <c r="AH40" s="24"/>
      <c r="AI40" s="25">
        <f>IF(birthdose[[#This Row],[2017]]/100=0, ,birthdose[[#This Row],[2017]]/100)</f>
        <v>0</v>
      </c>
      <c r="AK40" s="24" t="s">
        <v>68</v>
      </c>
      <c r="AL40" s="24" t="s">
        <v>254</v>
      </c>
      <c r="AM40" s="24">
        <v>69</v>
      </c>
      <c r="AN40" s="25">
        <f>IF(fullvax[[#This Row],[2017]]/100=0, ,fullvax[[#This Row],[2017]]/100)</f>
        <v>0.69</v>
      </c>
      <c r="AP40" s="20" t="s">
        <v>117</v>
      </c>
      <c r="AQ40" s="20">
        <v>0.99982037780400224</v>
      </c>
      <c r="AR40" s="20">
        <v>1.7962219599776397E-4</v>
      </c>
      <c r="AS40" s="20">
        <v>0.63661641676433733</v>
      </c>
      <c r="AT40" s="20">
        <v>0.36338358323566267</v>
      </c>
      <c r="AV40" s="8" t="s">
        <v>66</v>
      </c>
      <c r="AW40" s="11" t="s">
        <v>23</v>
      </c>
      <c r="AX40" s="41">
        <f>VLOOKUP(all_cause_mort[[#This Row],[Country]],[1]!populations[#Data],9,FALSE)*VLOOKUP(all_cause_mort[[#This Row],[Country]],[1]!birthrate[#Data],3,FALSE)</f>
        <v>745699.21676999994</v>
      </c>
      <c r="AY40">
        <f>VLOOKUP(all_cause_mort[[Country]:[Country]],'[1]Mortality Data'!$A$2:$W$201,2,FALSE)</f>
        <v>1.2785493E-2</v>
      </c>
      <c r="AZ40">
        <f>VLOOKUP(all_cause_mort[[Country]:[Country]],'[1]Mortality Data'!$A$2:$W$201,3,FALSE)</f>
        <v>5.3936098E-4</v>
      </c>
      <c r="BA40">
        <f>VLOOKUP(all_cause_mort[[Country]:[Country]],'[1]Mortality Data'!$A$2:$W$201,4,FALSE)</f>
        <v>4.008921E-4</v>
      </c>
      <c r="BB40">
        <f>VLOOKUP(all_cause_mort[[Country]:[Country]],'[1]Mortality Data'!$A$2:$W$201,5,FALSE)</f>
        <v>3.6882031999999998E-4</v>
      </c>
      <c r="BC40">
        <f>VLOOKUP(all_cause_mort[[Country]:[Country]],'[1]Mortality Data'!$A$2:$W$201,6,FALSE)</f>
        <v>9.3739728000000004E-4</v>
      </c>
      <c r="BD40">
        <f>VLOOKUP(all_cause_mort[[Country]:[Country]],'[1]Mortality Data'!$A$2:$W$201,7,FALSE)</f>
        <v>1.8070988999999999E-3</v>
      </c>
      <c r="BE40">
        <f>VLOOKUP(all_cause_mort[[Country]:[Country]],'[1]Mortality Data'!$A$2:$W$201,8,FALSE)</f>
        <v>1.8729634E-3</v>
      </c>
      <c r="BF40">
        <f>VLOOKUP(all_cause_mort[[Country]:[Country]],'[1]Mortality Data'!$A$2:$W$201,9,FALSE)</f>
        <v>1.8339127000000001E-3</v>
      </c>
      <c r="BG40">
        <f>VLOOKUP(all_cause_mort[[Country]:[Country]],'[1]Mortality Data'!$A$2:$W$201,10,FALSE)</f>
        <v>1.9983100000000001E-3</v>
      </c>
      <c r="BH40">
        <f>VLOOKUP(all_cause_mort[[Country]:[Country]],'[1]Mortality Data'!$A$2:$W$201,11,FALSE)</f>
        <v>2.2652130999999999E-3</v>
      </c>
      <c r="BI40">
        <f>VLOOKUP(all_cause_mort[[Country]:[Country]],'[1]Mortality Data'!$A$2:$W$201,12,FALSE)</f>
        <v>2.8655663E-3</v>
      </c>
      <c r="BJ40">
        <f>VLOOKUP(all_cause_mort[[Country]:[Country]],'[1]Mortality Data'!$A$2:$W$201,13,FALSE)</f>
        <v>4.4212883000000003E-3</v>
      </c>
      <c r="BK40">
        <f>VLOOKUP(all_cause_mort[[Country]:[Country]],'[1]Mortality Data'!$A$2:$W$201,14,FALSE)</f>
        <v>6.6336084999999998E-3</v>
      </c>
      <c r="BL40">
        <f>VLOOKUP(all_cause_mort[[Country]:[Country]],'[1]Mortality Data'!$A$2:$W$201,15,FALSE)</f>
        <v>1.0335904999999999E-2</v>
      </c>
      <c r="BM40">
        <f>VLOOKUP(all_cause_mort[[Country]:[Country]],'[1]Mortality Data'!$A$2:$W$201,16,FALSE)</f>
        <v>1.6189671999999999E-2</v>
      </c>
      <c r="BN40">
        <f>VLOOKUP(all_cause_mort[[Country]:[Country]],'[1]Mortality Data'!$A$2:$W$201,17,FALSE)</f>
        <v>2.5265101000000002E-2</v>
      </c>
      <c r="BO40">
        <f>VLOOKUP(all_cause_mort[[Country]:[Country]],'[1]Mortality Data'!$A$2:$W$201,18,FALSE)</f>
        <v>3.9165576000000001E-2</v>
      </c>
      <c r="BP40">
        <f>VLOOKUP(all_cause_mort[[Country]:[Country]],'[1]Mortality Data'!$A$2:$W$201,19,FALSE)</f>
        <v>6.4808826E-2</v>
      </c>
      <c r="BQ40">
        <f>VLOOKUP(all_cause_mort[[Country]:[Country]],'[1]Mortality Data'!$A$2:$W$201,20,FALSE)</f>
        <v>0.11303216000000001</v>
      </c>
      <c r="BR40">
        <f>VLOOKUP(all_cause_mort[[Country]:[Country]],'[1]Mortality Data'!$A$2:$W$201,21,FALSE)</f>
        <v>0.14274771999999999</v>
      </c>
      <c r="BS40">
        <f>VLOOKUP(all_cause_mort[[Country]:[Country]],'[1]Mortality Data'!$A$2:$W$201,22,FALSE)</f>
        <v>0.27227117000000001</v>
      </c>
      <c r="BT40">
        <f>VLOOKUP(all_cause_mort[[Country]:[Country]],'[1]Mortality Data'!$A$2:$W$201,23,FALSE)</f>
        <v>0.44060019792642102</v>
      </c>
      <c r="BU40" s="39" t="e">
        <f>VLOOKUP(all_cause_mort[[#This Row],[Country]],[2]!regions[#Data],3,FALSE)</f>
        <v>#REF!</v>
      </c>
    </row>
    <row r="41" spans="1:73" x14ac:dyDescent="0.35">
      <c r="A41" t="s">
        <v>71</v>
      </c>
      <c r="B41">
        <v>20401331</v>
      </c>
      <c r="C41">
        <v>20895311</v>
      </c>
      <c r="D41">
        <v>21418603</v>
      </c>
      <c r="E41">
        <v>21966312</v>
      </c>
      <c r="F41">
        <v>22531350</v>
      </c>
      <c r="G41">
        <v>23108472</v>
      </c>
      <c r="H41">
        <v>23695919</v>
      </c>
      <c r="I41">
        <v>24294750</v>
      </c>
      <c r="K41" t="s">
        <v>71</v>
      </c>
      <c r="L41">
        <v>36.832000000000001</v>
      </c>
      <c r="M41">
        <f>birthrate[[#This Row],[2016]]/1000</f>
        <v>3.6832000000000004E-2</v>
      </c>
      <c r="O41" t="s">
        <v>74</v>
      </c>
      <c r="P41">
        <v>97.4</v>
      </c>
      <c r="Q41">
        <f>facility[[#This Row],[Facility (%)]]/100</f>
        <v>0.97400000000000009</v>
      </c>
      <c r="S41" t="s">
        <v>71</v>
      </c>
      <c r="T41" t="s">
        <v>263</v>
      </c>
      <c r="U41">
        <v>73.7</v>
      </c>
      <c r="V41">
        <f>SBA[[#This Row],[SBA (%)]]/100</f>
        <v>0.73699999999999999</v>
      </c>
      <c r="X41" s="13" t="s">
        <v>81</v>
      </c>
      <c r="Y41" s="10" t="s">
        <v>256</v>
      </c>
      <c r="Z41" s="21">
        <v>1.7000000000000001E-2</v>
      </c>
      <c r="AA41" s="21">
        <v>1.0999999999999999E-2</v>
      </c>
      <c r="AB41" s="21">
        <v>0.02</v>
      </c>
      <c r="AC41">
        <v>10766998</v>
      </c>
      <c r="AD41" s="27">
        <v>1.5306122448979589E-3</v>
      </c>
      <c r="AF41" s="24" t="s">
        <v>69</v>
      </c>
      <c r="AG41" s="24" t="s">
        <v>253</v>
      </c>
      <c r="AH41" s="24">
        <v>99</v>
      </c>
      <c r="AI41" s="25">
        <f>IF(birthdose[[#This Row],[2017]]/100=0, ,birthdose[[#This Row],[2017]]/100)</f>
        <v>0.99</v>
      </c>
      <c r="AK41" s="24" t="s">
        <v>69</v>
      </c>
      <c r="AL41" s="24" t="s">
        <v>254</v>
      </c>
      <c r="AM41" s="24">
        <v>99</v>
      </c>
      <c r="AN41" s="25">
        <f>IF(fullvax[[#This Row],[2017]]/100=0, ,fullvax[[#This Row],[2017]]/100)</f>
        <v>0.99</v>
      </c>
      <c r="AP41" s="20" t="s">
        <v>118</v>
      </c>
      <c r="AQ41" s="20">
        <v>1</v>
      </c>
      <c r="AR41" s="20">
        <v>0</v>
      </c>
      <c r="AS41" s="20">
        <v>0.6192701779615315</v>
      </c>
      <c r="AT41" s="20">
        <v>0.3807298220384685</v>
      </c>
      <c r="AV41" s="12" t="s">
        <v>67</v>
      </c>
      <c r="AW41" s="14" t="s">
        <v>15</v>
      </c>
      <c r="AX41" s="41">
        <f>VLOOKUP(all_cause_mort[[#This Row],[Country]],[1]!populations[#Data],9,FALSE)*VLOOKUP(all_cause_mort[[#This Row],[Country]],[1]!birthrate[#Data],3,FALSE)</f>
        <v>26741.892672000002</v>
      </c>
      <c r="AY41">
        <f>VLOOKUP(all_cause_mort[[Country]:[Country]],'[1]Mortality Data'!$A$2:$W$201,2,FALSE)</f>
        <v>5.5472803000000001E-2</v>
      </c>
      <c r="AZ41">
        <f>VLOOKUP(all_cause_mort[[Country]:[Country]],'[1]Mortality Data'!$A$2:$W$201,3,FALSE)</f>
        <v>4.5249037999999997E-3</v>
      </c>
      <c r="BA41">
        <f>VLOOKUP(all_cause_mort[[Country]:[Country]],'[1]Mortality Data'!$A$2:$W$201,4,FALSE)</f>
        <v>1.3732338E-3</v>
      </c>
      <c r="BB41">
        <f>VLOOKUP(all_cause_mort[[Country]:[Country]],'[1]Mortality Data'!$A$2:$W$201,5,FALSE)</f>
        <v>1.0760004000000001E-3</v>
      </c>
      <c r="BC41">
        <f>VLOOKUP(all_cause_mort[[Country]:[Country]],'[1]Mortality Data'!$A$2:$W$201,6,FALSE)</f>
        <v>1.7285523000000001E-3</v>
      </c>
      <c r="BD41">
        <f>VLOOKUP(all_cause_mort[[Country]:[Country]],'[1]Mortality Data'!$A$2:$W$201,7,FALSE)</f>
        <v>2.4113734000000002E-3</v>
      </c>
      <c r="BE41">
        <f>VLOOKUP(all_cause_mort[[Country]:[Country]],'[1]Mortality Data'!$A$2:$W$201,8,FALSE)</f>
        <v>2.6308909000000002E-3</v>
      </c>
      <c r="BF41">
        <f>VLOOKUP(all_cause_mort[[Country]:[Country]],'[1]Mortality Data'!$A$2:$W$201,9,FALSE)</f>
        <v>3.0158539000000001E-3</v>
      </c>
      <c r="BG41">
        <f>VLOOKUP(all_cause_mort[[Country]:[Country]],'[1]Mortality Data'!$A$2:$W$201,10,FALSE)</f>
        <v>3.7312254E-3</v>
      </c>
      <c r="BH41">
        <f>VLOOKUP(all_cause_mort[[Country]:[Country]],'[1]Mortality Data'!$A$2:$W$201,11,FALSE)</f>
        <v>4.916536E-3</v>
      </c>
      <c r="BI41">
        <f>VLOOKUP(all_cause_mort[[Country]:[Country]],'[1]Mortality Data'!$A$2:$W$201,12,FALSE)</f>
        <v>6.8745287000000002E-3</v>
      </c>
      <c r="BJ41">
        <f>VLOOKUP(all_cause_mort[[Country]:[Country]],'[1]Mortality Data'!$A$2:$W$201,13,FALSE)</f>
        <v>1.0043217E-2</v>
      </c>
      <c r="BK41">
        <f>VLOOKUP(all_cause_mort[[Country]:[Country]],'[1]Mortality Data'!$A$2:$W$201,14,FALSE)</f>
        <v>1.4911493E-2</v>
      </c>
      <c r="BL41">
        <f>VLOOKUP(all_cause_mort[[Country]:[Country]],'[1]Mortality Data'!$A$2:$W$201,15,FALSE)</f>
        <v>2.2855558000000002E-2</v>
      </c>
      <c r="BM41">
        <f>VLOOKUP(all_cause_mort[[Country]:[Country]],'[1]Mortality Data'!$A$2:$W$201,16,FALSE)</f>
        <v>3.5487851000000001E-2</v>
      </c>
      <c r="BN41">
        <f>VLOOKUP(all_cause_mort[[Country]:[Country]],'[1]Mortality Data'!$A$2:$W$201,17,FALSE)</f>
        <v>5.6609964999999998E-2</v>
      </c>
      <c r="BO41">
        <f>VLOOKUP(all_cause_mort[[Country]:[Country]],'[1]Mortality Data'!$A$2:$W$201,18,FALSE)</f>
        <v>9.0532574000000005E-2</v>
      </c>
      <c r="BP41">
        <f>VLOOKUP(all_cause_mort[[Country]:[Country]],'[1]Mortality Data'!$A$2:$W$201,19,FALSE)</f>
        <v>0.14442558999999999</v>
      </c>
      <c r="BQ41">
        <f>VLOOKUP(all_cause_mort[[Country]:[Country]],'[1]Mortality Data'!$A$2:$W$201,20,FALSE)</f>
        <v>0.2223145</v>
      </c>
      <c r="BR41">
        <f>VLOOKUP(all_cause_mort[[Country]:[Country]],'[1]Mortality Data'!$A$2:$W$201,21,FALSE)</f>
        <v>0.32199623999999999</v>
      </c>
      <c r="BS41">
        <f>VLOOKUP(all_cause_mort[[Country]:[Country]],'[1]Mortality Data'!$A$2:$W$201,22,FALSE)</f>
        <v>0.44115535</v>
      </c>
      <c r="BT41">
        <f>VLOOKUP(all_cause_mort[[Country]:[Country]],'[1]Mortality Data'!$A$2:$W$201,23,FALSE)</f>
        <v>0.57405554802586001</v>
      </c>
      <c r="BU41" s="39" t="e">
        <f>VLOOKUP(all_cause_mort[[#This Row],[Country]],[2]!regions[#Data],3,FALSE)</f>
        <v>#REF!</v>
      </c>
    </row>
    <row r="42" spans="1:73" x14ac:dyDescent="0.35">
      <c r="A42" t="s">
        <v>59</v>
      </c>
      <c r="B42">
        <v>19970495</v>
      </c>
      <c r="C42">
        <v>20520447</v>
      </c>
      <c r="D42">
        <v>21082383</v>
      </c>
      <c r="E42">
        <v>21655715</v>
      </c>
      <c r="F42">
        <v>22239904</v>
      </c>
      <c r="G42">
        <v>22834522</v>
      </c>
      <c r="H42">
        <v>23439189</v>
      </c>
      <c r="I42">
        <v>24053727</v>
      </c>
      <c r="K42" t="s">
        <v>59</v>
      </c>
      <c r="L42">
        <v>36.299999999999997</v>
      </c>
      <c r="M42">
        <f>birthrate[[#This Row],[2016]]/1000</f>
        <v>3.6299999999999999E-2</v>
      </c>
      <c r="O42" t="s">
        <v>75</v>
      </c>
      <c r="P42">
        <v>99.8</v>
      </c>
      <c r="Q42">
        <f>facility[[#This Row],[Facility (%)]]/100</f>
        <v>0.998</v>
      </c>
      <c r="S42" t="s">
        <v>72</v>
      </c>
      <c r="T42">
        <v>2015</v>
      </c>
      <c r="U42">
        <v>99.9</v>
      </c>
      <c r="V42">
        <f>SBA[[#This Row],[SBA (%)]]/100</f>
        <v>0.99900000000000011</v>
      </c>
      <c r="X42" s="10" t="s">
        <v>82</v>
      </c>
      <c r="Y42" s="10" t="s">
        <v>252</v>
      </c>
      <c r="Z42" s="21">
        <v>0.02</v>
      </c>
      <c r="AA42" s="21">
        <v>1.0800000000000001E-2</v>
      </c>
      <c r="AB42" s="21">
        <v>3.6799999999999999E-2</v>
      </c>
      <c r="AC42" s="22">
        <v>14934690</v>
      </c>
      <c r="AD42" s="27">
        <v>8.5714285714285719E-3</v>
      </c>
      <c r="AF42" s="24" t="s">
        <v>70</v>
      </c>
      <c r="AG42" s="24" t="s">
        <v>253</v>
      </c>
      <c r="AH42" s="24">
        <v>87</v>
      </c>
      <c r="AI42" s="25">
        <f>IF(birthdose[[#This Row],[2017]]/100=0, ,birthdose[[#This Row],[2017]]/100)</f>
        <v>0.87</v>
      </c>
      <c r="AK42" s="24" t="s">
        <v>70</v>
      </c>
      <c r="AL42" s="24" t="s">
        <v>254</v>
      </c>
      <c r="AM42" s="24">
        <v>97</v>
      </c>
      <c r="AN42" s="25">
        <f>IF(fullvax[[#This Row],[2017]]/100=0, ,fullvax[[#This Row],[2017]]/100)</f>
        <v>0.97</v>
      </c>
      <c r="AP42" s="20" t="s">
        <v>119</v>
      </c>
      <c r="AQ42" s="20">
        <v>0.99716454418182299</v>
      </c>
      <c r="AR42" s="20">
        <v>2.8354558181770129E-3</v>
      </c>
      <c r="AS42" s="20">
        <v>2.5240727910297925E-2</v>
      </c>
      <c r="AT42" s="20">
        <v>0.97475927208970203</v>
      </c>
      <c r="AV42" s="8" t="s">
        <v>68</v>
      </c>
      <c r="AW42" s="11" t="s">
        <v>15</v>
      </c>
      <c r="AX42" s="41">
        <f>VLOOKUP(all_cause_mort[[#This Row],[Country]],[1]!populations[#Data],9,FALSE)*VLOOKUP(all_cause_mort[[#This Row],[Country]],[1]!birthrate[#Data],3,FALSE)</f>
        <v>182174.51175000001</v>
      </c>
      <c r="AY42">
        <f>VLOOKUP(all_cause_mort[[Country]:[Country]],'[1]Mortality Data'!$A$2:$W$201,2,FALSE)</f>
        <v>3.6400307999999999E-2</v>
      </c>
      <c r="AZ42">
        <f>VLOOKUP(all_cause_mort[[Country]:[Country]],'[1]Mortality Data'!$A$2:$W$201,3,FALSE)</f>
        <v>3.1970289000000001E-3</v>
      </c>
      <c r="BA42">
        <f>VLOOKUP(all_cause_mort[[Country]:[Country]],'[1]Mortality Data'!$A$2:$W$201,4,FALSE)</f>
        <v>1.3498167E-3</v>
      </c>
      <c r="BB42">
        <f>VLOOKUP(all_cause_mort[[Country]:[Country]],'[1]Mortality Data'!$A$2:$W$201,5,FALSE)</f>
        <v>9.9636261999999989E-4</v>
      </c>
      <c r="BC42">
        <f>VLOOKUP(all_cause_mort[[Country]:[Country]],'[1]Mortality Data'!$A$2:$W$201,6,FALSE)</f>
        <v>1.6271776E-3</v>
      </c>
      <c r="BD42">
        <f>VLOOKUP(all_cause_mort[[Country]:[Country]],'[1]Mortality Data'!$A$2:$W$201,7,FALSE)</f>
        <v>2.5752536000000002E-3</v>
      </c>
      <c r="BE42">
        <f>VLOOKUP(all_cause_mort[[Country]:[Country]],'[1]Mortality Data'!$A$2:$W$201,8,FALSE)</f>
        <v>3.46861E-3</v>
      </c>
      <c r="BF42">
        <f>VLOOKUP(all_cause_mort[[Country]:[Country]],'[1]Mortality Data'!$A$2:$W$201,9,FALSE)</f>
        <v>4.4201850000000001E-3</v>
      </c>
      <c r="BG42">
        <f>VLOOKUP(all_cause_mort[[Country]:[Country]],'[1]Mortality Data'!$A$2:$W$201,10,FALSE)</f>
        <v>5.7552265999999998E-3</v>
      </c>
      <c r="BH42">
        <f>VLOOKUP(all_cause_mort[[Country]:[Country]],'[1]Mortality Data'!$A$2:$W$201,11,FALSE)</f>
        <v>7.1137529E-3</v>
      </c>
      <c r="BI42">
        <f>VLOOKUP(all_cause_mort[[Country]:[Country]],'[1]Mortality Data'!$A$2:$W$201,12,FALSE)</f>
        <v>8.7795714999999996E-3</v>
      </c>
      <c r="BJ42">
        <f>VLOOKUP(all_cause_mort[[Country]:[Country]],'[1]Mortality Data'!$A$2:$W$201,13,FALSE)</f>
        <v>1.177661E-2</v>
      </c>
      <c r="BK42">
        <f>VLOOKUP(all_cause_mort[[Country]:[Country]],'[1]Mortality Data'!$A$2:$W$201,14,FALSE)</f>
        <v>1.5364276E-2</v>
      </c>
      <c r="BL42">
        <f>VLOOKUP(all_cause_mort[[Country]:[Country]],'[1]Mortality Data'!$A$2:$W$201,15,FALSE)</f>
        <v>2.2439132000000001E-2</v>
      </c>
      <c r="BM42">
        <f>VLOOKUP(all_cause_mort[[Country]:[Country]],'[1]Mortality Data'!$A$2:$W$201,16,FALSE)</f>
        <v>3.4486338999999998E-2</v>
      </c>
      <c r="BN42">
        <f>VLOOKUP(all_cause_mort[[Country]:[Country]],'[1]Mortality Data'!$A$2:$W$201,17,FALSE)</f>
        <v>5.4999026999999999E-2</v>
      </c>
      <c r="BO42">
        <f>VLOOKUP(all_cause_mort[[Country]:[Country]],'[1]Mortality Data'!$A$2:$W$201,18,FALSE)</f>
        <v>8.9638259999999997E-2</v>
      </c>
      <c r="BP42">
        <f>VLOOKUP(all_cause_mort[[Country]:[Country]],'[1]Mortality Data'!$A$2:$W$201,19,FALSE)</f>
        <v>0.15262118</v>
      </c>
      <c r="BQ42">
        <f>VLOOKUP(all_cause_mort[[Country]:[Country]],'[1]Mortality Data'!$A$2:$W$201,20,FALSE)</f>
        <v>0.26018616999999999</v>
      </c>
      <c r="BR42">
        <f>VLOOKUP(all_cause_mort[[Country]:[Country]],'[1]Mortality Data'!$A$2:$W$201,21,FALSE)</f>
        <v>0.43492473999999998</v>
      </c>
      <c r="BS42">
        <f>VLOOKUP(all_cause_mort[[Country]:[Country]],'[1]Mortality Data'!$A$2:$W$201,22,FALSE)</f>
        <v>0.62217226000000003</v>
      </c>
      <c r="BT42">
        <f>VLOOKUP(all_cause_mort[[Country]:[Country]],'[1]Mortality Data'!$A$2:$W$201,23,FALSE)</f>
        <v>0.81784264396749895</v>
      </c>
      <c r="BU42" s="39" t="e">
        <f>VLOOKUP(all_cause_mort[[#This Row],[Country]],[2]!regions[#Data],3,FALSE)</f>
        <v>#REF!</v>
      </c>
    </row>
    <row r="43" spans="1:73" x14ac:dyDescent="0.35">
      <c r="A43" t="s">
        <v>77</v>
      </c>
      <c r="B43">
        <v>64523263</v>
      </c>
      <c r="C43">
        <v>66713597</v>
      </c>
      <c r="D43">
        <v>68978682</v>
      </c>
      <c r="E43">
        <v>71316033</v>
      </c>
      <c r="F43">
        <v>73722860</v>
      </c>
      <c r="G43">
        <v>76196619</v>
      </c>
      <c r="H43">
        <v>78736153</v>
      </c>
      <c r="I43">
        <v>81339988</v>
      </c>
      <c r="K43" t="s">
        <v>77</v>
      </c>
      <c r="L43">
        <v>42.28</v>
      </c>
      <c r="M43">
        <f>birthrate[[#This Row],[2016]]/1000</f>
        <v>4.2279999999999998E-2</v>
      </c>
      <c r="O43" t="s">
        <v>76</v>
      </c>
      <c r="P43">
        <v>94.7</v>
      </c>
      <c r="Q43">
        <f>facility[[#This Row],[Facility (%)]]/100</f>
        <v>0.94700000000000006</v>
      </c>
      <c r="S43" t="s">
        <v>73</v>
      </c>
      <c r="T43">
        <v>2016</v>
      </c>
      <c r="U43">
        <v>99.9</v>
      </c>
      <c r="V43">
        <f>SBA[[#This Row],[SBA (%)]]/100</f>
        <v>0.99900000000000011</v>
      </c>
      <c r="X43" s="13" t="s">
        <v>83</v>
      </c>
      <c r="Y43" s="13" t="s">
        <v>256</v>
      </c>
      <c r="Z43" s="26">
        <v>0.01</v>
      </c>
      <c r="AA43" s="26">
        <v>8.9999999999999993E-3</v>
      </c>
      <c r="AB43" s="26">
        <v>1.2E-2</v>
      </c>
      <c r="AC43">
        <v>97553151</v>
      </c>
      <c r="AD43" s="27">
        <v>1.0204081632653062E-3</v>
      </c>
      <c r="AF43" s="24" t="s">
        <v>71</v>
      </c>
      <c r="AG43" s="24" t="s">
        <v>253</v>
      </c>
      <c r="AH43" s="24"/>
      <c r="AI43" s="25">
        <f>IF(birthdose[[#This Row],[2017]]/100=0, ,birthdose[[#This Row],[2017]]/100)</f>
        <v>0</v>
      </c>
      <c r="AK43" s="24" t="s">
        <v>71</v>
      </c>
      <c r="AL43" s="24" t="s">
        <v>254</v>
      </c>
      <c r="AM43" s="24">
        <v>84</v>
      </c>
      <c r="AN43" s="25">
        <f>IF(fullvax[[#This Row],[2017]]/100=0, ,fullvax[[#This Row],[2017]]/100)</f>
        <v>0.84</v>
      </c>
      <c r="AP43" s="20" t="s">
        <v>278</v>
      </c>
      <c r="AQ43" s="20">
        <v>0.9990625030985153</v>
      </c>
      <c r="AR43" s="20">
        <v>9.3749690148470233E-4</v>
      </c>
      <c r="AS43" s="20">
        <v>0.27666603575545884</v>
      </c>
      <c r="AT43" s="20">
        <v>0.72333396424454111</v>
      </c>
      <c r="AV43" s="12" t="s">
        <v>69</v>
      </c>
      <c r="AW43" s="14" t="s">
        <v>58</v>
      </c>
      <c r="AX43" s="41">
        <f>VLOOKUP(all_cause_mort[[#This Row],[Country]],[1]!populations[#Data],9,FALSE)*VLOOKUP(all_cause_mort[[#This Row],[Country]],[1]!birthrate[#Data],3,FALSE)</f>
        <v>243.93600000000001</v>
      </c>
      <c r="BU43" s="39" t="e">
        <f>VLOOKUP(all_cause_mort[[#This Row],[Country]],[2]!regions[#Data],3,FALSE)</f>
        <v>#REF!</v>
      </c>
    </row>
    <row r="44" spans="1:73" x14ac:dyDescent="0.35">
      <c r="A44" t="s">
        <v>68</v>
      </c>
      <c r="B44">
        <v>4386693</v>
      </c>
      <c r="C44">
        <v>4512730</v>
      </c>
      <c r="D44">
        <v>4633363</v>
      </c>
      <c r="E44">
        <v>4751393</v>
      </c>
      <c r="F44">
        <v>4871101</v>
      </c>
      <c r="G44">
        <v>4995648</v>
      </c>
      <c r="H44">
        <v>5125821</v>
      </c>
      <c r="I44">
        <v>5260750</v>
      </c>
      <c r="K44" t="s">
        <v>68</v>
      </c>
      <c r="L44">
        <v>34.628999999999998</v>
      </c>
      <c r="M44">
        <f>birthrate[[#This Row],[2016]]/1000</f>
        <v>3.4629E-2</v>
      </c>
      <c r="O44" t="s">
        <v>77</v>
      </c>
      <c r="P44">
        <v>79.900000000000006</v>
      </c>
      <c r="Q44">
        <f>facility[[#This Row],[Facility (%)]]/100</f>
        <v>0.79900000000000004</v>
      </c>
      <c r="S44" t="s">
        <v>74</v>
      </c>
      <c r="T44">
        <v>2014</v>
      </c>
      <c r="U44">
        <v>97.4</v>
      </c>
      <c r="V44">
        <f>SBA[[#This Row],[SBA (%)]]/100</f>
        <v>0.97400000000000009</v>
      </c>
      <c r="X44" s="10" t="s">
        <v>84</v>
      </c>
      <c r="Y44" s="10" t="s">
        <v>256</v>
      </c>
      <c r="Z44" s="21">
        <v>0.01</v>
      </c>
      <c r="AA44" s="21">
        <v>5.0000000000000001E-3</v>
      </c>
      <c r="AB44" s="21">
        <v>1.2E-2</v>
      </c>
      <c r="AC44">
        <v>6377853</v>
      </c>
      <c r="AD44" s="27">
        <v>1.0204081632653062E-3</v>
      </c>
      <c r="AF44" s="24" t="s">
        <v>72</v>
      </c>
      <c r="AG44" s="24" t="s">
        <v>253</v>
      </c>
      <c r="AH44" s="24"/>
      <c r="AI44" s="25">
        <f>IF(birthdose[[#This Row],[2017]]/100=0, ,birthdose[[#This Row],[2017]]/100)</f>
        <v>0</v>
      </c>
      <c r="AK44" s="24" t="s">
        <v>72</v>
      </c>
      <c r="AL44" s="24" t="s">
        <v>254</v>
      </c>
      <c r="AM44" s="24">
        <v>94</v>
      </c>
      <c r="AN44" s="25">
        <f>IF(fullvax[[#This Row],[2017]]/100=0, ,fullvax[[#This Row],[2017]]/100)</f>
        <v>0.94</v>
      </c>
      <c r="AP44" s="20" t="s">
        <v>123</v>
      </c>
      <c r="AQ44" s="20">
        <v>0.98840988212015712</v>
      </c>
      <c r="AR44" s="20">
        <v>1.1590117879842876E-2</v>
      </c>
      <c r="AS44" s="20">
        <v>7.1702765889770162E-2</v>
      </c>
      <c r="AT44" s="20">
        <v>0.9282972341102298</v>
      </c>
      <c r="AV44" s="8" t="s">
        <v>70</v>
      </c>
      <c r="AW44" s="11" t="s">
        <v>23</v>
      </c>
      <c r="AX44" s="41">
        <f>VLOOKUP(all_cause_mort[[#This Row],[Country]],[1]!populations[#Data],9,FALSE)*VLOOKUP(all_cause_mort[[#This Row],[Country]],[1]!birthrate[#Data],3,FALSE)</f>
        <v>70098.533240999997</v>
      </c>
      <c r="AY44">
        <f>VLOOKUP(all_cause_mort[[Country]:[Country]],'[1]Mortality Data'!$A$2:$W$201,2,FALSE)</f>
        <v>7.3683300999999998E-3</v>
      </c>
      <c r="AZ44">
        <f>VLOOKUP(all_cause_mort[[Country]:[Country]],'[1]Mortality Data'!$A$2:$W$201,3,FALSE)</f>
        <v>4.6194063000000002E-4</v>
      </c>
      <c r="BA44">
        <f>VLOOKUP(all_cause_mort[[Country]:[Country]],'[1]Mortality Data'!$A$2:$W$201,4,FALSE)</f>
        <v>1.8927972000000001E-4</v>
      </c>
      <c r="BB44">
        <f>VLOOKUP(all_cause_mort[[Country]:[Country]],'[1]Mortality Data'!$A$2:$W$201,5,FALSE)</f>
        <v>2.5247391999999998E-4</v>
      </c>
      <c r="BC44">
        <f>VLOOKUP(all_cause_mort[[Country]:[Country]],'[1]Mortality Data'!$A$2:$W$201,6,FALSE)</f>
        <v>5.2234079999999999E-4</v>
      </c>
      <c r="BD44">
        <f>VLOOKUP(all_cause_mort[[Country]:[Country]],'[1]Mortality Data'!$A$2:$W$201,7,FALSE)</f>
        <v>7.9235701E-4</v>
      </c>
      <c r="BE44">
        <f>VLOOKUP(all_cause_mort[[Country]:[Country]],'[1]Mortality Data'!$A$2:$W$201,8,FALSE)</f>
        <v>9.2155706000000002E-4</v>
      </c>
      <c r="BF44">
        <f>VLOOKUP(all_cause_mort[[Country]:[Country]],'[1]Mortality Data'!$A$2:$W$201,9,FALSE)</f>
        <v>1.0885433000000001E-3</v>
      </c>
      <c r="BG44">
        <f>VLOOKUP(all_cause_mort[[Country]:[Country]],'[1]Mortality Data'!$A$2:$W$201,10,FALSE)</f>
        <v>1.3362409999999999E-3</v>
      </c>
      <c r="BH44">
        <f>VLOOKUP(all_cause_mort[[Country]:[Country]],'[1]Mortality Data'!$A$2:$W$201,11,FALSE)</f>
        <v>1.7556926999999999E-3</v>
      </c>
      <c r="BI44">
        <f>VLOOKUP(all_cause_mort[[Country]:[Country]],'[1]Mortality Data'!$A$2:$W$201,12,FALSE)</f>
        <v>2.4831569000000001E-3</v>
      </c>
      <c r="BJ44">
        <f>VLOOKUP(all_cause_mort[[Country]:[Country]],'[1]Mortality Data'!$A$2:$W$201,13,FALSE)</f>
        <v>3.6503285000000002E-3</v>
      </c>
      <c r="BK44">
        <f>VLOOKUP(all_cause_mort[[Country]:[Country]],'[1]Mortality Data'!$A$2:$W$201,14,FALSE)</f>
        <v>5.5623338999999999E-3</v>
      </c>
      <c r="BL44">
        <f>VLOOKUP(all_cause_mort[[Country]:[Country]],'[1]Mortality Data'!$A$2:$W$201,15,FALSE)</f>
        <v>8.6270466000000004E-3</v>
      </c>
      <c r="BM44">
        <f>VLOOKUP(all_cause_mort[[Country]:[Country]],'[1]Mortality Data'!$A$2:$W$201,16,FALSE)</f>
        <v>1.3664987E-2</v>
      </c>
      <c r="BN44">
        <f>VLOOKUP(all_cause_mort[[Country]:[Country]],'[1]Mortality Data'!$A$2:$W$201,17,FALSE)</f>
        <v>2.1521433E-2</v>
      </c>
      <c r="BO44">
        <f>VLOOKUP(all_cause_mort[[Country]:[Country]],'[1]Mortality Data'!$A$2:$W$201,18,FALSE)</f>
        <v>3.5180303000000003E-2</v>
      </c>
      <c r="BP44">
        <f>VLOOKUP(all_cause_mort[[Country]:[Country]],'[1]Mortality Data'!$A$2:$W$201,19,FALSE)</f>
        <v>5.7461654000000001E-2</v>
      </c>
      <c r="BQ44">
        <f>VLOOKUP(all_cause_mort[[Country]:[Country]],'[1]Mortality Data'!$A$2:$W$201,20,FALSE)</f>
        <v>9.2488011999999994E-2</v>
      </c>
      <c r="BR44">
        <f>VLOOKUP(all_cause_mort[[Country]:[Country]],'[1]Mortality Data'!$A$2:$W$201,21,FALSE)</f>
        <v>0.14816710999999999</v>
      </c>
      <c r="BS44">
        <f>VLOOKUP(all_cause_mort[[Country]:[Country]],'[1]Mortality Data'!$A$2:$W$201,22,FALSE)</f>
        <v>0.23691423</v>
      </c>
      <c r="BT44">
        <f>VLOOKUP(all_cause_mort[[Country]:[Country]],'[1]Mortality Data'!$A$2:$W$201,23,FALSE)</f>
        <v>0.40364048194350599</v>
      </c>
      <c r="BU44" s="39" t="e">
        <f>VLOOKUP(all_cause_mort[[#This Row],[Country]],[2]!regions[#Data],3,FALSE)</f>
        <v>#REF!</v>
      </c>
    </row>
    <row r="45" spans="1:73" x14ac:dyDescent="0.35">
      <c r="A45" t="s">
        <v>66</v>
      </c>
      <c r="B45">
        <v>45918097</v>
      </c>
      <c r="C45">
        <v>46406646</v>
      </c>
      <c r="D45">
        <v>46881475</v>
      </c>
      <c r="E45">
        <v>47342981</v>
      </c>
      <c r="F45">
        <v>47791911</v>
      </c>
      <c r="G45">
        <v>48228697</v>
      </c>
      <c r="H45">
        <v>48653419</v>
      </c>
      <c r="I45">
        <v>49065615</v>
      </c>
      <c r="K45" t="s">
        <v>66</v>
      </c>
      <c r="L45">
        <v>15.198</v>
      </c>
      <c r="M45">
        <f>birthrate[[#This Row],[2016]]/1000</f>
        <v>1.5198E-2</v>
      </c>
      <c r="O45" t="s">
        <v>79</v>
      </c>
      <c r="P45">
        <v>86.7</v>
      </c>
      <c r="Q45">
        <f>facility[[#This Row],[Facility (%)]]/100</f>
        <v>0.86699999999999999</v>
      </c>
      <c r="S45" t="s">
        <v>75</v>
      </c>
      <c r="T45">
        <v>2013</v>
      </c>
      <c r="U45">
        <v>99.8</v>
      </c>
      <c r="V45">
        <f>SBA[[#This Row],[SBA (%)]]/100</f>
        <v>0.998</v>
      </c>
      <c r="X45" s="13" t="s">
        <v>85</v>
      </c>
      <c r="Y45" s="13" t="s">
        <v>252</v>
      </c>
      <c r="Z45" s="26">
        <v>8.8099999999999998E-2</v>
      </c>
      <c r="AA45" s="26">
        <v>7.6600000000000001E-2</v>
      </c>
      <c r="AB45" s="26">
        <v>0.1012</v>
      </c>
      <c r="AC45" s="22">
        <v>951104</v>
      </c>
      <c r="AD45" s="27">
        <v>6.6836734693877554E-3</v>
      </c>
      <c r="AF45" s="24" t="s">
        <v>73</v>
      </c>
      <c r="AG45" s="24" t="s">
        <v>253</v>
      </c>
      <c r="AH45" s="24">
        <v>99</v>
      </c>
      <c r="AI45" s="25">
        <f>IF(birthdose[[#This Row],[2017]]/100=0, ,birthdose[[#This Row],[2017]]/100)</f>
        <v>0.99</v>
      </c>
      <c r="AK45" s="24" t="s">
        <v>73</v>
      </c>
      <c r="AL45" s="24" t="s">
        <v>254</v>
      </c>
      <c r="AM45" s="24">
        <v>99</v>
      </c>
      <c r="AN45" s="25">
        <f>IF(fullvax[[#This Row],[2017]]/100=0, ,fullvax[[#This Row],[2017]]/100)</f>
        <v>0.99</v>
      </c>
      <c r="AP45" s="20" t="s">
        <v>126</v>
      </c>
      <c r="AQ45" s="20">
        <v>0.99388882107403709</v>
      </c>
      <c r="AR45" s="20">
        <v>6.1111789259629123E-3</v>
      </c>
      <c r="AS45" s="20">
        <v>8.3839659671300693E-2</v>
      </c>
      <c r="AT45" s="20">
        <v>0.91616034032869931</v>
      </c>
      <c r="AV45" s="12" t="s">
        <v>71</v>
      </c>
      <c r="AW45" s="14" t="s">
        <v>15</v>
      </c>
      <c r="AX45" s="41">
        <f>VLOOKUP(all_cause_mort[[#This Row],[Country]],[1]!populations[#Data],9,FALSE)*VLOOKUP(all_cause_mort[[#This Row],[Country]],[1]!birthrate[#Data],3,FALSE)</f>
        <v>894824.23200000008</v>
      </c>
      <c r="AY45">
        <f>VLOOKUP(all_cause_mort[[Country]:[Country]],'[1]Mortality Data'!$A$2:$W$201,2,FALSE)</f>
        <v>6.3442469000000001E-2</v>
      </c>
      <c r="AZ45">
        <f>VLOOKUP(all_cause_mort[[Country]:[Country]],'[1]Mortality Data'!$A$2:$W$201,3,FALSE)</f>
        <v>7.2161496999999996E-3</v>
      </c>
      <c r="BA45">
        <f>VLOOKUP(all_cause_mort[[Country]:[Country]],'[1]Mortality Data'!$A$2:$W$201,4,FALSE)</f>
        <v>2.6004626000000002E-3</v>
      </c>
      <c r="BB45">
        <f>VLOOKUP(all_cause_mort[[Country]:[Country]],'[1]Mortality Data'!$A$2:$W$201,5,FALSE)</f>
        <v>1.8686052E-3</v>
      </c>
      <c r="BC45">
        <f>VLOOKUP(all_cause_mort[[Country]:[Country]],'[1]Mortality Data'!$A$2:$W$201,6,FALSE)</f>
        <v>2.7896828000000002E-3</v>
      </c>
      <c r="BD45">
        <f>VLOOKUP(all_cause_mort[[Country]:[Country]],'[1]Mortality Data'!$A$2:$W$201,7,FALSE)</f>
        <v>4.138409E-3</v>
      </c>
      <c r="BE45">
        <f>VLOOKUP(all_cause_mort[[Country]:[Country]],'[1]Mortality Data'!$A$2:$W$201,8,FALSE)</f>
        <v>5.2952583000000003E-3</v>
      </c>
      <c r="BF45">
        <f>VLOOKUP(all_cause_mort[[Country]:[Country]],'[1]Mortality Data'!$A$2:$W$201,9,FALSE)</f>
        <v>6.5138143000000003E-3</v>
      </c>
      <c r="BG45">
        <f>VLOOKUP(all_cause_mort[[Country]:[Country]],'[1]Mortality Data'!$A$2:$W$201,10,FALSE)</f>
        <v>8.1986248999999997E-3</v>
      </c>
      <c r="BH45">
        <f>VLOOKUP(all_cause_mort[[Country]:[Country]],'[1]Mortality Data'!$A$2:$W$201,11,FALSE)</f>
        <v>9.9879718000000003E-3</v>
      </c>
      <c r="BI45">
        <f>VLOOKUP(all_cause_mort[[Country]:[Country]],'[1]Mortality Data'!$A$2:$W$201,12,FALSE)</f>
        <v>1.2074784999999999E-2</v>
      </c>
      <c r="BJ45">
        <f>VLOOKUP(all_cause_mort[[Country]:[Country]],'[1]Mortality Data'!$A$2:$W$201,13,FALSE)</f>
        <v>1.5900786E-2</v>
      </c>
      <c r="BK45">
        <f>VLOOKUP(all_cause_mort[[Country]:[Country]],'[1]Mortality Data'!$A$2:$W$201,14,FALSE)</f>
        <v>2.0506931999999999E-2</v>
      </c>
      <c r="BL45">
        <f>VLOOKUP(all_cause_mort[[Country]:[Country]],'[1]Mortality Data'!$A$2:$W$201,15,FALSE)</f>
        <v>2.9480809E-2</v>
      </c>
      <c r="BM45">
        <f>VLOOKUP(all_cause_mort[[Country]:[Country]],'[1]Mortality Data'!$A$2:$W$201,16,FALSE)</f>
        <v>4.4344512000000003E-2</v>
      </c>
      <c r="BN45">
        <f>VLOOKUP(all_cause_mort[[Country]:[Country]],'[1]Mortality Data'!$A$2:$W$201,17,FALSE)</f>
        <v>6.8991328000000005E-2</v>
      </c>
      <c r="BO45">
        <f>VLOOKUP(all_cause_mort[[Country]:[Country]],'[1]Mortality Data'!$A$2:$W$201,18,FALSE)</f>
        <v>0.10887131999999999</v>
      </c>
      <c r="BP45">
        <f>VLOOKUP(all_cause_mort[[Country]:[Country]],'[1]Mortality Data'!$A$2:$W$201,19,FALSE)</f>
        <v>0.17797034</v>
      </c>
      <c r="BQ45">
        <f>VLOOKUP(all_cause_mort[[Country]:[Country]],'[1]Mortality Data'!$A$2:$W$201,20,FALSE)</f>
        <v>0.28991855999999999</v>
      </c>
      <c r="BR45">
        <f>VLOOKUP(all_cause_mort[[Country]:[Country]],'[1]Mortality Data'!$A$2:$W$201,21,FALSE)</f>
        <v>0.46328878000000001</v>
      </c>
      <c r="BS45">
        <f>VLOOKUP(all_cause_mort[[Country]:[Country]],'[1]Mortality Data'!$A$2:$W$201,22,FALSE)</f>
        <v>0.64214249000000001</v>
      </c>
      <c r="BT45">
        <f>VLOOKUP(all_cause_mort[[Country]:[Country]],'[1]Mortality Data'!$A$2:$W$201,23,FALSE)</f>
        <v>0.82399187478092095</v>
      </c>
      <c r="BU45" s="39" t="e">
        <f>VLOOKUP(all_cause_mort[[#This Row],[Country]],[2]!regions[#Data],3,FALSE)</f>
        <v>#REF!</v>
      </c>
    </row>
    <row r="46" spans="1:73" x14ac:dyDescent="0.35">
      <c r="A46" t="s">
        <v>67</v>
      </c>
      <c r="B46">
        <v>689692</v>
      </c>
      <c r="C46">
        <v>706569</v>
      </c>
      <c r="D46">
        <v>723868</v>
      </c>
      <c r="E46">
        <v>741500</v>
      </c>
      <c r="F46">
        <v>759385</v>
      </c>
      <c r="G46">
        <v>777424</v>
      </c>
      <c r="H46">
        <v>795601</v>
      </c>
      <c r="I46">
        <v>813912</v>
      </c>
      <c r="K46" t="s">
        <v>67</v>
      </c>
      <c r="L46">
        <v>32.856000000000002</v>
      </c>
      <c r="M46">
        <f>birthrate[[#This Row],[2016]]/1000</f>
        <v>3.2856000000000003E-2</v>
      </c>
      <c r="O46" t="s">
        <v>81</v>
      </c>
      <c r="P46">
        <v>97.9</v>
      </c>
      <c r="Q46">
        <f>facility[[#This Row],[Facility (%)]]/100</f>
        <v>0.97900000000000009</v>
      </c>
      <c r="S46" t="s">
        <v>76</v>
      </c>
      <c r="T46" t="s">
        <v>279</v>
      </c>
      <c r="U46">
        <v>99.99</v>
      </c>
      <c r="V46">
        <f>SBA[[#This Row],[SBA (%)]]/100</f>
        <v>0.9998999999999999</v>
      </c>
      <c r="X46" s="10" t="s">
        <v>86</v>
      </c>
      <c r="Y46" s="10" t="s">
        <v>252</v>
      </c>
      <c r="Z46" s="21">
        <v>2.4899999999999999E-2</v>
      </c>
      <c r="AA46" s="21">
        <v>2.3199999999999998E-2</v>
      </c>
      <c r="AB46" s="21">
        <v>2.6700000000000002E-2</v>
      </c>
      <c r="AC46" s="22">
        <v>4390840</v>
      </c>
      <c r="AD46" s="27">
        <v>9.1836734693877709E-4</v>
      </c>
      <c r="AF46" s="24" t="s">
        <v>74</v>
      </c>
      <c r="AG46" s="24" t="s">
        <v>253</v>
      </c>
      <c r="AH46" s="24"/>
      <c r="AI46" s="25">
        <f>IF(birthdose[[#This Row],[2017]]/100=0, ,birthdose[[#This Row],[2017]]/100)</f>
        <v>0</v>
      </c>
      <c r="AK46" s="24" t="s">
        <v>74</v>
      </c>
      <c r="AL46" s="24" t="s">
        <v>254</v>
      </c>
      <c r="AM46" s="24">
        <v>97</v>
      </c>
      <c r="AN46" s="25">
        <f>IF(fullvax[[#This Row],[2017]]/100=0, ,fullvax[[#This Row],[2017]]/100)</f>
        <v>0.97</v>
      </c>
      <c r="AP46" s="20" t="s">
        <v>127</v>
      </c>
      <c r="AQ46" s="20">
        <v>0.97782016503863767</v>
      </c>
      <c r="AR46" s="20">
        <v>2.2179834961362332E-2</v>
      </c>
      <c r="AS46" s="20">
        <v>0.14796240822349041</v>
      </c>
      <c r="AT46" s="20">
        <v>0.85203759177650962</v>
      </c>
      <c r="AV46" s="8" t="s">
        <v>76</v>
      </c>
      <c r="AW46" s="11" t="s">
        <v>37</v>
      </c>
      <c r="AX46" s="41">
        <f>VLOOKUP(all_cause_mort[[#This Row],[Country]],[1]!populations[#Data],9,FALSE)*VLOOKUP(all_cause_mort[[#This Row],[Country]],[1]!birthrate[#Data],3,FALSE)</f>
        <v>352642.00980999996</v>
      </c>
      <c r="AY46">
        <f>VLOOKUP(all_cause_mort[[Country]:[Country]],'[1]Mortality Data'!$A$2:$W$201,2,FALSE)</f>
        <v>1.4077131E-2</v>
      </c>
      <c r="AZ46">
        <f>VLOOKUP(all_cause_mort[[Country]:[Country]],'[1]Mortality Data'!$A$2:$W$201,3,FALSE)</f>
        <v>1.1558249E-3</v>
      </c>
      <c r="BA46">
        <f>VLOOKUP(all_cause_mort[[Country]:[Country]],'[1]Mortality Data'!$A$2:$W$201,4,FALSE)</f>
        <v>6.4578214999999996E-4</v>
      </c>
      <c r="BB46">
        <f>VLOOKUP(all_cause_mort[[Country]:[Country]],'[1]Mortality Data'!$A$2:$W$201,5,FALSE)</f>
        <v>5.9978897E-4</v>
      </c>
      <c r="BC46">
        <f>VLOOKUP(all_cause_mort[[Country]:[Country]],'[1]Mortality Data'!$A$2:$W$201,6,FALSE)</f>
        <v>8.6667321000000002E-4</v>
      </c>
      <c r="BD46">
        <f>VLOOKUP(all_cause_mort[[Country]:[Country]],'[1]Mortality Data'!$A$2:$W$201,7,FALSE)</f>
        <v>1.2440407999999999E-3</v>
      </c>
      <c r="BE46">
        <f>VLOOKUP(all_cause_mort[[Country]:[Country]],'[1]Mortality Data'!$A$2:$W$201,8,FALSE)</f>
        <v>1.5454567E-3</v>
      </c>
      <c r="BF46">
        <f>VLOOKUP(all_cause_mort[[Country]:[Country]],'[1]Mortality Data'!$A$2:$W$201,9,FALSE)</f>
        <v>1.7561924000000001E-3</v>
      </c>
      <c r="BG46">
        <f>VLOOKUP(all_cause_mort[[Country]:[Country]],'[1]Mortality Data'!$A$2:$W$201,10,FALSE)</f>
        <v>2.0263629000000002E-3</v>
      </c>
      <c r="BH46">
        <f>VLOOKUP(all_cause_mort[[Country]:[Country]],'[1]Mortality Data'!$A$2:$W$201,11,FALSE)</f>
        <v>2.4639854999999999E-3</v>
      </c>
      <c r="BI46">
        <f>VLOOKUP(all_cause_mort[[Country]:[Country]],'[1]Mortality Data'!$A$2:$W$201,12,FALSE)</f>
        <v>3.3698216E-3</v>
      </c>
      <c r="BJ46">
        <f>VLOOKUP(all_cause_mort[[Country]:[Country]],'[1]Mortality Data'!$A$2:$W$201,13,FALSE)</f>
        <v>4.8507804E-3</v>
      </c>
      <c r="BK46">
        <f>VLOOKUP(all_cause_mort[[Country]:[Country]],'[1]Mortality Data'!$A$2:$W$201,14,FALSE)</f>
        <v>9.8938485E-3</v>
      </c>
      <c r="BL46">
        <f>VLOOKUP(all_cause_mort[[Country]:[Country]],'[1]Mortality Data'!$A$2:$W$201,15,FALSE)</f>
        <v>2.0747373E-2</v>
      </c>
      <c r="BM46">
        <f>VLOOKUP(all_cause_mort[[Country]:[Country]],'[1]Mortality Data'!$A$2:$W$201,16,FALSE)</f>
        <v>3.1019004999999999E-2</v>
      </c>
      <c r="BN46">
        <f>VLOOKUP(all_cause_mort[[Country]:[Country]],'[1]Mortality Data'!$A$2:$W$201,17,FALSE)</f>
        <v>4.4843174E-2</v>
      </c>
      <c r="BO46">
        <f>VLOOKUP(all_cause_mort[[Country]:[Country]],'[1]Mortality Data'!$A$2:$W$201,18,FALSE)</f>
        <v>7.4614017000000005E-2</v>
      </c>
      <c r="BP46">
        <f>VLOOKUP(all_cause_mort[[Country]:[Country]],'[1]Mortality Data'!$A$2:$W$201,19,FALSE)</f>
        <v>0.11366689000000001</v>
      </c>
      <c r="BQ46">
        <f>VLOOKUP(all_cause_mort[[Country]:[Country]],'[1]Mortality Data'!$A$2:$W$201,20,FALSE)</f>
        <v>0.17434906999999999</v>
      </c>
      <c r="BR46">
        <f>VLOOKUP(all_cause_mort[[Country]:[Country]],'[1]Mortality Data'!$A$2:$W$201,21,FALSE)</f>
        <v>0.25984231000000002</v>
      </c>
      <c r="BS46">
        <f>VLOOKUP(all_cause_mort[[Country]:[Country]],'[1]Mortality Data'!$A$2:$W$201,22,FALSE)</f>
        <v>0.35983158999999998</v>
      </c>
      <c r="BT46">
        <f>VLOOKUP(all_cause_mort[[Country]:[Country]],'[1]Mortality Data'!$A$2:$W$201,23,FALSE)</f>
        <v>0.50544587604687996</v>
      </c>
      <c r="BU46" s="39" t="e">
        <f>VLOOKUP(all_cause_mort[[#This Row],[Country]],[2]!regions[#Data],3,FALSE)</f>
        <v>#REF!</v>
      </c>
    </row>
    <row r="47" spans="1:73" ht="15" thickBot="1" x14ac:dyDescent="0.4">
      <c r="A47" t="s">
        <v>55</v>
      </c>
      <c r="B47">
        <v>502384</v>
      </c>
      <c r="C47">
        <v>508067</v>
      </c>
      <c r="D47">
        <v>513979</v>
      </c>
      <c r="E47">
        <v>520106</v>
      </c>
      <c r="F47">
        <v>526437</v>
      </c>
      <c r="G47">
        <v>532913</v>
      </c>
      <c r="H47">
        <v>539560</v>
      </c>
      <c r="I47">
        <v>546388</v>
      </c>
      <c r="K47" t="s">
        <v>55</v>
      </c>
      <c r="L47">
        <v>20.901</v>
      </c>
      <c r="M47">
        <f>birthrate[[#This Row],[2016]]/1000</f>
        <v>2.0900999999999999E-2</v>
      </c>
      <c r="O47" t="s">
        <v>82</v>
      </c>
      <c r="P47">
        <v>93.3</v>
      </c>
      <c r="Q47">
        <f>facility[[#This Row],[Facility (%)]]/100</f>
        <v>0.93299999999999994</v>
      </c>
      <c r="S47" t="s">
        <v>77</v>
      </c>
      <c r="T47" t="s">
        <v>280</v>
      </c>
      <c r="U47">
        <v>80.099999999999994</v>
      </c>
      <c r="V47">
        <f>SBA[[#This Row],[SBA (%)]]/100</f>
        <v>0.80099999999999993</v>
      </c>
      <c r="X47" s="13" t="s">
        <v>87</v>
      </c>
      <c r="Y47" s="13" t="s">
        <v>256</v>
      </c>
      <c r="Z47" s="26">
        <v>5.0000000000000001E-3</v>
      </c>
      <c r="AA47" s="26">
        <v>5.0000000000000001E-3</v>
      </c>
      <c r="AB47" s="26">
        <v>6.0000000000000001E-3</v>
      </c>
      <c r="AC47">
        <v>1315480</v>
      </c>
      <c r="AD47" s="27">
        <v>5.1020408163265311E-4</v>
      </c>
      <c r="AF47" s="24" t="s">
        <v>75</v>
      </c>
      <c r="AG47" s="24" t="s">
        <v>253</v>
      </c>
      <c r="AH47" s="24"/>
      <c r="AI47" s="25">
        <f>IF(birthdose[[#This Row],[2017]]/100=0, ,birthdose[[#This Row],[2017]]/100)</f>
        <v>0</v>
      </c>
      <c r="AK47" s="24" t="s">
        <v>75</v>
      </c>
      <c r="AL47" s="24" t="s">
        <v>254</v>
      </c>
      <c r="AM47" s="24">
        <v>94</v>
      </c>
      <c r="AN47" s="25">
        <f>IF(fullvax[[#This Row],[2017]]/100=0, ,fullvax[[#This Row],[2017]]/100)</f>
        <v>0.94</v>
      </c>
      <c r="AP47" s="20" t="s">
        <v>281</v>
      </c>
      <c r="AQ47" s="20">
        <v>0.99129327317194138</v>
      </c>
      <c r="AR47" s="20">
        <v>8.7067268280586196E-3</v>
      </c>
      <c r="AS47" s="20">
        <v>0.45072361251840093</v>
      </c>
      <c r="AT47" s="20">
        <v>0.54927638748159913</v>
      </c>
      <c r="AV47" s="12" t="s">
        <v>77</v>
      </c>
      <c r="AW47" s="14" t="s">
        <v>15</v>
      </c>
      <c r="AX47" s="41">
        <f>VLOOKUP(all_cause_mort[[#This Row],[Country]],[1]!populations[#Data],9,FALSE)*VLOOKUP(all_cause_mort[[#This Row],[Country]],[1]!birthrate[#Data],3,FALSE)</f>
        <v>3439054.69264</v>
      </c>
      <c r="AY47">
        <f>VLOOKUP(all_cause_mort[[Country]:[Country]],'[1]Mortality Data'!$A$2:$W$201,2,FALSE)</f>
        <v>6.8320449000000005E-2</v>
      </c>
      <c r="AZ47">
        <f>VLOOKUP(all_cause_mort[[Country]:[Country]],'[1]Mortality Data'!$A$2:$W$201,3,FALSE)</f>
        <v>9.7251074000000003E-3</v>
      </c>
      <c r="BA47">
        <f>VLOOKUP(all_cause_mort[[Country]:[Country]],'[1]Mortality Data'!$A$2:$W$201,4,FALSE)</f>
        <v>3.4749449000000001E-3</v>
      </c>
      <c r="BB47">
        <f>VLOOKUP(all_cause_mort[[Country]:[Country]],'[1]Mortality Data'!$A$2:$W$201,5,FALSE)</f>
        <v>2.043666E-3</v>
      </c>
      <c r="BC47">
        <f>VLOOKUP(all_cause_mort[[Country]:[Country]],'[1]Mortality Data'!$A$2:$W$201,6,FALSE)</f>
        <v>2.7375091E-3</v>
      </c>
      <c r="BD47">
        <f>VLOOKUP(all_cause_mort[[Country]:[Country]],'[1]Mortality Data'!$A$2:$W$201,7,FALSE)</f>
        <v>3.6964098000000002E-3</v>
      </c>
      <c r="BE47">
        <f>VLOOKUP(all_cause_mort[[Country]:[Country]],'[1]Mortality Data'!$A$2:$W$201,8,FALSE)</f>
        <v>4.0533690000000002E-3</v>
      </c>
      <c r="BF47">
        <f>VLOOKUP(all_cause_mort[[Country]:[Country]],'[1]Mortality Data'!$A$2:$W$201,9,FALSE)</f>
        <v>4.4548219000000002E-3</v>
      </c>
      <c r="BG47">
        <f>VLOOKUP(all_cause_mort[[Country]:[Country]],'[1]Mortality Data'!$A$2:$W$201,10,FALSE)</f>
        <v>5.0503446999999998E-3</v>
      </c>
      <c r="BH47">
        <f>VLOOKUP(all_cause_mort[[Country]:[Country]],'[1]Mortality Data'!$A$2:$W$201,11,FALSE)</f>
        <v>6.2074021000000004E-3</v>
      </c>
      <c r="BI47">
        <f>VLOOKUP(all_cause_mort[[Country]:[Country]],'[1]Mortality Data'!$A$2:$W$201,12,FALSE)</f>
        <v>7.4931245E-3</v>
      </c>
      <c r="BJ47">
        <f>VLOOKUP(all_cause_mort[[Country]:[Country]],'[1]Mortality Data'!$A$2:$W$201,13,FALSE)</f>
        <v>1.0391025E-2</v>
      </c>
      <c r="BK47">
        <f>VLOOKUP(all_cause_mort[[Country]:[Country]],'[1]Mortality Data'!$A$2:$W$201,14,FALSE)</f>
        <v>1.3885656E-2</v>
      </c>
      <c r="BL47">
        <f>VLOOKUP(all_cause_mort[[Country]:[Country]],'[1]Mortality Data'!$A$2:$W$201,15,FALSE)</f>
        <v>2.1032017E-2</v>
      </c>
      <c r="BM47">
        <f>VLOOKUP(all_cause_mort[[Country]:[Country]],'[1]Mortality Data'!$A$2:$W$201,16,FALSE)</f>
        <v>3.2741099000000003E-2</v>
      </c>
      <c r="BN47">
        <f>VLOOKUP(all_cause_mort[[Country]:[Country]],'[1]Mortality Data'!$A$2:$W$201,17,FALSE)</f>
        <v>5.2194549E-2</v>
      </c>
      <c r="BO47">
        <f>VLOOKUP(all_cause_mort[[Country]:[Country]],'[1]Mortality Data'!$A$2:$W$201,18,FALSE)</f>
        <v>8.3117816999999997E-2</v>
      </c>
      <c r="BP47">
        <f>VLOOKUP(all_cause_mort[[Country]:[Country]],'[1]Mortality Data'!$A$2:$W$201,19,FALSE)</f>
        <v>0.13251761000000001</v>
      </c>
      <c r="BQ47">
        <f>VLOOKUP(all_cause_mort[[Country]:[Country]],'[1]Mortality Data'!$A$2:$W$201,20,FALSE)</f>
        <v>0.20422654000000001</v>
      </c>
      <c r="BR47">
        <f>VLOOKUP(all_cause_mort[[Country]:[Country]],'[1]Mortality Data'!$A$2:$W$201,21,FALSE)</f>
        <v>0.29716970999999998</v>
      </c>
      <c r="BS47">
        <f>VLOOKUP(all_cause_mort[[Country]:[Country]],'[1]Mortality Data'!$A$2:$W$201,22,FALSE)</f>
        <v>0.41198641000000003</v>
      </c>
      <c r="BT47">
        <f>VLOOKUP(all_cause_mort[[Country]:[Country]],'[1]Mortality Data'!$A$2:$W$201,23,FALSE)</f>
        <v>0.54104862907204698</v>
      </c>
      <c r="BU47" s="39" t="e">
        <f>VLOOKUP(all_cause_mort[[#This Row],[Country]],[2]!regions[#Data],3,FALSE)</f>
        <v>#REF!</v>
      </c>
    </row>
    <row r="48" spans="1:73" ht="15" thickBot="1" x14ac:dyDescent="0.4">
      <c r="A48" t="s">
        <v>70</v>
      </c>
      <c r="B48">
        <v>4545280</v>
      </c>
      <c r="C48">
        <v>4600474</v>
      </c>
      <c r="D48">
        <v>4654122</v>
      </c>
      <c r="E48">
        <v>4706401</v>
      </c>
      <c r="F48">
        <v>4757575</v>
      </c>
      <c r="G48">
        <v>4807852</v>
      </c>
      <c r="H48">
        <v>4857274</v>
      </c>
      <c r="I48">
        <v>4905769</v>
      </c>
      <c r="K48" t="s">
        <v>70</v>
      </c>
      <c r="L48">
        <v>14.289</v>
      </c>
      <c r="M48">
        <f>birthrate[[#This Row],[2016]]/1000</f>
        <v>1.4289E-2</v>
      </c>
      <c r="O48" t="s">
        <v>83</v>
      </c>
      <c r="P48">
        <v>86.7</v>
      </c>
      <c r="Q48">
        <f>facility[[#This Row],[Facility (%)]]/100</f>
        <v>0.86699999999999999</v>
      </c>
      <c r="S48" t="s">
        <v>78</v>
      </c>
      <c r="T48">
        <v>2016</v>
      </c>
      <c r="U48">
        <v>94.4</v>
      </c>
      <c r="V48">
        <f>SBA[[#This Row],[SBA (%)]]/100</f>
        <v>0.94400000000000006</v>
      </c>
      <c r="X48" s="10" t="s">
        <v>88</v>
      </c>
      <c r="Y48" s="10" t="s">
        <v>256</v>
      </c>
      <c r="Z48" s="21">
        <v>7.6999999999999999E-2</v>
      </c>
      <c r="AA48" s="21">
        <v>7.0000000000000007E-2</v>
      </c>
      <c r="AB48" s="21">
        <v>8.1000000000000003E-2</v>
      </c>
      <c r="AC48">
        <v>104957438</v>
      </c>
      <c r="AD48" s="27">
        <v>2.0408163265306142E-3</v>
      </c>
      <c r="AF48" s="28" t="s">
        <v>76</v>
      </c>
      <c r="AG48" s="24" t="s">
        <v>253</v>
      </c>
      <c r="AH48" s="24">
        <v>98</v>
      </c>
      <c r="AI48" s="25">
        <f>IF(birthdose[[#This Row],[2017]]/100=0, ,birthdose[[#This Row],[2017]]/100)</f>
        <v>0.98</v>
      </c>
      <c r="AK48" s="28" t="s">
        <v>76</v>
      </c>
      <c r="AL48" s="24" t="s">
        <v>254</v>
      </c>
      <c r="AM48" s="24">
        <v>97</v>
      </c>
      <c r="AN48" s="25">
        <f>IF(fullvax[[#This Row],[2017]]/100=0, ,fullvax[[#This Row],[2017]]/100)</f>
        <v>0.97</v>
      </c>
      <c r="AP48" s="20" t="s">
        <v>131</v>
      </c>
      <c r="AQ48" s="20">
        <v>0.99375947028008138</v>
      </c>
      <c r="AR48" s="20">
        <v>6.2405297199186194E-3</v>
      </c>
      <c r="AS48" s="20">
        <v>0.13498922701494973</v>
      </c>
      <c r="AT48" s="20">
        <v>0.86501077298505025</v>
      </c>
      <c r="AV48" s="12" t="s">
        <v>79</v>
      </c>
      <c r="AW48" s="14" t="s">
        <v>7</v>
      </c>
      <c r="AX48" s="41">
        <f>VLOOKUP(all_cause_mort[[#This Row],[Country]],[1]!populations[#Data],9,FALSE)*VLOOKUP(all_cause_mort[[#This Row],[Country]],[1]!birthrate[#Data],3,FALSE)</f>
        <v>22012.568969999997</v>
      </c>
      <c r="AY48">
        <f>VLOOKUP(all_cause_mort[[Country]:[Country]],'[1]Mortality Data'!$A$2:$W$201,2,FALSE)</f>
        <v>3.4650634999999999E-2</v>
      </c>
      <c r="AZ48">
        <f>VLOOKUP(all_cause_mort[[Country]:[Country]],'[1]Mortality Data'!$A$2:$W$201,3,FALSE)</f>
        <v>4.5803867000000003E-3</v>
      </c>
      <c r="BA48">
        <f>VLOOKUP(all_cause_mort[[Country]:[Country]],'[1]Mortality Data'!$A$2:$W$201,4,FALSE)</f>
        <v>1.7849731000000001E-3</v>
      </c>
      <c r="BB48">
        <f>VLOOKUP(all_cause_mort[[Country]:[Country]],'[1]Mortality Data'!$A$2:$W$201,5,FALSE)</f>
        <v>1.2178046000000001E-3</v>
      </c>
      <c r="BC48">
        <f>VLOOKUP(all_cause_mort[[Country]:[Country]],'[1]Mortality Data'!$A$2:$W$201,6,FALSE)</f>
        <v>1.6284278000000001E-3</v>
      </c>
      <c r="BD48">
        <f>VLOOKUP(all_cause_mort[[Country]:[Country]],'[1]Mortality Data'!$A$2:$W$201,7,FALSE)</f>
        <v>2.1806332E-3</v>
      </c>
      <c r="BE48">
        <f>VLOOKUP(all_cause_mort[[Country]:[Country]],'[1]Mortality Data'!$A$2:$W$201,8,FALSE)</f>
        <v>2.6304775000000002E-3</v>
      </c>
      <c r="BF48">
        <f>VLOOKUP(all_cause_mort[[Country]:[Country]],'[1]Mortality Data'!$A$2:$W$201,9,FALSE)</f>
        <v>3.3247870000000001E-3</v>
      </c>
      <c r="BG48">
        <f>VLOOKUP(all_cause_mort[[Country]:[Country]],'[1]Mortality Data'!$A$2:$W$201,10,FALSE)</f>
        <v>4.5153049999999998E-3</v>
      </c>
      <c r="BH48">
        <f>VLOOKUP(all_cause_mort[[Country]:[Country]],'[1]Mortality Data'!$A$2:$W$201,11,FALSE)</f>
        <v>5.5892181000000004E-3</v>
      </c>
      <c r="BI48">
        <f>VLOOKUP(all_cause_mort[[Country]:[Country]],'[1]Mortality Data'!$A$2:$W$201,12,FALSE)</f>
        <v>6.7270083999999997E-3</v>
      </c>
      <c r="BJ48">
        <f>VLOOKUP(all_cause_mort[[Country]:[Country]],'[1]Mortality Data'!$A$2:$W$201,13,FALSE)</f>
        <v>8.8441059999999991E-3</v>
      </c>
      <c r="BK48">
        <f>VLOOKUP(all_cause_mort[[Country]:[Country]],'[1]Mortality Data'!$A$2:$W$201,14,FALSE)</f>
        <v>1.1641266000000001E-2</v>
      </c>
      <c r="BL48">
        <f>VLOOKUP(all_cause_mort[[Country]:[Country]],'[1]Mortality Data'!$A$2:$W$201,15,FALSE)</f>
        <v>1.7787942000000001E-2</v>
      </c>
      <c r="BM48">
        <f>VLOOKUP(all_cause_mort[[Country]:[Country]],'[1]Mortality Data'!$A$2:$W$201,16,FALSE)</f>
        <v>2.8073510999999999E-2</v>
      </c>
      <c r="BN48">
        <f>VLOOKUP(all_cause_mort[[Country]:[Country]],'[1]Mortality Data'!$A$2:$W$201,17,FALSE)</f>
        <v>4.5448381000000003E-2</v>
      </c>
      <c r="BO48">
        <f>VLOOKUP(all_cause_mort[[Country]:[Country]],'[1]Mortality Data'!$A$2:$W$201,18,FALSE)</f>
        <v>7.3774641000000002E-2</v>
      </c>
      <c r="BP48">
        <f>VLOOKUP(all_cause_mort[[Country]:[Country]],'[1]Mortality Data'!$A$2:$W$201,19,FALSE)</f>
        <v>0.11973191</v>
      </c>
      <c r="BQ48">
        <f>VLOOKUP(all_cause_mort[[Country]:[Country]],'[1]Mortality Data'!$A$2:$W$201,20,FALSE)</f>
        <v>0.18819414000000001</v>
      </c>
      <c r="BR48">
        <f>VLOOKUP(all_cause_mort[[Country]:[Country]],'[1]Mortality Data'!$A$2:$W$201,21,FALSE)</f>
        <v>0.27859172999999998</v>
      </c>
      <c r="BS48">
        <f>VLOOKUP(all_cause_mort[[Country]:[Country]],'[1]Mortality Data'!$A$2:$W$201,22,FALSE)</f>
        <v>0.39261278999999999</v>
      </c>
      <c r="BT48">
        <f>VLOOKUP(all_cause_mort[[Country]:[Country]],'[1]Mortality Data'!$A$2:$W$201,23,FALSE)</f>
        <v>0.52799478510110698</v>
      </c>
      <c r="BU48" s="39" t="e">
        <f>VLOOKUP(all_cause_mort[[#This Row],[Country]],[2]!regions[#Data],3,FALSE)</f>
        <v>#REF!</v>
      </c>
    </row>
    <row r="49" spans="1:73" x14ac:dyDescent="0.35">
      <c r="A49" t="s">
        <v>282</v>
      </c>
      <c r="B49">
        <v>6984096</v>
      </c>
      <c r="C49">
        <v>7029022</v>
      </c>
      <c r="D49">
        <v>7074129</v>
      </c>
      <c r="E49">
        <v>7118888</v>
      </c>
      <c r="F49">
        <v>7162679</v>
      </c>
      <c r="G49">
        <v>7204948</v>
      </c>
      <c r="H49">
        <v>7245472</v>
      </c>
      <c r="I49">
        <v>7284294</v>
      </c>
      <c r="K49" t="s">
        <v>282</v>
      </c>
      <c r="L49">
        <v>16.483525007910515</v>
      </c>
      <c r="M49">
        <f>birthrate[[#This Row],[2016]]/1000</f>
        <v>1.6483525007910515E-2</v>
      </c>
      <c r="O49" t="s">
        <v>84</v>
      </c>
      <c r="P49">
        <v>97.5</v>
      </c>
      <c r="Q49">
        <f>facility[[#This Row],[Facility (%)]]/100</f>
        <v>0.97499999999999998</v>
      </c>
      <c r="S49" t="s">
        <v>79</v>
      </c>
      <c r="T49" t="s">
        <v>275</v>
      </c>
      <c r="U49">
        <v>87.4</v>
      </c>
      <c r="V49">
        <f>SBA[[#This Row],[SBA (%)]]/100</f>
        <v>0.87400000000000011</v>
      </c>
      <c r="X49" s="13" t="s">
        <v>89</v>
      </c>
      <c r="Y49" s="13" t="s">
        <v>256</v>
      </c>
      <c r="Z49" s="26">
        <v>0.02</v>
      </c>
      <c r="AA49" s="26">
        <v>1.7999999999999999E-2</v>
      </c>
      <c r="AB49" s="26">
        <v>2.3E-2</v>
      </c>
      <c r="AC49">
        <v>905502</v>
      </c>
      <c r="AD49" s="27">
        <v>1.5306122448979589E-3</v>
      </c>
      <c r="AF49" s="29" t="s">
        <v>77</v>
      </c>
      <c r="AG49" s="24" t="s">
        <v>253</v>
      </c>
      <c r="AH49" s="24"/>
      <c r="AI49" s="25">
        <f>IF(birthdose[[#This Row],[2017]]/100=0, ,birthdose[[#This Row],[2017]]/100)</f>
        <v>0</v>
      </c>
      <c r="AK49" s="29" t="s">
        <v>77</v>
      </c>
      <c r="AL49" s="24" t="s">
        <v>254</v>
      </c>
      <c r="AM49" s="24">
        <v>81</v>
      </c>
      <c r="AN49" s="25">
        <f>IF(fullvax[[#This Row],[2017]]/100=0, ,fullvax[[#This Row],[2017]]/100)</f>
        <v>0.81</v>
      </c>
      <c r="AP49" s="20" t="s">
        <v>132</v>
      </c>
      <c r="AQ49" s="20">
        <v>0.96895607185406174</v>
      </c>
      <c r="AR49" s="20">
        <v>3.104392814593826E-2</v>
      </c>
      <c r="AS49" s="20">
        <v>1.6830355369213765E-2</v>
      </c>
      <c r="AT49" s="20">
        <v>0.98316964463078627</v>
      </c>
      <c r="AV49" s="8" t="s">
        <v>80</v>
      </c>
      <c r="AW49" s="11" t="s">
        <v>23</v>
      </c>
      <c r="AX49" s="41">
        <f>VLOOKUP(all_cause_mort[[#This Row],[Country]],[1]!populations[#Data],9,FALSE)*VLOOKUP(all_cause_mort[[#This Row],[Country]],[1]!birthrate[#Data],3,FALSE)</f>
        <v>1116.2674999999999</v>
      </c>
      <c r="BU49" s="39" t="e">
        <f>VLOOKUP(all_cause_mort[[#This Row],[Country]],[2]!regions[#Data],3,FALSE)</f>
        <v>#REF!</v>
      </c>
    </row>
    <row r="50" spans="1:73" x14ac:dyDescent="0.35">
      <c r="A50" t="s">
        <v>73</v>
      </c>
      <c r="B50">
        <v>11333051</v>
      </c>
      <c r="C50">
        <v>11354651</v>
      </c>
      <c r="D50">
        <v>11382146</v>
      </c>
      <c r="E50">
        <v>11412167</v>
      </c>
      <c r="F50">
        <v>11439767</v>
      </c>
      <c r="G50">
        <v>11461432</v>
      </c>
      <c r="H50">
        <v>11475982</v>
      </c>
      <c r="I50">
        <v>11484636</v>
      </c>
      <c r="K50" t="s">
        <v>73</v>
      </c>
      <c r="L50">
        <v>10.865</v>
      </c>
      <c r="M50">
        <f>birthrate[[#This Row],[2016]]/1000</f>
        <v>1.0865E-2</v>
      </c>
      <c r="O50" t="s">
        <v>85</v>
      </c>
      <c r="P50">
        <v>67.3</v>
      </c>
      <c r="Q50">
        <f>facility[[#This Row],[Facility (%)]]/100</f>
        <v>0.67299999999999993</v>
      </c>
      <c r="S50" t="s">
        <v>80</v>
      </c>
      <c r="T50">
        <v>2016</v>
      </c>
      <c r="U50">
        <v>96</v>
      </c>
      <c r="V50">
        <f>SBA[[#This Row],[SBA (%)]]/100</f>
        <v>0.96</v>
      </c>
      <c r="X50" s="10" t="s">
        <v>90</v>
      </c>
      <c r="Y50" s="10" t="s">
        <v>256</v>
      </c>
      <c r="Z50" s="21">
        <v>2E-3</v>
      </c>
      <c r="AA50" s="21">
        <v>2E-3</v>
      </c>
      <c r="AB50" s="21">
        <v>2E-3</v>
      </c>
      <c r="AC50">
        <v>5511303</v>
      </c>
      <c r="AD50" s="27">
        <v>5.102040816326522E-5</v>
      </c>
      <c r="AF50" s="24" t="s">
        <v>78</v>
      </c>
      <c r="AG50" s="24" t="s">
        <v>253</v>
      </c>
      <c r="AH50" s="24"/>
      <c r="AI50" s="25">
        <f>IF(birthdose[[#This Row],[2017]]/100=0, ,birthdose[[#This Row],[2017]]/100)</f>
        <v>0</v>
      </c>
      <c r="AK50" s="24" t="s">
        <v>78</v>
      </c>
      <c r="AL50" s="24" t="s">
        <v>254</v>
      </c>
      <c r="AM50" s="24"/>
      <c r="AN50" s="25">
        <f>IF(fullvax[[#This Row],[2017]]/100=0, ,fullvax[[#This Row],[2017]]/100)</f>
        <v>0</v>
      </c>
      <c r="AP50" s="20" t="s">
        <v>134</v>
      </c>
      <c r="AQ50" s="20">
        <v>0.98809693237246254</v>
      </c>
      <c r="AR50" s="20">
        <v>1.1903067627537456E-2</v>
      </c>
      <c r="AS50" s="20">
        <v>0.39605167958656334</v>
      </c>
      <c r="AT50" s="20">
        <v>0.6039483204134366</v>
      </c>
      <c r="AV50" s="12" t="s">
        <v>81</v>
      </c>
      <c r="AW50" s="14" t="s">
        <v>23</v>
      </c>
      <c r="AX50" s="41">
        <f>VLOOKUP(all_cause_mort[[#This Row],[Country]],[1]!populations[#Data],9,FALSE)*VLOOKUP(all_cause_mort[[#This Row],[Country]],[1]!birthrate[#Data],3,FALSE)</f>
        <v>217170.34966000001</v>
      </c>
      <c r="AY50">
        <f>VLOOKUP(all_cause_mort[[Country]:[Country]],'[1]Mortality Data'!$A$2:$W$201,2,FALSE)</f>
        <v>2.646418E-2</v>
      </c>
      <c r="AZ50">
        <f>VLOOKUP(all_cause_mort[[Country]:[Country]],'[1]Mortality Data'!$A$2:$W$201,3,FALSE)</f>
        <v>7.7505688000000005E-4</v>
      </c>
      <c r="BA50">
        <f>VLOOKUP(all_cause_mort[[Country]:[Country]],'[1]Mortality Data'!$A$2:$W$201,4,FALSE)</f>
        <v>3.7222192000000001E-4</v>
      </c>
      <c r="BB50">
        <f>VLOOKUP(all_cause_mort[[Country]:[Country]],'[1]Mortality Data'!$A$2:$W$201,5,FALSE)</f>
        <v>3.7299491999999998E-4</v>
      </c>
      <c r="BC50">
        <f>VLOOKUP(all_cause_mort[[Country]:[Country]],'[1]Mortality Data'!$A$2:$W$201,6,FALSE)</f>
        <v>9.4106159999999997E-4</v>
      </c>
      <c r="BD50">
        <f>VLOOKUP(all_cause_mort[[Country]:[Country]],'[1]Mortality Data'!$A$2:$W$201,7,FALSE)</f>
        <v>1.6660443999999999E-3</v>
      </c>
      <c r="BE50">
        <f>VLOOKUP(all_cause_mort[[Country]:[Country]],'[1]Mortality Data'!$A$2:$W$201,8,FALSE)</f>
        <v>2.1097793000000001E-3</v>
      </c>
      <c r="BF50">
        <f>VLOOKUP(all_cause_mort[[Country]:[Country]],'[1]Mortality Data'!$A$2:$W$201,9,FALSE)</f>
        <v>2.5753027E-3</v>
      </c>
      <c r="BG50">
        <f>VLOOKUP(all_cause_mort[[Country]:[Country]],'[1]Mortality Data'!$A$2:$W$201,10,FALSE)</f>
        <v>2.8624687999999998E-3</v>
      </c>
      <c r="BH50">
        <f>VLOOKUP(all_cause_mort[[Country]:[Country]],'[1]Mortality Data'!$A$2:$W$201,11,FALSE)</f>
        <v>3.6023303E-3</v>
      </c>
      <c r="BI50">
        <f>VLOOKUP(all_cause_mort[[Country]:[Country]],'[1]Mortality Data'!$A$2:$W$201,12,FALSE)</f>
        <v>4.8204754000000004E-3</v>
      </c>
      <c r="BJ50">
        <f>VLOOKUP(all_cause_mort[[Country]:[Country]],'[1]Mortality Data'!$A$2:$W$201,13,FALSE)</f>
        <v>6.4046423999999996E-3</v>
      </c>
      <c r="BK50">
        <f>VLOOKUP(all_cause_mort[[Country]:[Country]],'[1]Mortality Data'!$A$2:$W$201,14,FALSE)</f>
        <v>9.3508880999999995E-3</v>
      </c>
      <c r="BL50">
        <f>VLOOKUP(all_cause_mort[[Country]:[Country]],'[1]Mortality Data'!$A$2:$W$201,15,FALSE)</f>
        <v>1.3940997E-2</v>
      </c>
      <c r="BM50">
        <f>VLOOKUP(all_cause_mort[[Country]:[Country]],'[1]Mortality Data'!$A$2:$W$201,16,FALSE)</f>
        <v>2.0850463999999999E-2</v>
      </c>
      <c r="BN50">
        <f>VLOOKUP(all_cause_mort[[Country]:[Country]],'[1]Mortality Data'!$A$2:$W$201,17,FALSE)</f>
        <v>3.0942771000000001E-2</v>
      </c>
      <c r="BO50">
        <f>VLOOKUP(all_cause_mort[[Country]:[Country]],'[1]Mortality Data'!$A$2:$W$201,18,FALSE)</f>
        <v>4.6500179000000003E-2</v>
      </c>
      <c r="BP50">
        <f>VLOOKUP(all_cause_mort[[Country]:[Country]],'[1]Mortality Data'!$A$2:$W$201,19,FALSE)</f>
        <v>6.7459852000000001E-2</v>
      </c>
      <c r="BQ50">
        <f>VLOOKUP(all_cause_mort[[Country]:[Country]],'[1]Mortality Data'!$A$2:$W$201,20,FALSE)</f>
        <v>9.4685063E-2</v>
      </c>
      <c r="BR50">
        <f>VLOOKUP(all_cause_mort[[Country]:[Country]],'[1]Mortality Data'!$A$2:$W$201,21,FALSE)</f>
        <v>0.12843317000000001</v>
      </c>
      <c r="BS50">
        <f>VLOOKUP(all_cause_mort[[Country]:[Country]],'[1]Mortality Data'!$A$2:$W$201,22,FALSE)</f>
        <v>0.16802508999999999</v>
      </c>
      <c r="BT50">
        <f>VLOOKUP(all_cause_mort[[Country]:[Country]],'[1]Mortality Data'!$A$2:$W$201,23,FALSE)</f>
        <v>0.23412955722939999</v>
      </c>
      <c r="BU50" s="39" t="e">
        <f>VLOOKUP(all_cause_mort[[#This Row],[Country]],[2]!regions[#Data],3,FALSE)</f>
        <v>#REF!</v>
      </c>
    </row>
    <row r="51" spans="1:73" x14ac:dyDescent="0.35">
      <c r="A51" t="s">
        <v>283</v>
      </c>
      <c r="B51">
        <v>148703</v>
      </c>
      <c r="C51">
        <v>150831</v>
      </c>
      <c r="D51">
        <v>152088</v>
      </c>
      <c r="E51">
        <v>153822</v>
      </c>
      <c r="F51">
        <v>155909</v>
      </c>
      <c r="G51">
        <v>157980</v>
      </c>
      <c r="H51">
        <v>159663</v>
      </c>
      <c r="I51">
        <v>161014</v>
      </c>
      <c r="K51" t="s">
        <v>283</v>
      </c>
      <c r="L51">
        <v>11.2</v>
      </c>
      <c r="M51">
        <f>birthrate[[#This Row],[2016]]/1000</f>
        <v>1.12E-2</v>
      </c>
      <c r="O51" t="s">
        <v>86</v>
      </c>
      <c r="P51">
        <v>33.700000000000003</v>
      </c>
      <c r="Q51">
        <f>facility[[#This Row],[Facility (%)]]/100</f>
        <v>0.33700000000000002</v>
      </c>
      <c r="S51" t="s">
        <v>81</v>
      </c>
      <c r="T51">
        <v>2015</v>
      </c>
      <c r="U51">
        <v>99.6</v>
      </c>
      <c r="V51">
        <f>SBA[[#This Row],[SBA (%)]]/100</f>
        <v>0.996</v>
      </c>
      <c r="X51" s="13" t="s">
        <v>91</v>
      </c>
      <c r="Y51" s="13" t="s">
        <v>256</v>
      </c>
      <c r="Z51" s="26">
        <v>5.0000000000000001E-3</v>
      </c>
      <c r="AA51" s="26">
        <v>4.0000000000000001E-3</v>
      </c>
      <c r="AB51" s="26">
        <v>7.0000000000000001E-3</v>
      </c>
      <c r="AC51">
        <v>67118648</v>
      </c>
      <c r="AD51" s="27">
        <v>1.0204081632653062E-3</v>
      </c>
      <c r="AF51" s="24" t="s">
        <v>79</v>
      </c>
      <c r="AG51" s="24" t="s">
        <v>253</v>
      </c>
      <c r="AH51" s="24">
        <v>90</v>
      </c>
      <c r="AI51" s="25">
        <f>IF(birthdose[[#This Row],[2017]]/100=0, ,birthdose[[#This Row],[2017]]/100)</f>
        <v>0.9</v>
      </c>
      <c r="AK51" s="24" t="s">
        <v>79</v>
      </c>
      <c r="AL51" s="24" t="s">
        <v>254</v>
      </c>
      <c r="AM51" s="24">
        <v>68</v>
      </c>
      <c r="AN51" s="25">
        <f>IF(fullvax[[#This Row],[2017]]/100=0, ,fullvax[[#This Row],[2017]]/100)</f>
        <v>0.68</v>
      </c>
      <c r="AP51" s="20" t="s">
        <v>135</v>
      </c>
      <c r="AQ51" s="20">
        <v>0.98244168578953739</v>
      </c>
      <c r="AR51" s="20">
        <v>1.7558314210462611E-2</v>
      </c>
      <c r="AS51" s="20">
        <v>0.109324921469656</v>
      </c>
      <c r="AT51" s="20">
        <v>0.890675078530344</v>
      </c>
      <c r="AV51" s="8" t="s">
        <v>82</v>
      </c>
      <c r="AW51" s="11" t="s">
        <v>23</v>
      </c>
      <c r="AX51" s="41">
        <f>VLOOKUP(all_cause_mort[[#This Row],[Country]],[1]!populations[#Data],9,FALSE)*VLOOKUP(all_cause_mort[[#This Row],[Country]],[1]!birthrate[#Data],3,FALSE)</f>
        <v>335406.51015000005</v>
      </c>
      <c r="AY51">
        <f>VLOOKUP(all_cause_mort[[Country]:[Country]],'[1]Mortality Data'!$A$2:$W$201,2,FALSE)</f>
        <v>1.3775282E-2</v>
      </c>
      <c r="AZ51">
        <f>VLOOKUP(all_cause_mort[[Country]:[Country]],'[1]Mortality Data'!$A$2:$W$201,3,FALSE)</f>
        <v>6.8882877999999997E-4</v>
      </c>
      <c r="BA51">
        <f>VLOOKUP(all_cause_mort[[Country]:[Country]],'[1]Mortality Data'!$A$2:$W$201,4,FALSE)</f>
        <v>3.9409112000000001E-4</v>
      </c>
      <c r="BB51">
        <f>VLOOKUP(all_cause_mort[[Country]:[Country]],'[1]Mortality Data'!$A$2:$W$201,5,FALSE)</f>
        <v>4.9583221999999997E-4</v>
      </c>
      <c r="BC51">
        <f>VLOOKUP(all_cause_mort[[Country]:[Country]],'[1]Mortality Data'!$A$2:$W$201,6,FALSE)</f>
        <v>1.0316606E-3</v>
      </c>
      <c r="BD51">
        <f>VLOOKUP(all_cause_mort[[Country]:[Country]],'[1]Mortality Data'!$A$2:$W$201,7,FALSE)</f>
        <v>1.6283602E-3</v>
      </c>
      <c r="BE51">
        <f>VLOOKUP(all_cause_mort[[Country]:[Country]],'[1]Mortality Data'!$A$2:$W$201,8,FALSE)</f>
        <v>1.9603557999999998E-3</v>
      </c>
      <c r="BF51">
        <f>VLOOKUP(all_cause_mort[[Country]:[Country]],'[1]Mortality Data'!$A$2:$W$201,9,FALSE)</f>
        <v>2.0346000000000001E-3</v>
      </c>
      <c r="BG51">
        <f>VLOOKUP(all_cause_mort[[Country]:[Country]],'[1]Mortality Data'!$A$2:$W$201,10,FALSE)</f>
        <v>2.1799733000000001E-3</v>
      </c>
      <c r="BH51">
        <f>VLOOKUP(all_cause_mort[[Country]:[Country]],'[1]Mortality Data'!$A$2:$W$201,11,FALSE)</f>
        <v>2.7285374000000002E-3</v>
      </c>
      <c r="BI51">
        <f>VLOOKUP(all_cause_mort[[Country]:[Country]],'[1]Mortality Data'!$A$2:$W$201,12,FALSE)</f>
        <v>3.4792985999999998E-3</v>
      </c>
      <c r="BJ51">
        <f>VLOOKUP(all_cause_mort[[Country]:[Country]],'[1]Mortality Data'!$A$2:$W$201,13,FALSE)</f>
        <v>5.0904938999999996E-3</v>
      </c>
      <c r="BK51">
        <f>VLOOKUP(all_cause_mort[[Country]:[Country]],'[1]Mortality Data'!$A$2:$W$201,14,FALSE)</f>
        <v>6.9715895E-3</v>
      </c>
      <c r="BL51">
        <f>VLOOKUP(all_cause_mort[[Country]:[Country]],'[1]Mortality Data'!$A$2:$W$201,15,FALSE)</f>
        <v>1.0213406E-2</v>
      </c>
      <c r="BM51">
        <f>VLOOKUP(all_cause_mort[[Country]:[Country]],'[1]Mortality Data'!$A$2:$W$201,16,FALSE)</f>
        <v>1.4456917E-2</v>
      </c>
      <c r="BN51">
        <f>VLOOKUP(all_cause_mort[[Country]:[Country]],'[1]Mortality Data'!$A$2:$W$201,17,FALSE)</f>
        <v>2.4101674E-2</v>
      </c>
      <c r="BO51">
        <f>VLOOKUP(all_cause_mort[[Country]:[Country]],'[1]Mortality Data'!$A$2:$W$201,18,FALSE)</f>
        <v>3.9995255E-2</v>
      </c>
      <c r="BP51">
        <f>VLOOKUP(all_cause_mort[[Country]:[Country]],'[1]Mortality Data'!$A$2:$W$201,19,FALSE)</f>
        <v>6.4706444000000002E-2</v>
      </c>
      <c r="BQ51">
        <f>VLOOKUP(all_cause_mort[[Country]:[Country]],'[1]Mortality Data'!$A$2:$W$201,20,FALSE)</f>
        <v>0.10866683000000001</v>
      </c>
      <c r="BR51">
        <f>VLOOKUP(all_cause_mort[[Country]:[Country]],'[1]Mortality Data'!$A$2:$W$201,21,FALSE)</f>
        <v>0.15347426</v>
      </c>
      <c r="BS51">
        <f>VLOOKUP(all_cause_mort[[Country]:[Country]],'[1]Mortality Data'!$A$2:$W$201,22,FALSE)</f>
        <v>0.23074488000000001</v>
      </c>
      <c r="BT51">
        <f>VLOOKUP(all_cause_mort[[Country]:[Country]],'[1]Mortality Data'!$A$2:$W$201,23,FALSE)</f>
        <v>0.31541480737523098</v>
      </c>
      <c r="BU51" s="39" t="e">
        <f>VLOOKUP(all_cause_mort[[#This Row],[Country]],[2]!regions[#Data],3,FALSE)</f>
        <v>#REF!</v>
      </c>
    </row>
    <row r="52" spans="1:73" x14ac:dyDescent="0.35">
      <c r="A52" t="s">
        <v>284</v>
      </c>
      <c r="B52">
        <v>55507</v>
      </c>
      <c r="C52">
        <v>56579</v>
      </c>
      <c r="D52">
        <v>57523</v>
      </c>
      <c r="E52">
        <v>58371</v>
      </c>
      <c r="F52">
        <v>59172</v>
      </c>
      <c r="G52">
        <v>59963</v>
      </c>
      <c r="H52">
        <v>60765</v>
      </c>
      <c r="I52">
        <v>61559</v>
      </c>
      <c r="K52" t="s">
        <v>284</v>
      </c>
      <c r="M52">
        <f>birthrate[[#This Row],[2016]]/1000</f>
        <v>0</v>
      </c>
      <c r="O52" t="s">
        <v>87</v>
      </c>
      <c r="P52">
        <v>99.4</v>
      </c>
      <c r="Q52">
        <f>facility[[#This Row],[Facility (%)]]/100</f>
        <v>0.99400000000000011</v>
      </c>
      <c r="S52" t="s">
        <v>82</v>
      </c>
      <c r="T52">
        <v>2016</v>
      </c>
      <c r="U52">
        <v>96.7</v>
      </c>
      <c r="V52">
        <f>SBA[[#This Row],[SBA (%)]]/100</f>
        <v>0.96700000000000008</v>
      </c>
      <c r="X52" s="10" t="s">
        <v>92</v>
      </c>
      <c r="Y52" s="10" t="s">
        <v>256</v>
      </c>
      <c r="Z52" s="21">
        <v>5.0999999999999997E-2</v>
      </c>
      <c r="AA52" s="21">
        <v>3.2000000000000001E-2</v>
      </c>
      <c r="AB52" s="21">
        <v>0.06</v>
      </c>
      <c r="AC52">
        <v>2025137</v>
      </c>
      <c r="AD52" s="27">
        <v>4.591836734693878E-3</v>
      </c>
      <c r="AF52" s="24" t="s">
        <v>80</v>
      </c>
      <c r="AG52" s="24" t="s">
        <v>253</v>
      </c>
      <c r="AH52" s="24">
        <v>23</v>
      </c>
      <c r="AI52" s="25">
        <f>IF(birthdose[[#This Row],[2017]]/100=0, ,birthdose[[#This Row],[2017]]/100)</f>
        <v>0.23</v>
      </c>
      <c r="AK52" s="24" t="s">
        <v>80</v>
      </c>
      <c r="AL52" s="24" t="s">
        <v>254</v>
      </c>
      <c r="AM52" s="24">
        <v>91</v>
      </c>
      <c r="AN52" s="25">
        <f>IF(fullvax[[#This Row],[2017]]/100=0, ,fullvax[[#This Row],[2017]]/100)</f>
        <v>0.91</v>
      </c>
      <c r="AP52" s="20" t="s">
        <v>170</v>
      </c>
      <c r="AQ52" s="20">
        <v>1</v>
      </c>
      <c r="AR52" s="20">
        <v>0</v>
      </c>
      <c r="AS52" s="20">
        <v>0.27259694394908907</v>
      </c>
      <c r="AT52" s="20">
        <v>0.72740305605091093</v>
      </c>
      <c r="AV52" s="12" t="s">
        <v>83</v>
      </c>
      <c r="AW52" s="14" t="s">
        <v>7</v>
      </c>
      <c r="AX52" s="41">
        <f>VLOOKUP(all_cause_mort[[#This Row],[Country]],[1]!populations[#Data],9,FALSE)*VLOOKUP(all_cause_mort[[#This Row],[Country]],[1]!birthrate[#Data],3,FALSE)</f>
        <v>2584573.1825939999</v>
      </c>
      <c r="AY52">
        <f>VLOOKUP(all_cause_mort[[Country]:[Country]],'[1]Mortality Data'!$A$2:$W$201,2,FALSE)</f>
        <v>1.5827734E-2</v>
      </c>
      <c r="AZ52">
        <f>VLOOKUP(all_cause_mort[[Country]:[Country]],'[1]Mortality Data'!$A$2:$W$201,3,FALSE)</f>
        <v>1.1008951E-3</v>
      </c>
      <c r="BA52">
        <f>VLOOKUP(all_cause_mort[[Country]:[Country]],'[1]Mortality Data'!$A$2:$W$201,4,FALSE)</f>
        <v>4.0243443999999999E-4</v>
      </c>
      <c r="BB52">
        <f>VLOOKUP(all_cause_mort[[Country]:[Country]],'[1]Mortality Data'!$A$2:$W$201,5,FALSE)</f>
        <v>3.3751286000000002E-4</v>
      </c>
      <c r="BC52">
        <f>VLOOKUP(all_cause_mort[[Country]:[Country]],'[1]Mortality Data'!$A$2:$W$201,6,FALSE)</f>
        <v>4.9003871000000002E-4</v>
      </c>
      <c r="BD52">
        <f>VLOOKUP(all_cause_mort[[Country]:[Country]],'[1]Mortality Data'!$A$2:$W$201,7,FALSE)</f>
        <v>7.3588867999999997E-4</v>
      </c>
      <c r="BE52">
        <f>VLOOKUP(all_cause_mort[[Country]:[Country]],'[1]Mortality Data'!$A$2:$W$201,8,FALSE)</f>
        <v>9.0866839999999998E-4</v>
      </c>
      <c r="BF52">
        <f>VLOOKUP(all_cause_mort[[Country]:[Country]],'[1]Mortality Data'!$A$2:$W$201,9,FALSE)</f>
        <v>1.1986133E-3</v>
      </c>
      <c r="BG52">
        <f>VLOOKUP(all_cause_mort[[Country]:[Country]],'[1]Mortality Data'!$A$2:$W$201,10,FALSE)</f>
        <v>1.4452664000000001E-3</v>
      </c>
      <c r="BH52">
        <f>VLOOKUP(all_cause_mort[[Country]:[Country]],'[1]Mortality Data'!$A$2:$W$201,11,FALSE)</f>
        <v>2.1677839999999999E-3</v>
      </c>
      <c r="BI52">
        <f>VLOOKUP(all_cause_mort[[Country]:[Country]],'[1]Mortality Data'!$A$2:$W$201,12,FALSE)</f>
        <v>4.5424814000000003E-3</v>
      </c>
      <c r="BJ52">
        <f>VLOOKUP(all_cause_mort[[Country]:[Country]],'[1]Mortality Data'!$A$2:$W$201,13,FALSE)</f>
        <v>8.4206946000000005E-3</v>
      </c>
      <c r="BK52">
        <f>VLOOKUP(all_cause_mort[[Country]:[Country]],'[1]Mortality Data'!$A$2:$W$201,14,FALSE)</f>
        <v>1.1711541000000001E-2</v>
      </c>
      <c r="BL52">
        <f>VLOOKUP(all_cause_mort[[Country]:[Country]],'[1]Mortality Data'!$A$2:$W$201,15,FALSE)</f>
        <v>1.9153180999999998E-2</v>
      </c>
      <c r="BM52">
        <f>VLOOKUP(all_cause_mort[[Country]:[Country]],'[1]Mortality Data'!$A$2:$W$201,16,FALSE)</f>
        <v>3.0109420000000001E-2</v>
      </c>
      <c r="BN52">
        <f>VLOOKUP(all_cause_mort[[Country]:[Country]],'[1]Mortality Data'!$A$2:$W$201,17,FALSE)</f>
        <v>4.9159503E-2</v>
      </c>
      <c r="BO52">
        <f>VLOOKUP(all_cause_mort[[Country]:[Country]],'[1]Mortality Data'!$A$2:$W$201,18,FALSE)</f>
        <v>8.0843447999999998E-2</v>
      </c>
      <c r="BP52">
        <f>VLOOKUP(all_cause_mort[[Country]:[Country]],'[1]Mortality Data'!$A$2:$W$201,19,FALSE)</f>
        <v>0.12560410999999999</v>
      </c>
      <c r="BQ52">
        <f>VLOOKUP(all_cause_mort[[Country]:[Country]],'[1]Mortality Data'!$A$2:$W$201,20,FALSE)</f>
        <v>0.18894306</v>
      </c>
      <c r="BR52">
        <f>VLOOKUP(all_cause_mort[[Country]:[Country]],'[1]Mortality Data'!$A$2:$W$201,21,FALSE)</f>
        <v>0.26514075999999998</v>
      </c>
      <c r="BS52">
        <f>VLOOKUP(all_cause_mort[[Country]:[Country]],'[1]Mortality Data'!$A$2:$W$201,22,FALSE)</f>
        <v>0.37049583000000003</v>
      </c>
      <c r="BT52">
        <f>VLOOKUP(all_cause_mort[[Country]:[Country]],'[1]Mortality Data'!$A$2:$W$201,23,FALSE)</f>
        <v>0.52064037099583305</v>
      </c>
      <c r="BU52" s="39" t="e">
        <f>VLOOKUP(all_cause_mort[[#This Row],[Country]],[2]!regions[#Data],3,FALSE)</f>
        <v>#REF!</v>
      </c>
    </row>
    <row r="53" spans="1:73" x14ac:dyDescent="0.35">
      <c r="A53" t="s">
        <v>74</v>
      </c>
      <c r="B53">
        <v>1112607</v>
      </c>
      <c r="C53">
        <v>1124835</v>
      </c>
      <c r="D53">
        <v>1135062</v>
      </c>
      <c r="E53">
        <v>1143896</v>
      </c>
      <c r="F53">
        <v>1152309</v>
      </c>
      <c r="G53">
        <v>1160985</v>
      </c>
      <c r="H53">
        <v>1170125</v>
      </c>
      <c r="I53">
        <v>1179551</v>
      </c>
      <c r="K53" t="s">
        <v>74</v>
      </c>
      <c r="L53">
        <v>10.834</v>
      </c>
      <c r="M53">
        <f>birthrate[[#This Row],[2016]]/1000</f>
        <v>1.0834E-2</v>
      </c>
      <c r="O53" t="s">
        <v>88</v>
      </c>
      <c r="P53">
        <v>26.2</v>
      </c>
      <c r="Q53">
        <f>facility[[#This Row],[Facility (%)]]/100</f>
        <v>0.26200000000000001</v>
      </c>
      <c r="S53" t="s">
        <v>83</v>
      </c>
      <c r="T53" t="s">
        <v>271</v>
      </c>
      <c r="U53">
        <v>91.5</v>
      </c>
      <c r="V53">
        <f>SBA[[#This Row],[SBA (%)]]/100</f>
        <v>0.91500000000000004</v>
      </c>
      <c r="X53" s="10" t="s">
        <v>93</v>
      </c>
      <c r="Y53" s="13" t="s">
        <v>256</v>
      </c>
      <c r="Z53" s="26">
        <v>4.8000000000000001E-2</v>
      </c>
      <c r="AA53" s="26">
        <v>4.3999999999999997E-2</v>
      </c>
      <c r="AB53" s="26">
        <v>5.1999999999999998E-2</v>
      </c>
      <c r="AC53">
        <v>2100568</v>
      </c>
      <c r="AD53" s="27">
        <v>2.0408163265306107E-3</v>
      </c>
      <c r="AF53" s="29" t="s">
        <v>81</v>
      </c>
      <c r="AG53" s="24" t="s">
        <v>253</v>
      </c>
      <c r="AH53" s="24">
        <v>67</v>
      </c>
      <c r="AI53" s="25">
        <f>IF(birthdose[[#This Row],[2017]]/100=0, ,birthdose[[#This Row],[2017]]/100)</f>
        <v>0.67</v>
      </c>
      <c r="AK53" s="29" t="s">
        <v>81</v>
      </c>
      <c r="AL53" s="24" t="s">
        <v>254</v>
      </c>
      <c r="AM53" s="24">
        <v>81</v>
      </c>
      <c r="AN53" s="25">
        <f>IF(fullvax[[#This Row],[2017]]/100=0, ,fullvax[[#This Row],[2017]]/100)</f>
        <v>0.81</v>
      </c>
      <c r="AP53" s="20" t="s">
        <v>143</v>
      </c>
      <c r="AQ53" s="20">
        <v>0.9986658215414751</v>
      </c>
      <c r="AR53" s="20">
        <v>1.3341784585249039E-3</v>
      </c>
      <c r="AS53" s="20">
        <v>0.29941474153321612</v>
      </c>
      <c r="AT53" s="20">
        <v>0.70058525846678388</v>
      </c>
      <c r="AV53" s="8" t="s">
        <v>84</v>
      </c>
      <c r="AW53" s="11" t="s">
        <v>23</v>
      </c>
      <c r="AX53" s="41">
        <f>VLOOKUP(all_cause_mort[[#This Row],[Country]],[1]!populations[#Data],9,FALSE)*VLOOKUP(all_cause_mort[[#This Row],[Country]],[1]!birthrate[#Data],3,FALSE)</f>
        <v>118232.638914</v>
      </c>
      <c r="AY53">
        <f>VLOOKUP(all_cause_mort[[Country]:[Country]],'[1]Mortality Data'!$A$2:$W$201,2,FALSE)</f>
        <v>1.4769987E-2</v>
      </c>
      <c r="AZ53">
        <f>VLOOKUP(all_cause_mort[[Country]:[Country]],'[1]Mortality Data'!$A$2:$W$201,3,FALSE)</f>
        <v>5.8871775999999999E-4</v>
      </c>
      <c r="BA53">
        <f>VLOOKUP(all_cause_mort[[Country]:[Country]],'[1]Mortality Data'!$A$2:$W$201,4,FALSE)</f>
        <v>2.7378192000000002E-4</v>
      </c>
      <c r="BB53">
        <f>VLOOKUP(all_cause_mort[[Country]:[Country]],'[1]Mortality Data'!$A$2:$W$201,5,FALSE)</f>
        <v>5.6684154999999997E-4</v>
      </c>
      <c r="BC53">
        <f>VLOOKUP(all_cause_mort[[Country]:[Country]],'[1]Mortality Data'!$A$2:$W$201,6,FALSE)</f>
        <v>1.5519556E-3</v>
      </c>
      <c r="BD53">
        <f>VLOOKUP(all_cause_mort[[Country]:[Country]],'[1]Mortality Data'!$A$2:$W$201,7,FALSE)</f>
        <v>2.5834923999999999E-3</v>
      </c>
      <c r="BE53">
        <f>VLOOKUP(all_cause_mort[[Country]:[Country]],'[1]Mortality Data'!$A$2:$W$201,8,FALSE)</f>
        <v>3.2180299000000002E-3</v>
      </c>
      <c r="BF53">
        <f>VLOOKUP(all_cause_mort[[Country]:[Country]],'[1]Mortality Data'!$A$2:$W$201,9,FALSE)</f>
        <v>3.3722996999999998E-3</v>
      </c>
      <c r="BG53">
        <f>VLOOKUP(all_cause_mort[[Country]:[Country]],'[1]Mortality Data'!$A$2:$W$201,10,FALSE)</f>
        <v>3.5340059000000001E-3</v>
      </c>
      <c r="BH53">
        <f>VLOOKUP(all_cause_mort[[Country]:[Country]],'[1]Mortality Data'!$A$2:$W$201,11,FALSE)</f>
        <v>4.2194041E-3</v>
      </c>
      <c r="BI53">
        <f>VLOOKUP(all_cause_mort[[Country]:[Country]],'[1]Mortality Data'!$A$2:$W$201,12,FALSE)</f>
        <v>5.3977736999999996E-3</v>
      </c>
      <c r="BJ53">
        <f>VLOOKUP(all_cause_mort[[Country]:[Country]],'[1]Mortality Data'!$A$2:$W$201,13,FALSE)</f>
        <v>7.1218803000000002E-3</v>
      </c>
      <c r="BK53">
        <f>VLOOKUP(all_cause_mort[[Country]:[Country]],'[1]Mortality Data'!$A$2:$W$201,14,FALSE)</f>
        <v>9.4442546000000002E-3</v>
      </c>
      <c r="BL53">
        <f>VLOOKUP(all_cause_mort[[Country]:[Country]],'[1]Mortality Data'!$A$2:$W$201,15,FALSE)</f>
        <v>1.2986638999999999E-2</v>
      </c>
      <c r="BM53">
        <f>VLOOKUP(all_cause_mort[[Country]:[Country]],'[1]Mortality Data'!$A$2:$W$201,16,FALSE)</f>
        <v>1.8722493E-2</v>
      </c>
      <c r="BN53">
        <f>VLOOKUP(all_cause_mort[[Country]:[Country]],'[1]Mortality Data'!$A$2:$W$201,17,FALSE)</f>
        <v>2.7692788999999999E-2</v>
      </c>
      <c r="BO53">
        <f>VLOOKUP(all_cause_mort[[Country]:[Country]],'[1]Mortality Data'!$A$2:$W$201,18,FALSE)</f>
        <v>4.4281424999999999E-2</v>
      </c>
      <c r="BP53">
        <f>VLOOKUP(all_cause_mort[[Country]:[Country]],'[1]Mortality Data'!$A$2:$W$201,19,FALSE)</f>
        <v>7.7043863000000004E-2</v>
      </c>
      <c r="BQ53">
        <f>VLOOKUP(all_cause_mort[[Country]:[Country]],'[1]Mortality Data'!$A$2:$W$201,20,FALSE)</f>
        <v>0.13038569</v>
      </c>
      <c r="BR53">
        <f>VLOOKUP(all_cause_mort[[Country]:[Country]],'[1]Mortality Data'!$A$2:$W$201,21,FALSE)</f>
        <v>0.21015863000000001</v>
      </c>
      <c r="BS53">
        <f>VLOOKUP(all_cause_mort[[Country]:[Country]],'[1]Mortality Data'!$A$2:$W$201,22,FALSE)</f>
        <v>0.32219820999999998</v>
      </c>
      <c r="BT53">
        <f>VLOOKUP(all_cause_mort[[Country]:[Country]],'[1]Mortality Data'!$A$2:$W$201,23,FALSE)</f>
        <v>0.46135073437579199</v>
      </c>
      <c r="BU53" s="39" t="e">
        <f>VLOOKUP(all_cause_mort[[#This Row],[Country]],[2]!regions[#Data],3,FALSE)</f>
        <v>#REF!</v>
      </c>
    </row>
    <row r="54" spans="1:73" x14ac:dyDescent="0.35">
      <c r="A54" t="s">
        <v>75</v>
      </c>
      <c r="B54">
        <v>10474410</v>
      </c>
      <c r="C54">
        <v>10496088</v>
      </c>
      <c r="D54">
        <v>10510785</v>
      </c>
      <c r="E54">
        <v>10514272</v>
      </c>
      <c r="F54">
        <v>10525347</v>
      </c>
      <c r="G54">
        <v>10546059</v>
      </c>
      <c r="H54">
        <v>10566332</v>
      </c>
      <c r="I54">
        <v>10591323</v>
      </c>
      <c r="K54" t="s">
        <v>75</v>
      </c>
      <c r="L54">
        <v>10.7</v>
      </c>
      <c r="M54">
        <f>birthrate[[#This Row],[2016]]/1000</f>
        <v>1.0699999999999999E-2</v>
      </c>
      <c r="O54" t="s">
        <v>89</v>
      </c>
      <c r="P54">
        <v>98.7</v>
      </c>
      <c r="Q54">
        <f>facility[[#This Row],[Facility (%)]]/100</f>
        <v>0.98699999999999999</v>
      </c>
      <c r="S54" t="s">
        <v>84</v>
      </c>
      <c r="T54">
        <v>2016</v>
      </c>
      <c r="U54">
        <v>99.9</v>
      </c>
      <c r="V54">
        <f>SBA[[#This Row],[SBA (%)]]/100</f>
        <v>0.99900000000000011</v>
      </c>
      <c r="X54" s="10" t="s">
        <v>94</v>
      </c>
      <c r="Y54" s="10" t="s">
        <v>256</v>
      </c>
      <c r="Z54" s="21">
        <v>2.5000000000000001E-2</v>
      </c>
      <c r="AA54" s="21">
        <v>1.9E-2</v>
      </c>
      <c r="AB54" s="21">
        <v>3.5999999999999997E-2</v>
      </c>
      <c r="AC54">
        <v>3717100</v>
      </c>
      <c r="AD54" s="27">
        <v>5.6122448979591816E-3</v>
      </c>
      <c r="AF54" s="24" t="s">
        <v>82</v>
      </c>
      <c r="AG54" s="24" t="s">
        <v>253</v>
      </c>
      <c r="AH54" s="24">
        <v>75</v>
      </c>
      <c r="AI54" s="25">
        <f>IF(birthdose[[#This Row],[2017]]/100=0, ,birthdose[[#This Row],[2017]]/100)</f>
        <v>0.75</v>
      </c>
      <c r="AK54" s="24" t="s">
        <v>82</v>
      </c>
      <c r="AL54" s="24" t="s">
        <v>254</v>
      </c>
      <c r="AM54" s="24">
        <v>84</v>
      </c>
      <c r="AN54" s="25">
        <f>IF(fullvax[[#This Row],[2017]]/100=0, ,fullvax[[#This Row],[2017]]/100)</f>
        <v>0.84</v>
      </c>
      <c r="AP54" s="20" t="s">
        <v>144</v>
      </c>
      <c r="AQ54" s="20">
        <v>1</v>
      </c>
      <c r="AR54" s="20">
        <v>0</v>
      </c>
      <c r="AS54" s="20">
        <v>0</v>
      </c>
      <c r="AT54" s="20">
        <v>1</v>
      </c>
      <c r="AV54" s="12" t="s">
        <v>85</v>
      </c>
      <c r="AW54" s="14" t="s">
        <v>15</v>
      </c>
      <c r="AX54" s="41">
        <f>VLOOKUP(all_cause_mort[[#This Row],[Country]],[1]!populations[#Data],9,FALSE)*VLOOKUP(all_cause_mort[[#This Row],[Country]],[1]!birthrate[#Data],3,FALSE)</f>
        <v>43245.942545999998</v>
      </c>
      <c r="AY54">
        <f>VLOOKUP(all_cause_mort[[Country]:[Country]],'[1]Mortality Data'!$A$2:$W$201,2,FALSE)</f>
        <v>6.9655822000000006E-2</v>
      </c>
      <c r="AZ54">
        <f>VLOOKUP(all_cause_mort[[Country]:[Country]],'[1]Mortality Data'!$A$2:$W$201,3,FALSE)</f>
        <v>7.5461332000000001E-3</v>
      </c>
      <c r="BA54">
        <f>VLOOKUP(all_cause_mort[[Country]:[Country]],'[1]Mortality Data'!$A$2:$W$201,4,FALSE)</f>
        <v>2.1930275999999999E-3</v>
      </c>
      <c r="BB54">
        <f>VLOOKUP(all_cause_mort[[Country]:[Country]],'[1]Mortality Data'!$A$2:$W$201,5,FALSE)</f>
        <v>1.5623057E-3</v>
      </c>
      <c r="BC54">
        <f>VLOOKUP(all_cause_mort[[Country]:[Country]],'[1]Mortality Data'!$A$2:$W$201,6,FALSE)</f>
        <v>2.3258241999999998E-3</v>
      </c>
      <c r="BD54">
        <f>VLOOKUP(all_cause_mort[[Country]:[Country]],'[1]Mortality Data'!$A$2:$W$201,7,FALSE)</f>
        <v>3.5091195E-3</v>
      </c>
      <c r="BE54">
        <f>VLOOKUP(all_cause_mort[[Country]:[Country]],'[1]Mortality Data'!$A$2:$W$201,8,FALSE)</f>
        <v>4.6024899999999999E-3</v>
      </c>
      <c r="BF54">
        <f>VLOOKUP(all_cause_mort[[Country]:[Country]],'[1]Mortality Data'!$A$2:$W$201,9,FALSE)</f>
        <v>5.8287799E-3</v>
      </c>
      <c r="BG54">
        <f>VLOOKUP(all_cause_mort[[Country]:[Country]],'[1]Mortality Data'!$A$2:$W$201,10,FALSE)</f>
        <v>7.5599409000000001E-3</v>
      </c>
      <c r="BH54">
        <f>VLOOKUP(all_cause_mort[[Country]:[Country]],'[1]Mortality Data'!$A$2:$W$201,11,FALSE)</f>
        <v>9.2505498000000005E-3</v>
      </c>
      <c r="BI54">
        <f>VLOOKUP(all_cause_mort[[Country]:[Country]],'[1]Mortality Data'!$A$2:$W$201,12,FALSE)</f>
        <v>1.1156213999999999E-2</v>
      </c>
      <c r="BJ54">
        <f>VLOOKUP(all_cause_mort[[Country]:[Country]],'[1]Mortality Data'!$A$2:$W$201,13,FALSE)</f>
        <v>1.448231E-2</v>
      </c>
      <c r="BK54">
        <f>VLOOKUP(all_cause_mort[[Country]:[Country]],'[1]Mortality Data'!$A$2:$W$201,14,FALSE)</f>
        <v>1.8550733E-2</v>
      </c>
      <c r="BL54">
        <f>VLOOKUP(all_cause_mort[[Country]:[Country]],'[1]Mortality Data'!$A$2:$W$201,15,FALSE)</f>
        <v>2.6584017000000001E-2</v>
      </c>
      <c r="BM54">
        <f>VLOOKUP(all_cause_mort[[Country]:[Country]],'[1]Mortality Data'!$A$2:$W$201,16,FALSE)</f>
        <v>4.0096808999999997E-2</v>
      </c>
      <c r="BN54">
        <f>VLOOKUP(all_cause_mort[[Country]:[Country]],'[1]Mortality Data'!$A$2:$W$201,17,FALSE)</f>
        <v>6.2951231999999996E-2</v>
      </c>
      <c r="BO54">
        <f>VLOOKUP(all_cause_mort[[Country]:[Country]],'[1]Mortality Data'!$A$2:$W$201,18,FALSE)</f>
        <v>0.10045308999999999</v>
      </c>
      <c r="BP54">
        <f>VLOOKUP(all_cause_mort[[Country]:[Country]],'[1]Mortality Data'!$A$2:$W$201,19,FALSE)</f>
        <v>0.16697914</v>
      </c>
      <c r="BQ54">
        <f>VLOOKUP(all_cause_mort[[Country]:[Country]],'[1]Mortality Data'!$A$2:$W$201,20,FALSE)</f>
        <v>0.27639676000000002</v>
      </c>
      <c r="BR54">
        <f>VLOOKUP(all_cause_mort[[Country]:[Country]],'[1]Mortality Data'!$A$2:$W$201,21,FALSE)</f>
        <v>0.44537210999999999</v>
      </c>
      <c r="BS54">
        <f>VLOOKUP(all_cause_mort[[Country]:[Country]],'[1]Mortality Data'!$A$2:$W$201,22,FALSE)</f>
        <v>0.61792371000000001</v>
      </c>
      <c r="BT54">
        <f>VLOOKUP(all_cause_mort[[Country]:[Country]],'[1]Mortality Data'!$A$2:$W$201,23,FALSE)</f>
        <v>0.79066965529254096</v>
      </c>
      <c r="BU54" s="39" t="e">
        <f>VLOOKUP(all_cause_mort[[#This Row],[Country]],[2]!regions[#Data],3,FALSE)</f>
        <v>#REF!</v>
      </c>
    </row>
    <row r="55" spans="1:73" x14ac:dyDescent="0.35">
      <c r="A55" t="s">
        <v>95</v>
      </c>
      <c r="B55">
        <v>81776930</v>
      </c>
      <c r="C55">
        <v>80274983</v>
      </c>
      <c r="D55">
        <v>80425823</v>
      </c>
      <c r="E55">
        <v>80645605</v>
      </c>
      <c r="F55">
        <v>80982500</v>
      </c>
      <c r="G55">
        <v>81686611</v>
      </c>
      <c r="H55">
        <v>82348669</v>
      </c>
      <c r="I55">
        <v>82695000</v>
      </c>
      <c r="K55" t="s">
        <v>95</v>
      </c>
      <c r="L55">
        <v>9.3000000000000007</v>
      </c>
      <c r="M55">
        <f>birthrate[[#This Row],[2016]]/1000</f>
        <v>9.300000000000001E-3</v>
      </c>
      <c r="O55" t="s">
        <v>90</v>
      </c>
      <c r="P55">
        <v>99.9</v>
      </c>
      <c r="Q55">
        <f>facility[[#This Row],[Facility (%)]]/100</f>
        <v>0.99900000000000011</v>
      </c>
      <c r="S55" t="s">
        <v>85</v>
      </c>
      <c r="T55" t="s">
        <v>285</v>
      </c>
      <c r="U55">
        <v>68.3</v>
      </c>
      <c r="V55">
        <f>SBA[[#This Row],[SBA (%)]]/100</f>
        <v>0.68299999999999994</v>
      </c>
      <c r="X55" s="13" t="s">
        <v>95</v>
      </c>
      <c r="Y55" s="13" t="s">
        <v>256</v>
      </c>
      <c r="Z55" s="26">
        <v>3.0000000000000001E-3</v>
      </c>
      <c r="AA55" s="26">
        <v>2E-3</v>
      </c>
      <c r="AB55" s="26">
        <v>6.0000000000000001E-3</v>
      </c>
      <c r="AC55">
        <v>82695000</v>
      </c>
      <c r="AD55" s="27">
        <v>1.5306122448979593E-3</v>
      </c>
      <c r="AF55" s="24" t="s">
        <v>83</v>
      </c>
      <c r="AG55" s="24" t="s">
        <v>253</v>
      </c>
      <c r="AH55" s="24">
        <v>84</v>
      </c>
      <c r="AI55" s="25">
        <f>IF(birthdose[[#This Row],[2017]]/100=0, ,birthdose[[#This Row],[2017]]/100)</f>
        <v>0.84</v>
      </c>
      <c r="AK55" s="24" t="s">
        <v>83</v>
      </c>
      <c r="AL55" s="24" t="s">
        <v>254</v>
      </c>
      <c r="AM55" s="24">
        <v>94</v>
      </c>
      <c r="AN55" s="25">
        <f>IF(fullvax[[#This Row],[2017]]/100=0, ,fullvax[[#This Row],[2017]]/100)</f>
        <v>0.94</v>
      </c>
      <c r="AP55" s="20" t="s">
        <v>146</v>
      </c>
      <c r="AQ55" s="20">
        <v>0.95692459541117358</v>
      </c>
      <c r="AR55" s="20">
        <v>4.3075404588826416E-2</v>
      </c>
      <c r="AS55" s="20">
        <v>3.3201183156685035E-2</v>
      </c>
      <c r="AT55" s="20">
        <v>0.96679881684331492</v>
      </c>
      <c r="AV55" s="8" t="s">
        <v>86</v>
      </c>
      <c r="AW55" s="11" t="s">
        <v>15</v>
      </c>
      <c r="AX55" s="41">
        <f>VLOOKUP(all_cause_mort[[#This Row],[Country]],[1]!populations[#Data],9,FALSE)*VLOOKUP(all_cause_mort[[#This Row],[Country]],[1]!birthrate[#Data],3,FALSE)</f>
        <v>168617.68280000001</v>
      </c>
      <c r="AY55">
        <f>VLOOKUP(all_cause_mort[[Country]:[Country]],'[1]Mortality Data'!$A$2:$W$201,2,FALSE)</f>
        <v>3.5786067999999997E-2</v>
      </c>
      <c r="AZ55">
        <f>VLOOKUP(all_cause_mort[[Country]:[Country]],'[1]Mortality Data'!$A$2:$W$201,3,FALSE)</f>
        <v>2.4935134999999999E-3</v>
      </c>
      <c r="BA55">
        <f>VLOOKUP(all_cause_mort[[Country]:[Country]],'[1]Mortality Data'!$A$2:$W$201,4,FALSE)</f>
        <v>8.4344849E-4</v>
      </c>
      <c r="BB55">
        <f>VLOOKUP(all_cause_mort[[Country]:[Country]],'[1]Mortality Data'!$A$2:$W$201,5,FALSE)</f>
        <v>6.3725659999999999E-4</v>
      </c>
      <c r="BC55">
        <f>VLOOKUP(all_cause_mort[[Country]:[Country]],'[1]Mortality Data'!$A$2:$W$201,6,FALSE)</f>
        <v>1.2314610999999999E-3</v>
      </c>
      <c r="BD55">
        <f>VLOOKUP(all_cause_mort[[Country]:[Country]],'[1]Mortality Data'!$A$2:$W$201,7,FALSE)</f>
        <v>1.7530927E-3</v>
      </c>
      <c r="BE55">
        <f>VLOOKUP(all_cause_mort[[Country]:[Country]],'[1]Mortality Data'!$A$2:$W$201,8,FALSE)</f>
        <v>2.3219059999999999E-3</v>
      </c>
      <c r="BF55">
        <f>VLOOKUP(all_cause_mort[[Country]:[Country]],'[1]Mortality Data'!$A$2:$W$201,9,FALSE)</f>
        <v>3.1161921999999999E-3</v>
      </c>
      <c r="BG55">
        <f>VLOOKUP(all_cause_mort[[Country]:[Country]],'[1]Mortality Data'!$A$2:$W$201,10,FALSE)</f>
        <v>4.0532581000000002E-3</v>
      </c>
      <c r="BH55">
        <f>VLOOKUP(all_cause_mort[[Country]:[Country]],'[1]Mortality Data'!$A$2:$W$201,11,FALSE)</f>
        <v>5.8848212999999998E-3</v>
      </c>
      <c r="BI55">
        <f>VLOOKUP(all_cause_mort[[Country]:[Country]],'[1]Mortality Data'!$A$2:$W$201,12,FALSE)</f>
        <v>8.0000109E-3</v>
      </c>
      <c r="BJ55">
        <f>VLOOKUP(all_cause_mort[[Country]:[Country]],'[1]Mortality Data'!$A$2:$W$201,13,FALSE)</f>
        <v>1.1928315E-2</v>
      </c>
      <c r="BK55">
        <f>VLOOKUP(all_cause_mort[[Country]:[Country]],'[1]Mortality Data'!$A$2:$W$201,14,FALSE)</f>
        <v>1.7520002E-2</v>
      </c>
      <c r="BL55">
        <f>VLOOKUP(all_cause_mort[[Country]:[Country]],'[1]Mortality Data'!$A$2:$W$201,15,FALSE)</f>
        <v>2.5571218999999999E-2</v>
      </c>
      <c r="BM55">
        <f>VLOOKUP(all_cause_mort[[Country]:[Country]],'[1]Mortality Data'!$A$2:$W$201,16,FALSE)</f>
        <v>3.6933957000000003E-2</v>
      </c>
      <c r="BN55">
        <f>VLOOKUP(all_cause_mort[[Country]:[Country]],'[1]Mortality Data'!$A$2:$W$201,17,FALSE)</f>
        <v>5.7152438999999999E-2</v>
      </c>
      <c r="BO55">
        <f>VLOOKUP(all_cause_mort[[Country]:[Country]],'[1]Mortality Data'!$A$2:$W$201,18,FALSE)</f>
        <v>8.3084468999999994E-2</v>
      </c>
      <c r="BP55">
        <f>VLOOKUP(all_cause_mort[[Country]:[Country]],'[1]Mortality Data'!$A$2:$W$201,19,FALSE)</f>
        <v>0.12734852999999999</v>
      </c>
      <c r="BQ55">
        <f>VLOOKUP(all_cause_mort[[Country]:[Country]],'[1]Mortality Data'!$A$2:$W$201,20,FALSE)</f>
        <v>0.18292669</v>
      </c>
      <c r="BR55">
        <f>VLOOKUP(all_cause_mort[[Country]:[Country]],'[1]Mortality Data'!$A$2:$W$201,21,FALSE)</f>
        <v>0.24544216999999999</v>
      </c>
      <c r="BS55">
        <f>VLOOKUP(all_cause_mort[[Country]:[Country]],'[1]Mortality Data'!$A$2:$W$201,22,FALSE)</f>
        <v>0.31760819000000001</v>
      </c>
      <c r="BT55">
        <f>VLOOKUP(all_cause_mort[[Country]:[Country]],'[1]Mortality Data'!$A$2:$W$201,23,FALSE)</f>
        <v>0.41711247300187398</v>
      </c>
      <c r="BU55" s="39" t="e">
        <f>VLOOKUP(all_cause_mort[[#This Row],[Country]],[2]!regions[#Data],3,FALSE)</f>
        <v>#REF!</v>
      </c>
    </row>
    <row r="56" spans="1:73" x14ac:dyDescent="0.35">
      <c r="A56" t="s">
        <v>79</v>
      </c>
      <c r="B56">
        <v>851146</v>
      </c>
      <c r="C56">
        <v>865937</v>
      </c>
      <c r="D56">
        <v>881185</v>
      </c>
      <c r="E56">
        <v>896688</v>
      </c>
      <c r="F56">
        <v>912164</v>
      </c>
      <c r="G56">
        <v>927414</v>
      </c>
      <c r="H56">
        <v>942333</v>
      </c>
      <c r="I56">
        <v>956985</v>
      </c>
      <c r="K56" t="s">
        <v>79</v>
      </c>
      <c r="L56">
        <v>23.001999999999999</v>
      </c>
      <c r="M56">
        <f>birthrate[[#This Row],[2016]]/1000</f>
        <v>2.3001999999999998E-2</v>
      </c>
      <c r="O56" t="s">
        <v>91</v>
      </c>
      <c r="P56">
        <v>98.3</v>
      </c>
      <c r="Q56">
        <f>facility[[#This Row],[Facility (%)]]/100</f>
        <v>0.98299999999999998</v>
      </c>
      <c r="S56" t="s">
        <v>86</v>
      </c>
      <c r="T56" t="s">
        <v>286</v>
      </c>
      <c r="U56">
        <v>34.1</v>
      </c>
      <c r="V56">
        <f>SBA[[#This Row],[SBA (%)]]/100</f>
        <v>0.34100000000000003</v>
      </c>
      <c r="X56" s="10" t="s">
        <v>96</v>
      </c>
      <c r="Y56" s="10" t="s">
        <v>256</v>
      </c>
      <c r="Z56" s="21">
        <v>0.10299999999999999</v>
      </c>
      <c r="AA56" s="21">
        <v>6.9000000000000006E-2</v>
      </c>
      <c r="AB56" s="21">
        <v>0.114</v>
      </c>
      <c r="AC56">
        <v>28833629</v>
      </c>
      <c r="AD56" s="27">
        <v>5.6122448979591885E-3</v>
      </c>
      <c r="AF56" s="24" t="s">
        <v>84</v>
      </c>
      <c r="AG56" s="24" t="s">
        <v>253</v>
      </c>
      <c r="AH56" s="24">
        <v>80</v>
      </c>
      <c r="AI56" s="25">
        <f>IF(birthdose[[#This Row],[2017]]/100=0, ,birthdose[[#This Row],[2017]]/100)</f>
        <v>0.8</v>
      </c>
      <c r="AK56" s="24" t="s">
        <v>84</v>
      </c>
      <c r="AL56" s="24" t="s">
        <v>254</v>
      </c>
      <c r="AM56" s="24">
        <v>85</v>
      </c>
      <c r="AN56" s="25">
        <f>IF(fullvax[[#This Row],[2017]]/100=0, ,fullvax[[#This Row],[2017]]/100)</f>
        <v>0.85</v>
      </c>
      <c r="AP56" s="20" t="s">
        <v>148</v>
      </c>
      <c r="AQ56" s="20">
        <v>0.99617670334573383</v>
      </c>
      <c r="AR56" s="20">
        <v>3.8232966542661728E-3</v>
      </c>
      <c r="AS56" s="20">
        <v>0.10050186106812764</v>
      </c>
      <c r="AT56" s="20">
        <v>0.89949813893187236</v>
      </c>
      <c r="AV56" s="12" t="s">
        <v>87</v>
      </c>
      <c r="AW56" s="14" t="s">
        <v>11</v>
      </c>
      <c r="AX56" s="41">
        <f>VLOOKUP(all_cause_mort[[#This Row],[Country]],[1]!populations[#Data],9,FALSE)*VLOOKUP(all_cause_mort[[#This Row],[Country]],[1]!birthrate[#Data],3,FALSE)</f>
        <v>14075.635999999999</v>
      </c>
      <c r="AY56">
        <f>VLOOKUP(all_cause_mort[[Country]:[Country]],'[1]Mortality Data'!$A$2:$W$201,2,FALSE)</f>
        <v>2.0025673999999999E-3</v>
      </c>
      <c r="AZ56">
        <f>VLOOKUP(all_cause_mort[[Country]:[Country]],'[1]Mortality Data'!$A$2:$W$201,3,FALSE)</f>
        <v>1.6395107999999999E-4</v>
      </c>
      <c r="BA56">
        <f>VLOOKUP(all_cause_mort[[Country]:[Country]],'[1]Mortality Data'!$A$2:$W$201,4,FALSE)</f>
        <v>8.8189093999999996E-5</v>
      </c>
      <c r="BB56">
        <f>VLOOKUP(all_cause_mort[[Country]:[Country]],'[1]Mortality Data'!$A$2:$W$201,5,FALSE)</f>
        <v>1.4860848E-4</v>
      </c>
      <c r="BC56">
        <f>VLOOKUP(all_cause_mort[[Country]:[Country]],'[1]Mortality Data'!$A$2:$W$201,6,FALSE)</f>
        <v>3.9838900999999998E-4</v>
      </c>
      <c r="BD56">
        <f>VLOOKUP(all_cause_mort[[Country]:[Country]],'[1]Mortality Data'!$A$2:$W$201,7,FALSE)</f>
        <v>5.72611E-4</v>
      </c>
      <c r="BE56">
        <f>VLOOKUP(all_cause_mort[[Country]:[Country]],'[1]Mortality Data'!$A$2:$W$201,8,FALSE)</f>
        <v>7.7138637999999999E-4</v>
      </c>
      <c r="BF56">
        <f>VLOOKUP(all_cause_mort[[Country]:[Country]],'[1]Mortality Data'!$A$2:$W$201,9,FALSE)</f>
        <v>1.1905933999999999E-3</v>
      </c>
      <c r="BG56">
        <f>VLOOKUP(all_cause_mort[[Country]:[Country]],'[1]Mortality Data'!$A$2:$W$201,10,FALSE)</f>
        <v>1.4488302E-3</v>
      </c>
      <c r="BH56">
        <f>VLOOKUP(all_cause_mort[[Country]:[Country]],'[1]Mortality Data'!$A$2:$W$201,11,FALSE)</f>
        <v>2.0857893999999999E-3</v>
      </c>
      <c r="BI56">
        <f>VLOOKUP(all_cause_mort[[Country]:[Country]],'[1]Mortality Data'!$A$2:$W$201,12,FALSE)</f>
        <v>3.0265295999999998E-3</v>
      </c>
      <c r="BJ56">
        <f>VLOOKUP(all_cause_mort[[Country]:[Country]],'[1]Mortality Data'!$A$2:$W$201,13,FALSE)</f>
        <v>4.9620679000000004E-3</v>
      </c>
      <c r="BK56">
        <f>VLOOKUP(all_cause_mort[[Country]:[Country]],'[1]Mortality Data'!$A$2:$W$201,14,FALSE)</f>
        <v>7.7502541000000003E-3</v>
      </c>
      <c r="BL56">
        <f>VLOOKUP(all_cause_mort[[Country]:[Country]],'[1]Mortality Data'!$A$2:$W$201,15,FALSE)</f>
        <v>1.2560707000000001E-2</v>
      </c>
      <c r="BM56">
        <f>VLOOKUP(all_cause_mort[[Country]:[Country]],'[1]Mortality Data'!$A$2:$W$201,16,FALSE)</f>
        <v>1.7728991999999999E-2</v>
      </c>
      <c r="BN56">
        <f>VLOOKUP(all_cause_mort[[Country]:[Country]],'[1]Mortality Data'!$A$2:$W$201,17,FALSE)</f>
        <v>2.5737333000000001E-2</v>
      </c>
      <c r="BO56">
        <f>VLOOKUP(all_cause_mort[[Country]:[Country]],'[1]Mortality Data'!$A$2:$W$201,18,FALSE)</f>
        <v>3.8329344000000001E-2</v>
      </c>
      <c r="BP56">
        <f>VLOOKUP(all_cause_mort[[Country]:[Country]],'[1]Mortality Data'!$A$2:$W$201,19,FALSE)</f>
        <v>6.5757226000000002E-2</v>
      </c>
      <c r="BQ56">
        <f>VLOOKUP(all_cause_mort[[Country]:[Country]],'[1]Mortality Data'!$A$2:$W$201,20,FALSE)</f>
        <v>0.11531692</v>
      </c>
      <c r="BR56">
        <f>VLOOKUP(all_cause_mort[[Country]:[Country]],'[1]Mortality Data'!$A$2:$W$201,21,FALSE)</f>
        <v>0.19823071</v>
      </c>
      <c r="BS56">
        <f>VLOOKUP(all_cause_mort[[Country]:[Country]],'[1]Mortality Data'!$A$2:$W$201,22,FALSE)</f>
        <v>0.32972270999999997</v>
      </c>
      <c r="BT56">
        <f>VLOOKUP(all_cause_mort[[Country]:[Country]],'[1]Mortality Data'!$A$2:$W$201,23,FALSE)</f>
        <v>0.50337928582157698</v>
      </c>
      <c r="BU56" s="39" t="e">
        <f>VLOOKUP(all_cause_mort[[#This Row],[Country]],[2]!regions[#Data],3,FALSE)</f>
        <v>#REF!</v>
      </c>
    </row>
    <row r="57" spans="1:73" x14ac:dyDescent="0.35">
      <c r="A57" t="s">
        <v>80</v>
      </c>
      <c r="B57">
        <v>71440</v>
      </c>
      <c r="C57">
        <v>71718</v>
      </c>
      <c r="D57">
        <v>72044</v>
      </c>
      <c r="E57">
        <v>72400</v>
      </c>
      <c r="F57">
        <v>72778</v>
      </c>
      <c r="G57">
        <v>73162</v>
      </c>
      <c r="H57">
        <v>73543</v>
      </c>
      <c r="I57">
        <v>73925</v>
      </c>
      <c r="K57" t="s">
        <v>80</v>
      </c>
      <c r="L57">
        <v>15.1</v>
      </c>
      <c r="M57">
        <f>birthrate[[#This Row],[2016]]/1000</f>
        <v>1.5099999999999999E-2</v>
      </c>
      <c r="O57" t="s">
        <v>92</v>
      </c>
      <c r="P57">
        <v>90.2</v>
      </c>
      <c r="Q57">
        <f>facility[[#This Row],[Facility (%)]]/100</f>
        <v>0.90200000000000002</v>
      </c>
      <c r="S57" t="s">
        <v>87</v>
      </c>
      <c r="T57">
        <v>2016</v>
      </c>
      <c r="U57">
        <v>99.4</v>
      </c>
      <c r="V57">
        <f>SBA[[#This Row],[SBA (%)]]/100</f>
        <v>0.99400000000000011</v>
      </c>
      <c r="X57" s="13" t="s">
        <v>97</v>
      </c>
      <c r="Y57" s="13" t="s">
        <v>256</v>
      </c>
      <c r="Z57" s="26">
        <v>1.7999999999999999E-2</v>
      </c>
      <c r="AA57" s="26">
        <v>1.4999999999999999E-2</v>
      </c>
      <c r="AB57" s="26">
        <v>0.02</v>
      </c>
      <c r="AC57">
        <v>10760421</v>
      </c>
      <c r="AD57" s="27">
        <v>1.0204081632653071E-3</v>
      </c>
      <c r="AF57" s="24" t="s">
        <v>85</v>
      </c>
      <c r="AG57" s="24" t="s">
        <v>253</v>
      </c>
      <c r="AH57" s="24"/>
      <c r="AI57" s="25">
        <f>IF(birthdose[[#This Row],[2017]]/100=0, ,birthdose[[#This Row],[2017]]/100)</f>
        <v>0</v>
      </c>
      <c r="AK57" s="24" t="s">
        <v>85</v>
      </c>
      <c r="AL57" s="24" t="s">
        <v>254</v>
      </c>
      <c r="AM57" s="24">
        <v>25</v>
      </c>
      <c r="AN57" s="25">
        <f>IF(fullvax[[#This Row],[2017]]/100=0, ,fullvax[[#This Row],[2017]]/100)</f>
        <v>0.25</v>
      </c>
      <c r="AP57" s="20" t="s">
        <v>150</v>
      </c>
      <c r="AQ57" s="20">
        <v>0.96105245230769387</v>
      </c>
      <c r="AR57" s="20">
        <v>3.8947547692306128E-2</v>
      </c>
      <c r="AS57" s="20">
        <v>2.5056743866398622E-2</v>
      </c>
      <c r="AT57" s="20">
        <v>0.97494325613360133</v>
      </c>
      <c r="AV57" s="12" t="s">
        <v>287</v>
      </c>
      <c r="AW57" s="14" t="s">
        <v>15</v>
      </c>
      <c r="AX57" s="41">
        <f>VLOOKUP(all_cause_mort[[#This Row],[Country]],[1]!populations[#Data],9,FALSE)*VLOOKUP(all_cause_mort[[#This Row],[Country]],[1]!birthrate[#Data],3,FALSE)</f>
        <v>39445.277900000001</v>
      </c>
      <c r="AY57">
        <f>VLOOKUP(all_cause_mort[[Country]:[Country]],'[1]Mortality Data'!$A$2:$W$201,2,FALSE)</f>
        <v>4.2842314999999999E-2</v>
      </c>
      <c r="AZ57">
        <f>VLOOKUP(all_cause_mort[[Country]:[Country]],'[1]Mortality Data'!$A$2:$W$201,3,FALSE)</f>
        <v>3.4352841999999999E-3</v>
      </c>
      <c r="BA57">
        <f>VLOOKUP(all_cause_mort[[Country]:[Country]],'[1]Mortality Data'!$A$2:$W$201,4,FALSE)</f>
        <v>9.8271491000000003E-4</v>
      </c>
      <c r="BB57">
        <f>VLOOKUP(all_cause_mort[[Country]:[Country]],'[1]Mortality Data'!$A$2:$W$201,5,FALSE)</f>
        <v>8.6990585999999995E-4</v>
      </c>
      <c r="BC57">
        <f>VLOOKUP(all_cause_mort[[Country]:[Country]],'[1]Mortality Data'!$A$2:$W$201,6,FALSE)</f>
        <v>1.4508917E-3</v>
      </c>
      <c r="BD57">
        <f>VLOOKUP(all_cause_mort[[Country]:[Country]],'[1]Mortality Data'!$A$2:$W$201,7,FALSE)</f>
        <v>2.7312017000000002E-3</v>
      </c>
      <c r="BE57">
        <f>VLOOKUP(all_cause_mort[[Country]:[Country]],'[1]Mortality Data'!$A$2:$W$201,8,FALSE)</f>
        <v>5.1741618000000003E-3</v>
      </c>
      <c r="BF57">
        <f>VLOOKUP(all_cause_mort[[Country]:[Country]],'[1]Mortality Data'!$A$2:$W$201,9,FALSE)</f>
        <v>8.0394066999999996E-3</v>
      </c>
      <c r="BG57">
        <f>VLOOKUP(all_cause_mort[[Country]:[Country]],'[1]Mortality Data'!$A$2:$W$201,10,FALSE)</f>
        <v>1.2191359000000001E-2</v>
      </c>
      <c r="BH57">
        <f>VLOOKUP(all_cause_mort[[Country]:[Country]],'[1]Mortality Data'!$A$2:$W$201,11,FALSE)</f>
        <v>1.4257389000000001E-2</v>
      </c>
      <c r="BI57">
        <f>VLOOKUP(all_cause_mort[[Country]:[Country]],'[1]Mortality Data'!$A$2:$W$201,12,FALSE)</f>
        <v>1.7170839E-2</v>
      </c>
      <c r="BJ57">
        <f>VLOOKUP(all_cause_mort[[Country]:[Country]],'[1]Mortality Data'!$A$2:$W$201,13,FALSE)</f>
        <v>2.0149085000000001E-2</v>
      </c>
      <c r="BK57">
        <f>VLOOKUP(all_cause_mort[[Country]:[Country]],'[1]Mortality Data'!$A$2:$W$201,14,FALSE)</f>
        <v>2.3698844E-2</v>
      </c>
      <c r="BL57">
        <f>VLOOKUP(all_cause_mort[[Country]:[Country]],'[1]Mortality Data'!$A$2:$W$201,15,FALSE)</f>
        <v>2.9060295999999999E-2</v>
      </c>
      <c r="BM57">
        <f>VLOOKUP(all_cause_mort[[Country]:[Country]],'[1]Mortality Data'!$A$2:$W$201,16,FALSE)</f>
        <v>3.8194315E-2</v>
      </c>
      <c r="BN57">
        <f>VLOOKUP(all_cause_mort[[Country]:[Country]],'[1]Mortality Data'!$A$2:$W$201,17,FALSE)</f>
        <v>5.4079817000000002E-2</v>
      </c>
      <c r="BO57">
        <f>VLOOKUP(all_cause_mort[[Country]:[Country]],'[1]Mortality Data'!$A$2:$W$201,18,FALSE)</f>
        <v>7.9760807000000003E-2</v>
      </c>
      <c r="BP57">
        <f>VLOOKUP(all_cause_mort[[Country]:[Country]],'[1]Mortality Data'!$A$2:$W$201,19,FALSE)</f>
        <v>0.1299034</v>
      </c>
      <c r="BQ57">
        <f>VLOOKUP(all_cause_mort[[Country]:[Country]],'[1]Mortality Data'!$A$2:$W$201,20,FALSE)</f>
        <v>0.22013100999999999</v>
      </c>
      <c r="BR57">
        <f>VLOOKUP(all_cause_mort[[Country]:[Country]],'[1]Mortality Data'!$A$2:$W$201,21,FALSE)</f>
        <v>0.35291978000000002</v>
      </c>
      <c r="BS57">
        <f>VLOOKUP(all_cause_mort[[Country]:[Country]],'[1]Mortality Data'!$A$2:$W$201,22,FALSE)</f>
        <v>0.48200472</v>
      </c>
      <c r="BT57">
        <f>VLOOKUP(all_cause_mort[[Country]:[Country]],'[1]Mortality Data'!$A$2:$W$201,23,FALSE)</f>
        <v>0.60371027050627202</v>
      </c>
      <c r="BU57" s="39" t="s">
        <v>49</v>
      </c>
    </row>
    <row r="58" spans="1:73" x14ac:dyDescent="0.35">
      <c r="A58" t="s">
        <v>78</v>
      </c>
      <c r="B58">
        <v>5547683</v>
      </c>
      <c r="C58">
        <v>5570572</v>
      </c>
      <c r="D58">
        <v>5591572</v>
      </c>
      <c r="E58">
        <v>5614932</v>
      </c>
      <c r="F58">
        <v>5643475</v>
      </c>
      <c r="G58">
        <v>5683483</v>
      </c>
      <c r="H58">
        <v>5728010</v>
      </c>
      <c r="I58">
        <v>5769603</v>
      </c>
      <c r="K58" t="s">
        <v>78</v>
      </c>
      <c r="L58">
        <v>10.8</v>
      </c>
      <c r="M58">
        <f>birthrate[[#This Row],[2016]]/1000</f>
        <v>1.0800000000000001E-2</v>
      </c>
      <c r="O58" t="s">
        <v>93</v>
      </c>
      <c r="P58">
        <v>62.6</v>
      </c>
      <c r="Q58">
        <f>facility[[#This Row],[Facility (%)]]/100</f>
        <v>0.626</v>
      </c>
      <c r="S58" t="s">
        <v>287</v>
      </c>
      <c r="T58" t="s">
        <v>264</v>
      </c>
      <c r="U58">
        <v>88.3</v>
      </c>
      <c r="V58">
        <f>SBA[[#This Row],[SBA (%)]]/100</f>
        <v>0.88300000000000001</v>
      </c>
      <c r="X58" s="10" t="s">
        <v>99</v>
      </c>
      <c r="Y58" s="10" t="s">
        <v>256</v>
      </c>
      <c r="Z58" s="21">
        <v>6.0000000000000001E-3</v>
      </c>
      <c r="AA58" s="21">
        <v>4.0000000000000001E-3</v>
      </c>
      <c r="AB58" s="21">
        <v>7.0000000000000001E-3</v>
      </c>
      <c r="AC58">
        <v>16913503</v>
      </c>
      <c r="AD58" s="27">
        <v>5.1020408163265311E-4</v>
      </c>
      <c r="AF58" s="24" t="s">
        <v>86</v>
      </c>
      <c r="AG58" s="24" t="s">
        <v>253</v>
      </c>
      <c r="AH58" s="24"/>
      <c r="AI58" s="25">
        <f>IF(birthdose[[#This Row],[2017]]/100=0, ,birthdose[[#This Row],[2017]]/100)</f>
        <v>0</v>
      </c>
      <c r="AK58" s="24" t="s">
        <v>86</v>
      </c>
      <c r="AL58" s="24" t="s">
        <v>254</v>
      </c>
      <c r="AM58" s="24">
        <v>95</v>
      </c>
      <c r="AN58" s="25">
        <f>IF(fullvax[[#This Row],[2017]]/100=0, ,fullvax[[#This Row],[2017]]/100)</f>
        <v>0.95</v>
      </c>
      <c r="AP58" s="20" t="s">
        <v>154</v>
      </c>
      <c r="AQ58" s="20">
        <v>0.9584188633047841</v>
      </c>
      <c r="AR58" s="20">
        <v>4.1581136695215903E-2</v>
      </c>
      <c r="AS58" s="20">
        <v>1.0745516957076569E-2</v>
      </c>
      <c r="AT58" s="20">
        <v>0.9892544830429234</v>
      </c>
      <c r="AV58" s="8" t="s">
        <v>88</v>
      </c>
      <c r="AW58" s="11" t="s">
        <v>15</v>
      </c>
      <c r="AX58" s="41">
        <f>VLOOKUP(all_cause_mort[[#This Row],[Country]],[1]!populations[#Data],9,FALSE)*VLOOKUP(all_cause_mort[[#This Row],[Country]],[1]!birthrate[#Data],3,FALSE)</f>
        <v>3335442.4222020004</v>
      </c>
      <c r="AY58">
        <f>VLOOKUP(all_cause_mort[[Country]:[Country]],'[1]Mortality Data'!$A$2:$W$201,2,FALSE)</f>
        <v>3.8207605999999998E-2</v>
      </c>
      <c r="AZ58">
        <f>VLOOKUP(all_cause_mort[[Country]:[Country]],'[1]Mortality Data'!$A$2:$W$201,3,FALSE)</f>
        <v>4.6959543999999997E-3</v>
      </c>
      <c r="BA58">
        <f>VLOOKUP(all_cause_mort[[Country]:[Country]],'[1]Mortality Data'!$A$2:$W$201,4,FALSE)</f>
        <v>2.0035347000000002E-3</v>
      </c>
      <c r="BB58">
        <f>VLOOKUP(all_cause_mort[[Country]:[Country]],'[1]Mortality Data'!$A$2:$W$201,5,FALSE)</f>
        <v>1.5514940000000001E-3</v>
      </c>
      <c r="BC58">
        <f>VLOOKUP(all_cause_mort[[Country]:[Country]],'[1]Mortality Data'!$A$2:$W$201,6,FALSE)</f>
        <v>1.9138895E-3</v>
      </c>
      <c r="BD58">
        <f>VLOOKUP(all_cause_mort[[Country]:[Country]],'[1]Mortality Data'!$A$2:$W$201,7,FALSE)</f>
        <v>2.3611942000000001E-3</v>
      </c>
      <c r="BE58">
        <f>VLOOKUP(all_cause_mort[[Country]:[Country]],'[1]Mortality Data'!$A$2:$W$201,8,FALSE)</f>
        <v>2.7276859E-3</v>
      </c>
      <c r="BF58">
        <f>VLOOKUP(all_cause_mort[[Country]:[Country]],'[1]Mortality Data'!$A$2:$W$201,9,FALSE)</f>
        <v>3.4576648999999999E-3</v>
      </c>
      <c r="BG58">
        <f>VLOOKUP(all_cause_mort[[Country]:[Country]],'[1]Mortality Data'!$A$2:$W$201,10,FALSE)</f>
        <v>4.8009569000000002E-3</v>
      </c>
      <c r="BH58">
        <f>VLOOKUP(all_cause_mort[[Country]:[Country]],'[1]Mortality Data'!$A$2:$W$201,11,FALSE)</f>
        <v>5.8604735999999999E-3</v>
      </c>
      <c r="BI58">
        <f>VLOOKUP(all_cause_mort[[Country]:[Country]],'[1]Mortality Data'!$A$2:$W$201,12,FALSE)</f>
        <v>6.8450571000000003E-3</v>
      </c>
      <c r="BJ58">
        <f>VLOOKUP(all_cause_mort[[Country]:[Country]],'[1]Mortality Data'!$A$2:$W$201,13,FALSE)</f>
        <v>8.8151644000000005E-3</v>
      </c>
      <c r="BK58">
        <f>VLOOKUP(all_cause_mort[[Country]:[Country]],'[1]Mortality Data'!$A$2:$W$201,14,FALSE)</f>
        <v>1.1398903E-2</v>
      </c>
      <c r="BL58">
        <f>VLOOKUP(all_cause_mort[[Country]:[Country]],'[1]Mortality Data'!$A$2:$W$201,15,FALSE)</f>
        <v>1.7449718999999999E-2</v>
      </c>
      <c r="BM58">
        <f>VLOOKUP(all_cause_mort[[Country]:[Country]],'[1]Mortality Data'!$A$2:$W$201,16,FALSE)</f>
        <v>2.7637838000000001E-2</v>
      </c>
      <c r="BN58">
        <f>VLOOKUP(all_cause_mort[[Country]:[Country]],'[1]Mortality Data'!$A$2:$W$201,17,FALSE)</f>
        <v>4.4837672000000002E-2</v>
      </c>
      <c r="BO58">
        <f>VLOOKUP(all_cause_mort[[Country]:[Country]],'[1]Mortality Data'!$A$2:$W$201,18,FALSE)</f>
        <v>7.3213447000000001E-2</v>
      </c>
      <c r="BP58">
        <f>VLOOKUP(all_cause_mort[[Country]:[Country]],'[1]Mortality Data'!$A$2:$W$201,19,FALSE)</f>
        <v>0.11917458</v>
      </c>
      <c r="BQ58">
        <f>VLOOKUP(all_cause_mort[[Country]:[Country]],'[1]Mortality Data'!$A$2:$W$201,20,FALSE)</f>
        <v>0.18751398</v>
      </c>
      <c r="BR58">
        <f>VLOOKUP(all_cause_mort[[Country]:[Country]],'[1]Mortality Data'!$A$2:$W$201,21,FALSE)</f>
        <v>0.27765213999999999</v>
      </c>
      <c r="BS58">
        <f>VLOOKUP(all_cause_mort[[Country]:[Country]],'[1]Mortality Data'!$A$2:$W$201,22,FALSE)</f>
        <v>0.38424641999999998</v>
      </c>
      <c r="BT58">
        <f>VLOOKUP(all_cause_mort[[Country]:[Country]],'[1]Mortality Data'!$A$2:$W$201,23,FALSE)</f>
        <v>0.51051549608526503</v>
      </c>
      <c r="BU58" s="39" t="e">
        <f>VLOOKUP(all_cause_mort[[#This Row],[Country]],[2]!regions[#Data],3,FALSE)</f>
        <v>#REF!</v>
      </c>
    </row>
    <row r="59" spans="1:73" x14ac:dyDescent="0.35">
      <c r="A59" t="s">
        <v>81</v>
      </c>
      <c r="B59">
        <v>9897985</v>
      </c>
      <c r="C59">
        <v>10027095</v>
      </c>
      <c r="D59">
        <v>10154950</v>
      </c>
      <c r="E59">
        <v>10281296</v>
      </c>
      <c r="F59">
        <v>10405844</v>
      </c>
      <c r="G59">
        <v>10528394</v>
      </c>
      <c r="H59">
        <v>10648791</v>
      </c>
      <c r="I59">
        <v>10766998</v>
      </c>
      <c r="K59" t="s">
        <v>81</v>
      </c>
      <c r="L59">
        <v>20.170000000000002</v>
      </c>
      <c r="M59">
        <f>birthrate[[#This Row],[2016]]/1000</f>
        <v>2.017E-2</v>
      </c>
      <c r="O59" t="s">
        <v>94</v>
      </c>
      <c r="P59">
        <v>99.8</v>
      </c>
      <c r="Q59">
        <f>facility[[#This Row],[Facility (%)]]/100</f>
        <v>0.998</v>
      </c>
      <c r="S59" t="s">
        <v>88</v>
      </c>
      <c r="T59" t="s">
        <v>265</v>
      </c>
      <c r="U59">
        <v>27.7</v>
      </c>
      <c r="V59">
        <f>SBA[[#This Row],[SBA (%)]]/100</f>
        <v>0.27699999999999997</v>
      </c>
      <c r="X59" s="13" t="s">
        <v>100</v>
      </c>
      <c r="Y59" s="13" t="s">
        <v>252</v>
      </c>
      <c r="Z59" s="26">
        <v>0.15060000000000001</v>
      </c>
      <c r="AA59" s="26">
        <v>0.1416</v>
      </c>
      <c r="AB59" s="26">
        <v>0.16009999999999999</v>
      </c>
      <c r="AC59" s="22">
        <v>10794170</v>
      </c>
      <c r="AD59" s="27">
        <v>4.8469387755101945E-3</v>
      </c>
      <c r="AF59" s="24" t="s">
        <v>87</v>
      </c>
      <c r="AG59" s="24" t="s">
        <v>253</v>
      </c>
      <c r="AH59" s="24"/>
      <c r="AI59" s="25">
        <f>IF(birthdose[[#This Row],[2017]]/100=0, ,birthdose[[#This Row],[2017]]/100)</f>
        <v>0</v>
      </c>
      <c r="AK59" s="24" t="s">
        <v>87</v>
      </c>
      <c r="AL59" s="24" t="s">
        <v>254</v>
      </c>
      <c r="AM59" s="24">
        <v>92</v>
      </c>
      <c r="AN59" s="25">
        <f>IF(fullvax[[#This Row],[2017]]/100=0, ,fullvax[[#This Row],[2017]]/100)</f>
        <v>0.92</v>
      </c>
      <c r="AP59" s="20" t="s">
        <v>155</v>
      </c>
      <c r="AQ59" s="20">
        <v>0.95796842697226681</v>
      </c>
      <c r="AR59" s="20">
        <v>4.2031573027733193E-2</v>
      </c>
      <c r="AS59" s="20">
        <v>6.4489403391284436E-2</v>
      </c>
      <c r="AT59" s="20">
        <v>0.93551059660871561</v>
      </c>
      <c r="AV59" s="12" t="s">
        <v>89</v>
      </c>
      <c r="AW59" s="14" t="s">
        <v>58</v>
      </c>
      <c r="AX59" s="41">
        <f>VLOOKUP(all_cause_mort[[#This Row],[Country]],[1]!populations[#Data],9,FALSE)*VLOOKUP(all_cause_mort[[#This Row],[Country]],[1]!birthrate[#Data],3,FALSE)</f>
        <v>17554.967274000002</v>
      </c>
      <c r="AY59">
        <f>VLOOKUP(all_cause_mort[[Country]:[Country]],'[1]Mortality Data'!$A$2:$W$201,2,FALSE)</f>
        <v>2.0703859000000002E-2</v>
      </c>
      <c r="AZ59">
        <f>VLOOKUP(all_cause_mort[[Country]:[Country]],'[1]Mortality Data'!$A$2:$W$201,3,FALSE)</f>
        <v>1.0995463E-3</v>
      </c>
      <c r="BA59">
        <f>VLOOKUP(all_cause_mort[[Country]:[Country]],'[1]Mortality Data'!$A$2:$W$201,4,FALSE)</f>
        <v>7.2957983999999995E-4</v>
      </c>
      <c r="BB59">
        <f>VLOOKUP(all_cause_mort[[Country]:[Country]],'[1]Mortality Data'!$A$2:$W$201,5,FALSE)</f>
        <v>6.7984078000000005E-4</v>
      </c>
      <c r="BC59">
        <f>VLOOKUP(all_cause_mort[[Country]:[Country]],'[1]Mortality Data'!$A$2:$W$201,6,FALSE)</f>
        <v>1.5237788E-3</v>
      </c>
      <c r="BD59">
        <f>VLOOKUP(all_cause_mort[[Country]:[Country]],'[1]Mortality Data'!$A$2:$W$201,7,FALSE)</f>
        <v>2.1675984999999999E-3</v>
      </c>
      <c r="BE59">
        <f>VLOOKUP(all_cause_mort[[Country]:[Country]],'[1]Mortality Data'!$A$2:$W$201,8,FALSE)</f>
        <v>2.4056235000000001E-3</v>
      </c>
      <c r="BF59">
        <f>VLOOKUP(all_cause_mort[[Country]:[Country]],'[1]Mortality Data'!$A$2:$W$201,9,FALSE)</f>
        <v>2.8231564E-3</v>
      </c>
      <c r="BG59">
        <f>VLOOKUP(all_cause_mort[[Country]:[Country]],'[1]Mortality Data'!$A$2:$W$201,10,FALSE)</f>
        <v>3.6225836000000002E-3</v>
      </c>
      <c r="BH59">
        <f>VLOOKUP(all_cause_mort[[Country]:[Country]],'[1]Mortality Data'!$A$2:$W$201,11,FALSE)</f>
        <v>4.8950621999999996E-3</v>
      </c>
      <c r="BI59">
        <f>VLOOKUP(all_cause_mort[[Country]:[Country]],'[1]Mortality Data'!$A$2:$W$201,12,FALSE)</f>
        <v>6.9798292E-3</v>
      </c>
      <c r="BJ59">
        <f>VLOOKUP(all_cause_mort[[Country]:[Country]],'[1]Mortality Data'!$A$2:$W$201,13,FALSE)</f>
        <v>1.0152255000000001E-2</v>
      </c>
      <c r="BK59">
        <f>VLOOKUP(all_cause_mort[[Country]:[Country]],'[1]Mortality Data'!$A$2:$W$201,14,FALSE)</f>
        <v>1.4905674000000001E-2</v>
      </c>
      <c r="BL59">
        <f>VLOOKUP(all_cause_mort[[Country]:[Country]],'[1]Mortality Data'!$A$2:$W$201,15,FALSE)</f>
        <v>2.3626244000000001E-2</v>
      </c>
      <c r="BM59">
        <f>VLOOKUP(all_cause_mort[[Country]:[Country]],'[1]Mortality Data'!$A$2:$W$201,16,FALSE)</f>
        <v>3.7879847000000001E-2</v>
      </c>
      <c r="BN59">
        <f>VLOOKUP(all_cause_mort[[Country]:[Country]],'[1]Mortality Data'!$A$2:$W$201,17,FALSE)</f>
        <v>5.9864582E-2</v>
      </c>
      <c r="BO59">
        <f>VLOOKUP(all_cause_mort[[Country]:[Country]],'[1]Mortality Data'!$A$2:$W$201,18,FALSE)</f>
        <v>9.4230981000000005E-2</v>
      </c>
      <c r="BP59">
        <f>VLOOKUP(all_cause_mort[[Country]:[Country]],'[1]Mortality Data'!$A$2:$W$201,19,FALSE)</f>
        <v>0.14965116000000001</v>
      </c>
      <c r="BQ59">
        <f>VLOOKUP(all_cause_mort[[Country]:[Country]],'[1]Mortality Data'!$A$2:$W$201,20,FALSE)</f>
        <v>0.23385951999999999</v>
      </c>
      <c r="BR59">
        <f>VLOOKUP(all_cause_mort[[Country]:[Country]],'[1]Mortality Data'!$A$2:$W$201,21,FALSE)</f>
        <v>0.34345299000000001</v>
      </c>
      <c r="BS59">
        <f>VLOOKUP(all_cause_mort[[Country]:[Country]],'[1]Mortality Data'!$A$2:$W$201,22,FALSE)</f>
        <v>0.48201548</v>
      </c>
      <c r="BT59">
        <f>VLOOKUP(all_cause_mort[[Country]:[Country]],'[1]Mortality Data'!$A$2:$W$201,23,FALSE)</f>
        <v>0.62447274985139101</v>
      </c>
      <c r="BU59" s="39" t="e">
        <f>VLOOKUP(all_cause_mort[[#This Row],[Country]],[2]!regions[#Data],3,FALSE)</f>
        <v>#REF!</v>
      </c>
    </row>
    <row r="60" spans="1:73" x14ac:dyDescent="0.35">
      <c r="A60" t="s">
        <v>12</v>
      </c>
      <c r="B60">
        <v>36117637</v>
      </c>
      <c r="C60">
        <v>36819558</v>
      </c>
      <c r="D60">
        <v>37565847</v>
      </c>
      <c r="E60">
        <v>38338562</v>
      </c>
      <c r="F60">
        <v>39113313</v>
      </c>
      <c r="G60">
        <v>39871528</v>
      </c>
      <c r="H60">
        <v>40606052</v>
      </c>
      <c r="I60">
        <v>41318142</v>
      </c>
      <c r="K60" t="s">
        <v>12</v>
      </c>
      <c r="L60">
        <v>23.132000000000001</v>
      </c>
      <c r="M60">
        <f>birthrate[[#This Row],[2016]]/1000</f>
        <v>2.3132E-2</v>
      </c>
      <c r="O60" t="s">
        <v>95</v>
      </c>
      <c r="P60">
        <v>98.5</v>
      </c>
      <c r="Q60">
        <f>facility[[#This Row],[Facility (%)]]/100</f>
        <v>0.98499999999999999</v>
      </c>
      <c r="S60" t="s">
        <v>89</v>
      </c>
      <c r="T60">
        <v>2015</v>
      </c>
      <c r="U60">
        <v>99.9</v>
      </c>
      <c r="V60">
        <f>SBA[[#This Row],[SBA (%)]]/100</f>
        <v>0.99900000000000011</v>
      </c>
      <c r="X60" s="13" t="s">
        <v>103</v>
      </c>
      <c r="Y60" s="13" t="s">
        <v>256</v>
      </c>
      <c r="Z60" s="26">
        <v>2.9000000000000001E-2</v>
      </c>
      <c r="AA60" s="26">
        <v>2.7E-2</v>
      </c>
      <c r="AB60" s="26">
        <v>4.1000000000000002E-2</v>
      </c>
      <c r="AC60">
        <v>10981229</v>
      </c>
      <c r="AD60" s="27">
        <v>6.1224489795918373E-3</v>
      </c>
      <c r="AF60" s="24" t="s">
        <v>287</v>
      </c>
      <c r="AG60" s="24" t="s">
        <v>253</v>
      </c>
      <c r="AH60" s="24"/>
      <c r="AI60" s="25">
        <f>IF(birthdose[[#This Row],[2017]]/100=0, ,birthdose[[#This Row],[2017]]/100)</f>
        <v>0</v>
      </c>
      <c r="AK60" s="24" t="s">
        <v>287</v>
      </c>
      <c r="AL60" s="24" t="s">
        <v>254</v>
      </c>
      <c r="AM60" s="24">
        <v>90</v>
      </c>
      <c r="AN60" s="25">
        <f>IF(fullvax[[#This Row],[2017]]/100=0, ,fullvax[[#This Row],[2017]]/100)</f>
        <v>0.9</v>
      </c>
      <c r="AP60" s="20" t="s">
        <v>159</v>
      </c>
      <c r="AQ60" s="20">
        <v>0.99069782986709476</v>
      </c>
      <c r="AR60" s="20">
        <v>9.3021701329052409E-3</v>
      </c>
      <c r="AS60" s="20">
        <v>8.7208560523676398E-2</v>
      </c>
      <c r="AT60" s="20">
        <v>0.91279143947632357</v>
      </c>
      <c r="AV60" s="8" t="s">
        <v>92</v>
      </c>
      <c r="AW60" s="11" t="s">
        <v>15</v>
      </c>
      <c r="AX60" s="41">
        <f>VLOOKUP(all_cause_mort[[#This Row],[Country]],[1]!populations[#Data],9,FALSE)*VLOOKUP(all_cause_mort[[#This Row],[Country]],[1]!birthrate[#Data],3,FALSE)</f>
        <v>59765.843143999999</v>
      </c>
      <c r="AY60">
        <f>VLOOKUP(all_cause_mort[[Country]:[Country]],'[1]Mortality Data'!$A$2:$W$201,2,FALSE)</f>
        <v>3.6382349000000001E-2</v>
      </c>
      <c r="AZ60">
        <f>VLOOKUP(all_cause_mort[[Country]:[Country]],'[1]Mortality Data'!$A$2:$W$201,3,FALSE)</f>
        <v>3.3093216999999999E-3</v>
      </c>
      <c r="BA60">
        <f>VLOOKUP(all_cause_mort[[Country]:[Country]],'[1]Mortality Data'!$A$2:$W$201,4,FALSE)</f>
        <v>1.4297540999999999E-3</v>
      </c>
      <c r="BB60">
        <f>VLOOKUP(all_cause_mort[[Country]:[Country]],'[1]Mortality Data'!$A$2:$W$201,5,FALSE)</f>
        <v>1.0194274E-3</v>
      </c>
      <c r="BC60">
        <f>VLOOKUP(all_cause_mort[[Country]:[Country]],'[1]Mortality Data'!$A$2:$W$201,6,FALSE)</f>
        <v>1.6897365E-3</v>
      </c>
      <c r="BD60">
        <f>VLOOKUP(all_cause_mort[[Country]:[Country]],'[1]Mortality Data'!$A$2:$W$201,7,FALSE)</f>
        <v>2.4666762000000002E-3</v>
      </c>
      <c r="BE60">
        <f>VLOOKUP(all_cause_mort[[Country]:[Country]],'[1]Mortality Data'!$A$2:$W$201,8,FALSE)</f>
        <v>2.8224423000000002E-3</v>
      </c>
      <c r="BF60">
        <f>VLOOKUP(all_cause_mort[[Country]:[Country]],'[1]Mortality Data'!$A$2:$W$201,9,FALSE)</f>
        <v>3.2876296E-3</v>
      </c>
      <c r="BG60">
        <f>VLOOKUP(all_cause_mort[[Country]:[Country]],'[1]Mortality Data'!$A$2:$W$201,10,FALSE)</f>
        <v>4.0058404000000002E-3</v>
      </c>
      <c r="BH60">
        <f>VLOOKUP(all_cause_mort[[Country]:[Country]],'[1]Mortality Data'!$A$2:$W$201,11,FALSE)</f>
        <v>5.1043570999999999E-3</v>
      </c>
      <c r="BI60">
        <f>VLOOKUP(all_cause_mort[[Country]:[Country]],'[1]Mortality Data'!$A$2:$W$201,12,FALSE)</f>
        <v>6.5191173999999998E-3</v>
      </c>
      <c r="BJ60">
        <f>VLOOKUP(all_cause_mort[[Country]:[Country]],'[1]Mortality Data'!$A$2:$W$201,13,FALSE)</f>
        <v>9.3987971999999996E-3</v>
      </c>
      <c r="BK60">
        <f>VLOOKUP(all_cause_mort[[Country]:[Country]],'[1]Mortality Data'!$A$2:$W$201,14,FALSE)</f>
        <v>1.2750716E-2</v>
      </c>
      <c r="BL60">
        <f>VLOOKUP(all_cause_mort[[Country]:[Country]],'[1]Mortality Data'!$A$2:$W$201,15,FALSE)</f>
        <v>1.9657922000000001E-2</v>
      </c>
      <c r="BM60">
        <f>VLOOKUP(all_cause_mort[[Country]:[Country]],'[1]Mortality Data'!$A$2:$W$201,16,FALSE)</f>
        <v>3.1404091000000002E-2</v>
      </c>
      <c r="BN60">
        <f>VLOOKUP(all_cause_mort[[Country]:[Country]],'[1]Mortality Data'!$A$2:$W$201,17,FALSE)</f>
        <v>5.1045883E-2</v>
      </c>
      <c r="BO60">
        <f>VLOOKUP(all_cause_mort[[Country]:[Country]],'[1]Mortality Data'!$A$2:$W$201,18,FALSE)</f>
        <v>8.4176925E-2</v>
      </c>
      <c r="BP60">
        <f>VLOOKUP(all_cause_mort[[Country]:[Country]],'[1]Mortality Data'!$A$2:$W$201,19,FALSE)</f>
        <v>0.14237784000000001</v>
      </c>
      <c r="BQ60">
        <f>VLOOKUP(all_cause_mort[[Country]:[Country]],'[1]Mortality Data'!$A$2:$W$201,20,FALSE)</f>
        <v>0.24045104</v>
      </c>
      <c r="BR60">
        <f>VLOOKUP(all_cause_mort[[Country]:[Country]],'[1]Mortality Data'!$A$2:$W$201,21,FALSE)</f>
        <v>0.40881248999999997</v>
      </c>
      <c r="BS60">
        <f>VLOOKUP(all_cause_mort[[Country]:[Country]],'[1]Mortality Data'!$A$2:$W$201,22,FALSE)</f>
        <v>0.59841051000000001</v>
      </c>
      <c r="BT60">
        <f>VLOOKUP(all_cause_mort[[Country]:[Country]],'[1]Mortality Data'!$A$2:$W$201,23,FALSE)</f>
        <v>0.80556445256739795</v>
      </c>
      <c r="BU60" s="39" t="e">
        <f>VLOOKUP(all_cause_mort[[#This Row],[Country]],[2]!regions[#Data],3,FALSE)</f>
        <v>#REF!</v>
      </c>
    </row>
    <row r="61" spans="1:73" x14ac:dyDescent="0.35">
      <c r="A61" t="s">
        <v>288</v>
      </c>
      <c r="B61">
        <v>1966231608</v>
      </c>
      <c r="C61">
        <v>1980303926</v>
      </c>
      <c r="D61">
        <v>1994651365</v>
      </c>
      <c r="E61">
        <v>2009173000</v>
      </c>
      <c r="F61">
        <v>2023837097</v>
      </c>
      <c r="G61">
        <v>2038410865</v>
      </c>
      <c r="H61">
        <v>2053299126</v>
      </c>
      <c r="I61">
        <v>2068308373</v>
      </c>
      <c r="K61" t="s">
        <v>288</v>
      </c>
      <c r="L61">
        <v>14.093694786270637</v>
      </c>
      <c r="M61">
        <f>birthrate[[#This Row],[2016]]/1000</f>
        <v>1.4093694786270638E-2</v>
      </c>
      <c r="O61" t="s">
        <v>96</v>
      </c>
      <c r="P61">
        <v>73.099999999999994</v>
      </c>
      <c r="Q61">
        <f>facility[[#This Row],[Facility (%)]]/100</f>
        <v>0.73099999999999998</v>
      </c>
      <c r="S61" t="s">
        <v>90</v>
      </c>
      <c r="T61">
        <v>2015</v>
      </c>
      <c r="U61">
        <v>99.9</v>
      </c>
      <c r="V61">
        <f>SBA[[#This Row],[SBA (%)]]/100</f>
        <v>0.99900000000000011</v>
      </c>
      <c r="X61" s="13" t="s">
        <v>105</v>
      </c>
      <c r="Y61" s="13" t="s">
        <v>256</v>
      </c>
      <c r="Z61" s="26">
        <v>4.0000000000000001E-3</v>
      </c>
      <c r="AA61" s="26">
        <v>4.0000000000000001E-3</v>
      </c>
      <c r="AB61" s="26">
        <v>5.0000000000000001E-3</v>
      </c>
      <c r="AC61">
        <v>9781127</v>
      </c>
      <c r="AD61" s="27">
        <v>5.1020408163265311E-4</v>
      </c>
      <c r="AF61" s="24" t="s">
        <v>88</v>
      </c>
      <c r="AG61" s="24" t="s">
        <v>253</v>
      </c>
      <c r="AH61" s="24"/>
      <c r="AI61" s="25">
        <f>IF(birthdose[[#This Row],[2017]]/100=0, ,birthdose[[#This Row],[2017]]/100)</f>
        <v>0</v>
      </c>
      <c r="AK61" s="24" t="s">
        <v>88</v>
      </c>
      <c r="AL61" s="24" t="s">
        <v>254</v>
      </c>
      <c r="AM61" s="24">
        <v>73</v>
      </c>
      <c r="AN61" s="25">
        <f>IF(fullvax[[#This Row],[2017]]/100=0, ,fullvax[[#This Row],[2017]]/100)</f>
        <v>0.73</v>
      </c>
      <c r="AP61" s="20" t="s">
        <v>164</v>
      </c>
      <c r="AQ61" s="20">
        <v>0.99359840363761875</v>
      </c>
      <c r="AR61" s="20">
        <v>6.4015963623812455E-3</v>
      </c>
      <c r="AS61" s="20">
        <v>0.18261387062666498</v>
      </c>
      <c r="AT61" s="20">
        <v>0.81738612937333499</v>
      </c>
      <c r="AV61" s="12" t="s">
        <v>93</v>
      </c>
      <c r="AW61" s="14" t="s">
        <v>15</v>
      </c>
      <c r="AX61" s="41">
        <f>VLOOKUP(all_cause_mort[[#This Row],[Country]],[1]!populations[#Data],9,FALSE)*VLOOKUP(all_cause_mort[[#This Row],[Country]],[1]!birthrate[#Data],3,FALSE)</f>
        <v>82934.625775999986</v>
      </c>
      <c r="AY61">
        <f>VLOOKUP(all_cause_mort[[Country]:[Country]],'[1]Mortality Data'!$A$2:$W$201,2,FALSE)</f>
        <v>4.6569608999999998E-2</v>
      </c>
      <c r="AZ61">
        <f>VLOOKUP(all_cause_mort[[Country]:[Country]],'[1]Mortality Data'!$A$2:$W$201,3,FALSE)</f>
        <v>6.0964503999999999E-3</v>
      </c>
      <c r="BA61">
        <f>VLOOKUP(all_cause_mort[[Country]:[Country]],'[1]Mortality Data'!$A$2:$W$201,4,FALSE)</f>
        <v>2.8382337000000001E-3</v>
      </c>
      <c r="BB61">
        <f>VLOOKUP(all_cause_mort[[Country]:[Country]],'[1]Mortality Data'!$A$2:$W$201,5,FALSE)</f>
        <v>1.7001506999999999E-3</v>
      </c>
      <c r="BC61">
        <f>VLOOKUP(all_cause_mort[[Country]:[Country]],'[1]Mortality Data'!$A$2:$W$201,6,FALSE)</f>
        <v>2.5999804000000001E-3</v>
      </c>
      <c r="BD61">
        <f>VLOOKUP(all_cause_mort[[Country]:[Country]],'[1]Mortality Data'!$A$2:$W$201,7,FALSE)</f>
        <v>3.6728682999999998E-3</v>
      </c>
      <c r="BE61">
        <f>VLOOKUP(all_cause_mort[[Country]:[Country]],'[1]Mortality Data'!$A$2:$W$201,8,FALSE)</f>
        <v>3.9042273999999998E-3</v>
      </c>
      <c r="BF61">
        <f>VLOOKUP(all_cause_mort[[Country]:[Country]],'[1]Mortality Data'!$A$2:$W$201,9,FALSE)</f>
        <v>4.2892820999999998E-3</v>
      </c>
      <c r="BG61">
        <f>VLOOKUP(all_cause_mort[[Country]:[Country]],'[1]Mortality Data'!$A$2:$W$201,10,FALSE)</f>
        <v>4.9122823000000001E-3</v>
      </c>
      <c r="BH61">
        <f>VLOOKUP(all_cause_mort[[Country]:[Country]],'[1]Mortality Data'!$A$2:$W$201,11,FALSE)</f>
        <v>6.0422779000000003E-3</v>
      </c>
      <c r="BI61">
        <f>VLOOKUP(all_cause_mort[[Country]:[Country]],'[1]Mortality Data'!$A$2:$W$201,12,FALSE)</f>
        <v>7.5662788999999999E-3</v>
      </c>
      <c r="BJ61">
        <f>VLOOKUP(all_cause_mort[[Country]:[Country]],'[1]Mortality Data'!$A$2:$W$201,13,FALSE)</f>
        <v>1.0650064000000001E-2</v>
      </c>
      <c r="BK61">
        <f>VLOOKUP(all_cause_mort[[Country]:[Country]],'[1]Mortality Data'!$A$2:$W$201,14,FALSE)</f>
        <v>1.5350337E-2</v>
      </c>
      <c r="BL61">
        <f>VLOOKUP(all_cause_mort[[Country]:[Country]],'[1]Mortality Data'!$A$2:$W$201,15,FALSE)</f>
        <v>2.4265436000000001E-2</v>
      </c>
      <c r="BM61">
        <f>VLOOKUP(all_cause_mort[[Country]:[Country]],'[1]Mortality Data'!$A$2:$W$201,16,FALSE)</f>
        <v>3.8278991999999998E-2</v>
      </c>
      <c r="BN61">
        <f>VLOOKUP(all_cause_mort[[Country]:[Country]],'[1]Mortality Data'!$A$2:$W$201,17,FALSE)</f>
        <v>6.4586533000000002E-2</v>
      </c>
      <c r="BO61">
        <f>VLOOKUP(all_cause_mort[[Country]:[Country]],'[1]Mortality Data'!$A$2:$W$201,18,FALSE)</f>
        <v>0.10891588000000001</v>
      </c>
      <c r="BP61">
        <f>VLOOKUP(all_cause_mort[[Country]:[Country]],'[1]Mortality Data'!$A$2:$W$201,19,FALSE)</f>
        <v>0.18037526000000001</v>
      </c>
      <c r="BQ61">
        <f>VLOOKUP(all_cause_mort[[Country]:[Country]],'[1]Mortality Data'!$A$2:$W$201,20,FALSE)</f>
        <v>0.28117492999999999</v>
      </c>
      <c r="BR61">
        <f>VLOOKUP(all_cause_mort[[Country]:[Country]],'[1]Mortality Data'!$A$2:$W$201,21,FALSE)</f>
        <v>0.40939105999999997</v>
      </c>
      <c r="BS61">
        <f>VLOOKUP(all_cause_mort[[Country]:[Country]],'[1]Mortality Data'!$A$2:$W$201,22,FALSE)</f>
        <v>0.56996332999999999</v>
      </c>
      <c r="BT61">
        <f>VLOOKUP(all_cause_mort[[Country]:[Country]],'[1]Mortality Data'!$A$2:$W$201,23,FALSE)</f>
        <v>0.71107556365360003</v>
      </c>
      <c r="BU61" s="39" t="e">
        <f>VLOOKUP(all_cause_mort[[#This Row],[Country]],[2]!regions[#Data],3,FALSE)</f>
        <v>#REF!</v>
      </c>
    </row>
    <row r="62" spans="1:73" x14ac:dyDescent="0.35">
      <c r="A62" t="s">
        <v>289</v>
      </c>
      <c r="B62">
        <v>2909410986</v>
      </c>
      <c r="C62">
        <v>2953406021</v>
      </c>
      <c r="D62">
        <v>2997066325</v>
      </c>
      <c r="E62">
        <v>3040700765</v>
      </c>
      <c r="F62">
        <v>3084236443</v>
      </c>
      <c r="G62">
        <v>3127578757</v>
      </c>
      <c r="H62">
        <v>3170657660</v>
      </c>
      <c r="I62">
        <v>3213426923</v>
      </c>
      <c r="K62" t="s">
        <v>289</v>
      </c>
      <c r="L62">
        <v>20.879787104937403</v>
      </c>
      <c r="M62">
        <f>birthrate[[#This Row],[2016]]/1000</f>
        <v>2.0879787104937403E-2</v>
      </c>
      <c r="O62" t="s">
        <v>99</v>
      </c>
      <c r="P62">
        <v>65</v>
      </c>
      <c r="Q62">
        <f>facility[[#This Row],[Facility (%)]]/100</f>
        <v>0.65</v>
      </c>
      <c r="S62" t="s">
        <v>91</v>
      </c>
      <c r="T62">
        <v>2016</v>
      </c>
      <c r="U62">
        <v>97.4</v>
      </c>
      <c r="V62">
        <f>SBA[[#This Row],[SBA (%)]]/100</f>
        <v>0.97400000000000009</v>
      </c>
      <c r="X62" s="10" t="s">
        <v>106</v>
      </c>
      <c r="Y62" s="10" t="s">
        <v>252</v>
      </c>
      <c r="Z62" s="21">
        <v>1.4E-3</v>
      </c>
      <c r="AA62" s="21">
        <v>4.0000000000000002E-4</v>
      </c>
      <c r="AB62" s="21">
        <v>5.5999999999999999E-3</v>
      </c>
      <c r="AC62" s="22">
        <v>318041</v>
      </c>
      <c r="AD62" s="27">
        <v>2.142857142857143E-3</v>
      </c>
      <c r="AF62" s="24" t="s">
        <v>89</v>
      </c>
      <c r="AG62" s="24" t="s">
        <v>253</v>
      </c>
      <c r="AH62" s="24">
        <v>90</v>
      </c>
      <c r="AI62" s="25">
        <f>IF(birthdose[[#This Row],[2017]]/100=0, ,birthdose[[#This Row],[2017]]/100)</f>
        <v>0.9</v>
      </c>
      <c r="AK62" s="24" t="s">
        <v>89</v>
      </c>
      <c r="AL62" s="24" t="s">
        <v>254</v>
      </c>
      <c r="AM62" s="24">
        <v>99</v>
      </c>
      <c r="AN62" s="25">
        <f>IF(fullvax[[#This Row],[2017]]/100=0, ,fullvax[[#This Row],[2017]]/100)</f>
        <v>0.99</v>
      </c>
      <c r="AP62" s="20" t="s">
        <v>290</v>
      </c>
      <c r="AQ62" s="20">
        <v>0.99764610896921257</v>
      </c>
      <c r="AR62" s="20">
        <v>2.353891030787425E-3</v>
      </c>
      <c r="AS62" s="20">
        <v>0.28241463830039321</v>
      </c>
      <c r="AT62" s="20">
        <v>0.71758536169960685</v>
      </c>
      <c r="AV62" s="8" t="s">
        <v>94</v>
      </c>
      <c r="AW62" s="11" t="s">
        <v>11</v>
      </c>
      <c r="AX62" s="41">
        <f>VLOOKUP(all_cause_mort[[#This Row],[Country]],[1]!populations[#Data],9,FALSE)*VLOOKUP(all_cause_mort[[#This Row],[Country]],[1]!birthrate[#Data],3,FALSE)</f>
        <v>50177.132900000004</v>
      </c>
      <c r="AY62">
        <f>VLOOKUP(all_cause_mort[[Country]:[Country]],'[1]Mortality Data'!$A$2:$W$201,2,FALSE)</f>
        <v>9.4546308000000006E-3</v>
      </c>
      <c r="AZ62">
        <f>VLOOKUP(all_cause_mort[[Country]:[Country]],'[1]Mortality Data'!$A$2:$W$201,3,FALSE)</f>
        <v>1.9807228E-4</v>
      </c>
      <c r="BA62">
        <f>VLOOKUP(all_cause_mort[[Country]:[Country]],'[1]Mortality Data'!$A$2:$W$201,4,FALSE)</f>
        <v>2.0746067999999999E-4</v>
      </c>
      <c r="BB62">
        <f>VLOOKUP(all_cause_mort[[Country]:[Country]],'[1]Mortality Data'!$A$2:$W$201,5,FALSE)</f>
        <v>2.4017242000000001E-4</v>
      </c>
      <c r="BC62">
        <f>VLOOKUP(all_cause_mort[[Country]:[Country]],'[1]Mortality Data'!$A$2:$W$201,6,FALSE)</f>
        <v>4.5800474E-4</v>
      </c>
      <c r="BD62">
        <f>VLOOKUP(all_cause_mort[[Country]:[Country]],'[1]Mortality Data'!$A$2:$W$201,7,FALSE)</f>
        <v>7.6180599E-4</v>
      </c>
      <c r="BE62">
        <f>VLOOKUP(all_cause_mort[[Country]:[Country]],'[1]Mortality Data'!$A$2:$W$201,8,FALSE)</f>
        <v>9.4038273999999999E-4</v>
      </c>
      <c r="BF62">
        <f>VLOOKUP(all_cause_mort[[Country]:[Country]],'[1]Mortality Data'!$A$2:$W$201,9,FALSE)</f>
        <v>1.4049372000000001E-3</v>
      </c>
      <c r="BG62">
        <f>VLOOKUP(all_cause_mort[[Country]:[Country]],'[1]Mortality Data'!$A$2:$W$201,10,FALSE)</f>
        <v>1.9982443999999999E-3</v>
      </c>
      <c r="BH62">
        <f>VLOOKUP(all_cause_mort[[Country]:[Country]],'[1]Mortality Data'!$A$2:$W$201,11,FALSE)</f>
        <v>3.099475E-3</v>
      </c>
      <c r="BI62">
        <f>VLOOKUP(all_cause_mort[[Country]:[Country]],'[1]Mortality Data'!$A$2:$W$201,12,FALSE)</f>
        <v>5.0938577000000001E-3</v>
      </c>
      <c r="BJ62">
        <f>VLOOKUP(all_cause_mort[[Country]:[Country]],'[1]Mortality Data'!$A$2:$W$201,13,FALSE)</f>
        <v>7.5443478999999997E-3</v>
      </c>
      <c r="BK62">
        <f>VLOOKUP(all_cause_mort[[Country]:[Country]],'[1]Mortality Data'!$A$2:$W$201,14,FALSE)</f>
        <v>1.1202004E-2</v>
      </c>
      <c r="BL62">
        <f>VLOOKUP(all_cause_mort[[Country]:[Country]],'[1]Mortality Data'!$A$2:$W$201,15,FALSE)</f>
        <v>1.6347832999999999E-2</v>
      </c>
      <c r="BM62">
        <f>VLOOKUP(all_cause_mort[[Country]:[Country]],'[1]Mortality Data'!$A$2:$W$201,16,FALSE)</f>
        <v>2.3644893E-2</v>
      </c>
      <c r="BN62">
        <f>VLOOKUP(all_cause_mort[[Country]:[Country]],'[1]Mortality Data'!$A$2:$W$201,17,FALSE)</f>
        <v>3.9309016000000002E-2</v>
      </c>
      <c r="BO62">
        <f>VLOOKUP(all_cause_mort[[Country]:[Country]],'[1]Mortality Data'!$A$2:$W$201,18,FALSE)</f>
        <v>6.6808330999999999E-2</v>
      </c>
      <c r="BP62">
        <f>VLOOKUP(all_cause_mort[[Country]:[Country]],'[1]Mortality Data'!$A$2:$W$201,19,FALSE)</f>
        <v>0.10964259</v>
      </c>
      <c r="BQ62">
        <f>VLOOKUP(all_cause_mort[[Country]:[Country]],'[1]Mortality Data'!$A$2:$W$201,20,FALSE)</f>
        <v>0.17324039999999999</v>
      </c>
      <c r="BR62">
        <f>VLOOKUP(all_cause_mort[[Country]:[Country]],'[1]Mortality Data'!$A$2:$W$201,21,FALSE)</f>
        <v>0.26773670999999999</v>
      </c>
      <c r="BS62">
        <f>VLOOKUP(all_cause_mort[[Country]:[Country]],'[1]Mortality Data'!$A$2:$W$201,22,FALSE)</f>
        <v>0.38496724999999998</v>
      </c>
      <c r="BT62">
        <f>VLOOKUP(all_cause_mort[[Country]:[Country]],'[1]Mortality Data'!$A$2:$W$201,23,FALSE)</f>
        <v>0.52787808634480704</v>
      </c>
      <c r="BU62" s="39" t="e">
        <f>VLOOKUP(all_cause_mort[[#This Row],[Country]],[2]!regions[#Data],3,FALSE)</f>
        <v>#REF!</v>
      </c>
    </row>
    <row r="63" spans="1:73" x14ac:dyDescent="0.35">
      <c r="A63" t="s">
        <v>291</v>
      </c>
      <c r="B63">
        <v>2207154641</v>
      </c>
      <c r="C63">
        <v>2221934584</v>
      </c>
      <c r="D63">
        <v>2237082761</v>
      </c>
      <c r="E63">
        <v>2252311022</v>
      </c>
      <c r="F63">
        <v>2267745366</v>
      </c>
      <c r="G63">
        <v>2283108073</v>
      </c>
      <c r="H63">
        <v>2298726779</v>
      </c>
      <c r="I63">
        <v>2314364990</v>
      </c>
      <c r="K63" t="s">
        <v>291</v>
      </c>
      <c r="L63">
        <v>13.504969028516502</v>
      </c>
      <c r="M63">
        <f>birthrate[[#This Row],[2016]]/1000</f>
        <v>1.3504969028516502E-2</v>
      </c>
      <c r="O63" t="s">
        <v>100</v>
      </c>
      <c r="P63">
        <v>57.2</v>
      </c>
      <c r="Q63">
        <f>facility[[#This Row],[Facility (%)]]/100</f>
        <v>0.57200000000000006</v>
      </c>
      <c r="S63" t="s">
        <v>92</v>
      </c>
      <c r="T63" t="s">
        <v>275</v>
      </c>
      <c r="U63">
        <v>89.3</v>
      </c>
      <c r="V63">
        <f>SBA[[#This Row],[SBA (%)]]/100</f>
        <v>0.89300000000000002</v>
      </c>
      <c r="X63" s="10" t="s">
        <v>107</v>
      </c>
      <c r="Y63" s="10" t="s">
        <v>256</v>
      </c>
      <c r="Z63" s="21">
        <v>2.5000000000000001E-2</v>
      </c>
      <c r="AA63" s="21">
        <v>2.1999999999999999E-2</v>
      </c>
      <c r="AB63" s="21">
        <v>2.7E-2</v>
      </c>
      <c r="AC63">
        <v>1339180127</v>
      </c>
      <c r="AD63" s="27">
        <v>1.0204081632653053E-3</v>
      </c>
      <c r="AF63" s="24" t="s">
        <v>90</v>
      </c>
      <c r="AG63" s="24" t="s">
        <v>253</v>
      </c>
      <c r="AH63" s="24"/>
      <c r="AI63" s="25">
        <f>IF(birthdose[[#This Row],[2017]]/100=0, ,birthdose[[#This Row],[2017]]/100)</f>
        <v>0</v>
      </c>
      <c r="AK63" s="24" t="s">
        <v>90</v>
      </c>
      <c r="AL63" s="24" t="s">
        <v>254</v>
      </c>
      <c r="AM63" s="24"/>
      <c r="AN63" s="25">
        <f>IF(fullvax[[#This Row],[2017]]/100=0, ,fullvax[[#This Row],[2017]]/100)</f>
        <v>0</v>
      </c>
      <c r="AP63" s="20" t="s">
        <v>173</v>
      </c>
      <c r="AQ63" s="20">
        <v>0.99594302698032355</v>
      </c>
      <c r="AR63" s="20">
        <v>4.0569730196764464E-3</v>
      </c>
      <c r="AS63" s="20">
        <v>1.5845256328023073E-2</v>
      </c>
      <c r="AT63" s="20">
        <v>0.98415474367197697</v>
      </c>
      <c r="AV63" s="8" t="s">
        <v>96</v>
      </c>
      <c r="AW63" s="11" t="s">
        <v>15</v>
      </c>
      <c r="AX63" s="41">
        <f>VLOOKUP(all_cause_mort[[#This Row],[Country]],[1]!populations[#Data],9,FALSE)*VLOOKUP(all_cause_mort[[#This Row],[Country]],[1]!birthrate[#Data],3,FALSE)</f>
        <v>895197.6795630001</v>
      </c>
      <c r="AY63">
        <f>VLOOKUP(all_cause_mort[[Country]:[Country]],'[1]Mortality Data'!$A$2:$W$201,2,FALSE)</f>
        <v>3.6755437000000002E-2</v>
      </c>
      <c r="AZ63">
        <f>VLOOKUP(all_cause_mort[[Country]:[Country]],'[1]Mortality Data'!$A$2:$W$201,3,FALSE)</f>
        <v>4.1932918000000003E-3</v>
      </c>
      <c r="BA63">
        <f>VLOOKUP(all_cause_mort[[Country]:[Country]],'[1]Mortality Data'!$A$2:$W$201,4,FALSE)</f>
        <v>2.443761E-3</v>
      </c>
      <c r="BB63">
        <f>VLOOKUP(all_cause_mort[[Country]:[Country]],'[1]Mortality Data'!$A$2:$W$201,5,FALSE)</f>
        <v>1.4835320000000001E-3</v>
      </c>
      <c r="BC63">
        <f>VLOOKUP(all_cause_mort[[Country]:[Country]],'[1]Mortality Data'!$A$2:$W$201,6,FALSE)</f>
        <v>2.2822474E-3</v>
      </c>
      <c r="BD63">
        <f>VLOOKUP(all_cause_mort[[Country]:[Country]],'[1]Mortality Data'!$A$2:$W$201,7,FALSE)</f>
        <v>3.2215045999999998E-3</v>
      </c>
      <c r="BE63">
        <f>VLOOKUP(all_cause_mort[[Country]:[Country]],'[1]Mortality Data'!$A$2:$W$201,8,FALSE)</f>
        <v>3.4470555999999999E-3</v>
      </c>
      <c r="BF63">
        <f>VLOOKUP(all_cause_mort[[Country]:[Country]],'[1]Mortality Data'!$A$2:$W$201,9,FALSE)</f>
        <v>3.8348754999999999E-3</v>
      </c>
      <c r="BG63">
        <f>VLOOKUP(all_cause_mort[[Country]:[Country]],'[1]Mortality Data'!$A$2:$W$201,10,FALSE)</f>
        <v>4.4313421999999996E-3</v>
      </c>
      <c r="BH63">
        <f>VLOOKUP(all_cause_mort[[Country]:[Country]],'[1]Mortality Data'!$A$2:$W$201,11,FALSE)</f>
        <v>5.5350544999999999E-3</v>
      </c>
      <c r="BI63">
        <f>VLOOKUP(all_cause_mort[[Country]:[Country]],'[1]Mortality Data'!$A$2:$W$201,12,FALSE)</f>
        <v>7.0298721E-3</v>
      </c>
      <c r="BJ63">
        <f>VLOOKUP(all_cause_mort[[Country]:[Country]],'[1]Mortality Data'!$A$2:$W$201,13,FALSE)</f>
        <v>1.0014899000000001E-2</v>
      </c>
      <c r="BK63">
        <f>VLOOKUP(all_cause_mort[[Country]:[Country]],'[1]Mortality Data'!$A$2:$W$201,14,FALSE)</f>
        <v>1.4451768E-2</v>
      </c>
      <c r="BL63">
        <f>VLOOKUP(all_cause_mort[[Country]:[Country]],'[1]Mortality Data'!$A$2:$W$201,15,FALSE)</f>
        <v>2.2822768E-2</v>
      </c>
      <c r="BM63">
        <f>VLOOKUP(all_cause_mort[[Country]:[Country]],'[1]Mortality Data'!$A$2:$W$201,16,FALSE)</f>
        <v>3.6265311000000001E-2</v>
      </c>
      <c r="BN63">
        <f>VLOOKUP(all_cause_mort[[Country]:[Country]],'[1]Mortality Data'!$A$2:$W$201,17,FALSE)</f>
        <v>6.1598124999999997E-2</v>
      </c>
      <c r="BO63">
        <f>VLOOKUP(all_cause_mort[[Country]:[Country]],'[1]Mortality Data'!$A$2:$W$201,18,FALSE)</f>
        <v>0.1047265</v>
      </c>
      <c r="BP63">
        <f>VLOOKUP(all_cause_mort[[Country]:[Country]],'[1]Mortality Data'!$A$2:$W$201,19,FALSE)</f>
        <v>0.16900730999999999</v>
      </c>
      <c r="BQ63">
        <f>VLOOKUP(all_cause_mort[[Country]:[Country]],'[1]Mortality Data'!$A$2:$W$201,20,FALSE)</f>
        <v>0.25483145000000001</v>
      </c>
      <c r="BR63">
        <f>VLOOKUP(all_cause_mort[[Country]:[Country]],'[1]Mortality Data'!$A$2:$W$201,21,FALSE)</f>
        <v>0.35899923</v>
      </c>
      <c r="BS63">
        <f>VLOOKUP(all_cause_mort[[Country]:[Country]],'[1]Mortality Data'!$A$2:$W$201,22,FALSE)</f>
        <v>0.49892586999999999</v>
      </c>
      <c r="BT63">
        <f>VLOOKUP(all_cause_mort[[Country]:[Country]],'[1]Mortality Data'!$A$2:$W$201,23,FALSE)</f>
        <v>0.62606133047047996</v>
      </c>
      <c r="BU63" s="39" t="e">
        <f>VLOOKUP(all_cause_mort[[#This Row],[Country]],[2]!regions[#Data],3,FALSE)</f>
        <v>#REF!</v>
      </c>
    </row>
    <row r="64" spans="1:73" x14ac:dyDescent="0.35">
      <c r="A64" t="s">
        <v>292</v>
      </c>
      <c r="B64">
        <v>399053204</v>
      </c>
      <c r="C64">
        <v>401241932</v>
      </c>
      <c r="D64">
        <v>403439691</v>
      </c>
      <c r="E64">
        <v>405871230</v>
      </c>
      <c r="F64">
        <v>408271623</v>
      </c>
      <c r="G64">
        <v>410770813</v>
      </c>
      <c r="H64">
        <v>413234935</v>
      </c>
      <c r="I64">
        <v>415546194</v>
      </c>
      <c r="K64" t="s">
        <v>292</v>
      </c>
      <c r="L64">
        <v>14.874696180159598</v>
      </c>
      <c r="M64">
        <f>birthrate[[#This Row],[2016]]/1000</f>
        <v>1.4874696180159597E-2</v>
      </c>
      <c r="O64" t="s">
        <v>101</v>
      </c>
      <c r="P64">
        <v>44</v>
      </c>
      <c r="Q64">
        <f>facility[[#This Row],[Facility (%)]]/100</f>
        <v>0.44</v>
      </c>
      <c r="S64" t="s">
        <v>93</v>
      </c>
      <c r="T64" t="s">
        <v>293</v>
      </c>
      <c r="U64">
        <v>57.2</v>
      </c>
      <c r="V64">
        <f>SBA[[#This Row],[SBA (%)]]/100</f>
        <v>0.57200000000000006</v>
      </c>
      <c r="X64" s="13" t="s">
        <v>108</v>
      </c>
      <c r="Y64" s="13" t="s">
        <v>256</v>
      </c>
      <c r="Z64" s="26">
        <v>6.8000000000000005E-2</v>
      </c>
      <c r="AA64" s="26">
        <v>6.3E-2</v>
      </c>
      <c r="AB64" s="26">
        <v>8.2000000000000003E-2</v>
      </c>
      <c r="AC64">
        <v>263991379</v>
      </c>
      <c r="AD64" s="27">
        <v>7.1428571428571426E-3</v>
      </c>
      <c r="AF64" s="24" t="s">
        <v>91</v>
      </c>
      <c r="AG64" s="24" t="s">
        <v>253</v>
      </c>
      <c r="AH64" s="24"/>
      <c r="AI64" s="25">
        <f>IF(birthdose[[#This Row],[2017]]/100=0, ,birthdose[[#This Row],[2017]]/100)</f>
        <v>0</v>
      </c>
      <c r="AK64" s="24" t="s">
        <v>91</v>
      </c>
      <c r="AL64" s="24" t="s">
        <v>254</v>
      </c>
      <c r="AM64" s="24">
        <v>90</v>
      </c>
      <c r="AN64" s="25">
        <f>IF(fullvax[[#This Row],[2017]]/100=0, ,fullvax[[#This Row],[2017]]/100)</f>
        <v>0.9</v>
      </c>
      <c r="AP64" s="20" t="s">
        <v>179</v>
      </c>
      <c r="AQ64" s="20">
        <v>0.9941871233437638</v>
      </c>
      <c r="AR64" s="20">
        <v>5.8128766562361989E-3</v>
      </c>
      <c r="AS64" s="20">
        <v>0.16727484108830376</v>
      </c>
      <c r="AT64" s="20">
        <v>0.83272515891169618</v>
      </c>
      <c r="AV64" s="8" t="s">
        <v>98</v>
      </c>
      <c r="AW64" s="11" t="s">
        <v>23</v>
      </c>
      <c r="AX64" s="41">
        <f>VLOOKUP(all_cause_mort[[#This Row],[Country]],[1]!populations[#Data],9,FALSE)*VLOOKUP(all_cause_mort[[#This Row],[Country]],[1]!birthrate[#Data],3,FALSE)</f>
        <v>2014.4944749999997</v>
      </c>
      <c r="AY64">
        <f>VLOOKUP(all_cause_mort[[Country]:[Country]],'[1]Mortality Data'!$A$2:$W$201,2,FALSE)</f>
        <v>1.5205241E-2</v>
      </c>
      <c r="AZ64">
        <f>VLOOKUP(all_cause_mort[[Country]:[Country]],'[1]Mortality Data'!$A$2:$W$201,3,FALSE)</f>
        <v>3.6768591000000002E-4</v>
      </c>
      <c r="BA64">
        <f>VLOOKUP(all_cause_mort[[Country]:[Country]],'[1]Mortality Data'!$A$2:$W$201,4,FALSE)</f>
        <v>3.8862499999999997E-4</v>
      </c>
      <c r="BB64">
        <f>VLOOKUP(all_cause_mort[[Country]:[Country]],'[1]Mortality Data'!$A$2:$W$201,5,FALSE)</f>
        <v>3.6863312E-4</v>
      </c>
      <c r="BC64">
        <f>VLOOKUP(all_cause_mort[[Country]:[Country]],'[1]Mortality Data'!$A$2:$W$201,6,FALSE)</f>
        <v>8.6650633000000005E-4</v>
      </c>
      <c r="BD64">
        <f>VLOOKUP(all_cause_mort[[Country]:[Country]],'[1]Mortality Data'!$A$2:$W$201,7,FALSE)</f>
        <v>1.1788629E-3</v>
      </c>
      <c r="BE64">
        <f>VLOOKUP(all_cause_mort[[Country]:[Country]],'[1]Mortality Data'!$A$2:$W$201,8,FALSE)</f>
        <v>1.2651289E-3</v>
      </c>
      <c r="BF64">
        <f>VLOOKUP(all_cause_mort[[Country]:[Country]],'[1]Mortality Data'!$A$2:$W$201,9,FALSE)</f>
        <v>1.5145988999999999E-3</v>
      </c>
      <c r="BG64">
        <f>VLOOKUP(all_cause_mort[[Country]:[Country]],'[1]Mortality Data'!$A$2:$W$201,10,FALSE)</f>
        <v>2.0437974000000001E-3</v>
      </c>
      <c r="BH64">
        <f>VLOOKUP(all_cause_mort[[Country]:[Country]],'[1]Mortality Data'!$A$2:$W$201,11,FALSE)</f>
        <v>2.9697972000000002E-3</v>
      </c>
      <c r="BI64">
        <f>VLOOKUP(all_cause_mort[[Country]:[Country]],'[1]Mortality Data'!$A$2:$W$201,12,FALSE)</f>
        <v>4.5809277999999997E-3</v>
      </c>
      <c r="BJ64">
        <f>VLOOKUP(all_cause_mort[[Country]:[Country]],'[1]Mortality Data'!$A$2:$W$201,13,FALSE)</f>
        <v>7.0823346999999998E-3</v>
      </c>
      <c r="BK64">
        <f>VLOOKUP(all_cause_mort[[Country]:[Country]],'[1]Mortality Data'!$A$2:$W$201,14,FALSE)</f>
        <v>1.0943992E-2</v>
      </c>
      <c r="BL64">
        <f>VLOOKUP(all_cause_mort[[Country]:[Country]],'[1]Mortality Data'!$A$2:$W$201,15,FALSE)</f>
        <v>1.7214912999999998E-2</v>
      </c>
      <c r="BM64">
        <f>VLOOKUP(all_cause_mort[[Country]:[Country]],'[1]Mortality Data'!$A$2:$W$201,16,FALSE)</f>
        <v>2.7010934E-2</v>
      </c>
      <c r="BN64">
        <f>VLOOKUP(all_cause_mort[[Country]:[Country]],'[1]Mortality Data'!$A$2:$W$201,17,FALSE)</f>
        <v>4.2469729999999997E-2</v>
      </c>
      <c r="BO64">
        <f>VLOOKUP(all_cause_mort[[Country]:[Country]],'[1]Mortality Data'!$A$2:$W$201,18,FALSE)</f>
        <v>6.8931205999999995E-2</v>
      </c>
      <c r="BP64">
        <f>VLOOKUP(all_cause_mort[[Country]:[Country]],'[1]Mortality Data'!$A$2:$W$201,19,FALSE)</f>
        <v>0.11208694</v>
      </c>
      <c r="BQ64">
        <f>VLOOKUP(all_cause_mort[[Country]:[Country]],'[1]Mortality Data'!$A$2:$W$201,20,FALSE)</f>
        <v>0.17842305</v>
      </c>
      <c r="BR64">
        <f>VLOOKUP(all_cause_mort[[Country]:[Country]],'[1]Mortality Data'!$A$2:$W$201,21,FALSE)</f>
        <v>0.26956862999999998</v>
      </c>
      <c r="BS64">
        <f>VLOOKUP(all_cause_mort[[Country]:[Country]],'[1]Mortality Data'!$A$2:$W$201,22,FALSE)</f>
        <v>0.39084704999999997</v>
      </c>
      <c r="BT64">
        <f>VLOOKUP(all_cause_mort[[Country]:[Country]],'[1]Mortality Data'!$A$2:$W$201,23,FALSE)</f>
        <v>0.53690880233525295</v>
      </c>
      <c r="BU64" s="39" t="e">
        <f>VLOOKUP(all_cause_mort[[#This Row],[Country]],[2]!regions[#Data],3,FALSE)</f>
        <v>#REF!</v>
      </c>
    </row>
    <row r="65" spans="1:73" x14ac:dyDescent="0.35">
      <c r="A65" t="s">
        <v>294</v>
      </c>
      <c r="B65">
        <v>889016507</v>
      </c>
      <c r="C65">
        <v>891098854</v>
      </c>
      <c r="D65">
        <v>894679968</v>
      </c>
      <c r="E65">
        <v>898881448</v>
      </c>
      <c r="F65">
        <v>903123160</v>
      </c>
      <c r="G65">
        <v>907426233</v>
      </c>
      <c r="H65">
        <v>911686319</v>
      </c>
      <c r="I65">
        <v>915545801</v>
      </c>
      <c r="K65" t="s">
        <v>294</v>
      </c>
      <c r="L65">
        <v>12.233041270937351</v>
      </c>
      <c r="M65">
        <f>birthrate[[#This Row],[2016]]/1000</f>
        <v>1.2233041270937351E-2</v>
      </c>
      <c r="O65" t="s">
        <v>102</v>
      </c>
      <c r="P65">
        <v>92.7</v>
      </c>
      <c r="Q65">
        <f>facility[[#This Row],[Facility (%)]]/100</f>
        <v>0.92700000000000005</v>
      </c>
      <c r="S65" t="s">
        <v>94</v>
      </c>
      <c r="T65">
        <v>2015</v>
      </c>
      <c r="U65">
        <v>99.9</v>
      </c>
      <c r="V65">
        <f>SBA[[#This Row],[SBA (%)]]/100</f>
        <v>0.99900000000000011</v>
      </c>
      <c r="X65" s="10" t="s">
        <v>110</v>
      </c>
      <c r="Y65" s="10" t="s">
        <v>256</v>
      </c>
      <c r="Z65" s="21">
        <v>1.7000000000000001E-2</v>
      </c>
      <c r="AA65" s="21">
        <v>1.6E-2</v>
      </c>
      <c r="AB65" s="21">
        <v>1.9E-2</v>
      </c>
      <c r="AC65">
        <v>81162788</v>
      </c>
      <c r="AD65" s="27">
        <v>1.0204081632653053E-3</v>
      </c>
      <c r="AF65" s="24" t="s">
        <v>92</v>
      </c>
      <c r="AG65" s="24" t="s">
        <v>253</v>
      </c>
      <c r="AH65" s="24"/>
      <c r="AI65" s="25">
        <f>IF(birthdose[[#This Row],[2017]]/100=0, ,birthdose[[#This Row],[2017]]/100)</f>
        <v>0</v>
      </c>
      <c r="AK65" s="24" t="s">
        <v>92</v>
      </c>
      <c r="AL65" s="24" t="s">
        <v>254</v>
      </c>
      <c r="AM65" s="24">
        <v>75</v>
      </c>
      <c r="AN65" s="25">
        <f>IF(fullvax[[#This Row],[2017]]/100=0, ,fullvax[[#This Row],[2017]]/100)</f>
        <v>0.75</v>
      </c>
      <c r="AP65" s="20" t="s">
        <v>181</v>
      </c>
      <c r="AQ65" s="20">
        <v>0.75041762567798376</v>
      </c>
      <c r="AR65" s="20">
        <v>0.24958237432201624</v>
      </c>
      <c r="AS65" s="20">
        <v>5.0152257536883779E-2</v>
      </c>
      <c r="AT65" s="20">
        <v>0.94984774246311621</v>
      </c>
      <c r="AV65" s="12" t="s">
        <v>99</v>
      </c>
      <c r="AW65" s="14" t="s">
        <v>23</v>
      </c>
      <c r="AX65" s="41">
        <f>VLOOKUP(all_cause_mort[[#This Row],[Country]],[1]!populations[#Data],9,FALSE)*VLOOKUP(all_cause_mort[[#This Row],[Country]],[1]!birthrate[#Data],3,FALSE)</f>
        <v>427454.96131899999</v>
      </c>
      <c r="AY65">
        <f>VLOOKUP(all_cause_mort[[Country]:[Country]],'[1]Mortality Data'!$A$2:$W$201,2,FALSE)</f>
        <v>2.1100568E-2</v>
      </c>
      <c r="AZ65">
        <f>VLOOKUP(all_cause_mort[[Country]:[Country]],'[1]Mortality Data'!$A$2:$W$201,3,FALSE)</f>
        <v>1.3732325E-3</v>
      </c>
      <c r="BA65">
        <f>VLOOKUP(all_cause_mort[[Country]:[Country]],'[1]Mortality Data'!$A$2:$W$201,4,FALSE)</f>
        <v>3.6281135E-4</v>
      </c>
      <c r="BB65">
        <f>VLOOKUP(all_cause_mort[[Country]:[Country]],'[1]Mortality Data'!$A$2:$W$201,5,FALSE)</f>
        <v>5.2198914000000003E-4</v>
      </c>
      <c r="BC65">
        <f>VLOOKUP(all_cause_mort[[Country]:[Country]],'[1]Mortality Data'!$A$2:$W$201,6,FALSE)</f>
        <v>1.1124119000000001E-3</v>
      </c>
      <c r="BD65">
        <f>VLOOKUP(all_cause_mort[[Country]:[Country]],'[1]Mortality Data'!$A$2:$W$201,7,FALSE)</f>
        <v>1.9088193000000001E-3</v>
      </c>
      <c r="BE65">
        <f>VLOOKUP(all_cause_mort[[Country]:[Country]],'[1]Mortality Data'!$A$2:$W$201,8,FALSE)</f>
        <v>2.538434E-3</v>
      </c>
      <c r="BF65">
        <f>VLOOKUP(all_cause_mort[[Country]:[Country]],'[1]Mortality Data'!$A$2:$W$201,9,FALSE)</f>
        <v>2.9316845000000001E-3</v>
      </c>
      <c r="BG65">
        <f>VLOOKUP(all_cause_mort[[Country]:[Country]],'[1]Mortality Data'!$A$2:$W$201,10,FALSE)</f>
        <v>3.2341980999999998E-3</v>
      </c>
      <c r="BH65">
        <f>VLOOKUP(all_cause_mort[[Country]:[Country]],'[1]Mortality Data'!$A$2:$W$201,11,FALSE)</f>
        <v>3.6759391000000001E-3</v>
      </c>
      <c r="BI65">
        <f>VLOOKUP(all_cause_mort[[Country]:[Country]],'[1]Mortality Data'!$A$2:$W$201,12,FALSE)</f>
        <v>4.4906216000000004E-3</v>
      </c>
      <c r="BJ65">
        <f>VLOOKUP(all_cause_mort[[Country]:[Country]],'[1]Mortality Data'!$A$2:$W$201,13,FALSE)</f>
        <v>5.9246328999999999E-3</v>
      </c>
      <c r="BK65">
        <f>VLOOKUP(all_cause_mort[[Country]:[Country]],'[1]Mortality Data'!$A$2:$W$201,14,FALSE)</f>
        <v>8.2837807999999995E-3</v>
      </c>
      <c r="BL65">
        <f>VLOOKUP(all_cause_mort[[Country]:[Country]],'[1]Mortality Data'!$A$2:$W$201,15,FALSE)</f>
        <v>1.212647E-2</v>
      </c>
      <c r="BM65">
        <f>VLOOKUP(all_cause_mort[[Country]:[Country]],'[1]Mortality Data'!$A$2:$W$201,16,FALSE)</f>
        <v>1.6524727999999999E-2</v>
      </c>
      <c r="BN65">
        <f>VLOOKUP(all_cause_mort[[Country]:[Country]],'[1]Mortality Data'!$A$2:$W$201,17,FALSE)</f>
        <v>2.4212213E-2</v>
      </c>
      <c r="BO65">
        <f>VLOOKUP(all_cause_mort[[Country]:[Country]],'[1]Mortality Data'!$A$2:$W$201,18,FALSE)</f>
        <v>4.2012334999999998E-2</v>
      </c>
      <c r="BP65">
        <f>VLOOKUP(all_cause_mort[[Country]:[Country]],'[1]Mortality Data'!$A$2:$W$201,19,FALSE)</f>
        <v>7.3881663E-2</v>
      </c>
      <c r="BQ65">
        <f>VLOOKUP(all_cause_mort[[Country]:[Country]],'[1]Mortality Data'!$A$2:$W$201,20,FALSE)</f>
        <v>0.12279305</v>
      </c>
      <c r="BR65">
        <f>VLOOKUP(all_cause_mort[[Country]:[Country]],'[1]Mortality Data'!$A$2:$W$201,21,FALSE)</f>
        <v>0.19308275</v>
      </c>
      <c r="BS65">
        <f>VLOOKUP(all_cause_mort[[Country]:[Country]],'[1]Mortality Data'!$A$2:$W$201,22,FALSE)</f>
        <v>0.28359353999999998</v>
      </c>
      <c r="BT65">
        <f>VLOOKUP(all_cause_mort[[Country]:[Country]],'[1]Mortality Data'!$A$2:$W$201,23,FALSE)</f>
        <v>0.399514749385396</v>
      </c>
      <c r="BU65" s="39" t="e">
        <f>VLOOKUP(all_cause_mort[[#This Row],[Country]],[2]!regions[#Data],3,FALSE)</f>
        <v>#REF!</v>
      </c>
    </row>
    <row r="66" spans="1:73" x14ac:dyDescent="0.35">
      <c r="A66" t="s">
        <v>82</v>
      </c>
      <c r="B66">
        <v>14934690</v>
      </c>
      <c r="C66">
        <v>15177355</v>
      </c>
      <c r="D66">
        <v>15419666</v>
      </c>
      <c r="E66">
        <v>15661547</v>
      </c>
      <c r="F66">
        <v>15903112</v>
      </c>
      <c r="G66">
        <v>16144368</v>
      </c>
      <c r="H66">
        <v>16385068</v>
      </c>
      <c r="I66">
        <v>16624858</v>
      </c>
      <c r="K66" t="s">
        <v>82</v>
      </c>
      <c r="L66">
        <v>20.175000000000001</v>
      </c>
      <c r="M66">
        <f>birthrate[[#This Row],[2016]]/1000</f>
        <v>2.0175000000000002E-2</v>
      </c>
      <c r="O66" t="s">
        <v>103</v>
      </c>
      <c r="P66">
        <v>39.4</v>
      </c>
      <c r="Q66">
        <f>facility[[#This Row],[Facility (%)]]/100</f>
        <v>0.39399999999999996</v>
      </c>
      <c r="S66" t="s">
        <v>95</v>
      </c>
      <c r="T66">
        <v>2015</v>
      </c>
      <c r="U66">
        <v>98.7</v>
      </c>
      <c r="V66">
        <f>SBA[[#This Row],[SBA (%)]]/100</f>
        <v>0.98699999999999999</v>
      </c>
      <c r="X66" s="13" t="s">
        <v>111</v>
      </c>
      <c r="Y66" s="13" t="s">
        <v>256</v>
      </c>
      <c r="Z66" s="26">
        <v>3.5000000000000003E-2</v>
      </c>
      <c r="AA66" s="26">
        <v>3.2000000000000001E-2</v>
      </c>
      <c r="AB66" s="26">
        <v>3.9E-2</v>
      </c>
      <c r="AC66">
        <v>38274618</v>
      </c>
      <c r="AD66" s="27">
        <v>2.0408163265306107E-3</v>
      </c>
      <c r="AF66" s="24" t="s">
        <v>93</v>
      </c>
      <c r="AG66" s="24" t="s">
        <v>253</v>
      </c>
      <c r="AH66" s="24"/>
      <c r="AI66" s="25">
        <f>IF(birthdose[[#This Row],[2017]]/100=0, ,birthdose[[#This Row],[2017]]/100)</f>
        <v>0</v>
      </c>
      <c r="AK66" s="24" t="s">
        <v>93</v>
      </c>
      <c r="AL66" s="24" t="s">
        <v>254</v>
      </c>
      <c r="AM66" s="24">
        <v>92</v>
      </c>
      <c r="AN66" s="25">
        <f>IF(fullvax[[#This Row],[2017]]/100=0, ,fullvax[[#This Row],[2017]]/100)</f>
        <v>0.92</v>
      </c>
      <c r="AP66" s="20" t="s">
        <v>182</v>
      </c>
      <c r="AQ66" s="20">
        <v>1</v>
      </c>
      <c r="AR66" s="20">
        <v>0</v>
      </c>
      <c r="AS66" s="20">
        <v>7.5939192731085084E-2</v>
      </c>
      <c r="AT66" s="20">
        <v>0.92406080726891493</v>
      </c>
      <c r="AV66" s="8" t="s">
        <v>100</v>
      </c>
      <c r="AW66" s="11" t="s">
        <v>15</v>
      </c>
      <c r="AX66" s="41">
        <f>VLOOKUP(all_cause_mort[[#This Row],[Country]],[1]!populations[#Data],9,FALSE)*VLOOKUP(all_cause_mort[[#This Row],[Country]],[1]!birthrate[#Data],3,FALSE)</f>
        <v>456686.50733599998</v>
      </c>
      <c r="AY66">
        <f>VLOOKUP(all_cause_mort[[Country]:[Country]],'[1]Mortality Data'!$A$2:$W$201,2,FALSE)</f>
        <v>5.3902473999999999E-2</v>
      </c>
      <c r="AZ66">
        <f>VLOOKUP(all_cause_mort[[Country]:[Country]],'[1]Mortality Data'!$A$2:$W$201,3,FALSE)</f>
        <v>7.8203124999999991E-3</v>
      </c>
      <c r="BA66">
        <f>VLOOKUP(all_cause_mort[[Country]:[Country]],'[1]Mortality Data'!$A$2:$W$201,4,FALSE)</f>
        <v>2.7721979E-3</v>
      </c>
      <c r="BB66">
        <f>VLOOKUP(all_cause_mort[[Country]:[Country]],'[1]Mortality Data'!$A$2:$W$201,5,FALSE)</f>
        <v>1.6286906999999999E-3</v>
      </c>
      <c r="BC66">
        <f>VLOOKUP(all_cause_mort[[Country]:[Country]],'[1]Mortality Data'!$A$2:$W$201,6,FALSE)</f>
        <v>2.4872342000000001E-3</v>
      </c>
      <c r="BD66">
        <f>VLOOKUP(all_cause_mort[[Country]:[Country]],'[1]Mortality Data'!$A$2:$W$201,7,FALSE)</f>
        <v>3.4944225999999998E-3</v>
      </c>
      <c r="BE66">
        <f>VLOOKUP(all_cause_mort[[Country]:[Country]],'[1]Mortality Data'!$A$2:$W$201,8,FALSE)</f>
        <v>3.7503399E-3</v>
      </c>
      <c r="BF66">
        <f>VLOOKUP(all_cause_mort[[Country]:[Country]],'[1]Mortality Data'!$A$2:$W$201,9,FALSE)</f>
        <v>4.1423746000000001E-3</v>
      </c>
      <c r="BG66">
        <f>VLOOKUP(all_cause_mort[[Country]:[Country]],'[1]Mortality Data'!$A$2:$W$201,10,FALSE)</f>
        <v>4.7644597000000002E-3</v>
      </c>
      <c r="BH66">
        <f>VLOOKUP(all_cause_mort[[Country]:[Country]],'[1]Mortality Data'!$A$2:$W$201,11,FALSE)</f>
        <v>5.8125312999999998E-3</v>
      </c>
      <c r="BI66">
        <f>VLOOKUP(all_cause_mort[[Country]:[Country]],'[1]Mortality Data'!$A$2:$W$201,12,FALSE)</f>
        <v>7.2321983999999997E-3</v>
      </c>
      <c r="BJ66">
        <f>VLOOKUP(all_cause_mort[[Country]:[Country]],'[1]Mortality Data'!$A$2:$W$201,13,FALSE)</f>
        <v>1.022883E-2</v>
      </c>
      <c r="BK66">
        <f>VLOOKUP(all_cause_mort[[Country]:[Country]],'[1]Mortality Data'!$A$2:$W$201,14,FALSE)</f>
        <v>1.4737004999999999E-2</v>
      </c>
      <c r="BL66">
        <f>VLOOKUP(all_cause_mort[[Country]:[Country]],'[1]Mortality Data'!$A$2:$W$201,15,FALSE)</f>
        <v>2.3623972E-2</v>
      </c>
      <c r="BM66">
        <f>VLOOKUP(all_cause_mort[[Country]:[Country]],'[1]Mortality Data'!$A$2:$W$201,16,FALSE)</f>
        <v>3.7785759000000002E-2</v>
      </c>
      <c r="BN66">
        <f>VLOOKUP(all_cause_mort[[Country]:[Country]],'[1]Mortality Data'!$A$2:$W$201,17,FALSE)</f>
        <v>6.4286138000000007E-2</v>
      </c>
      <c r="BO66">
        <f>VLOOKUP(all_cause_mort[[Country]:[Country]],'[1]Mortality Data'!$A$2:$W$201,18,FALSE)</f>
        <v>0.10874273</v>
      </c>
      <c r="BP66">
        <f>VLOOKUP(all_cause_mort[[Country]:[Country]],'[1]Mortality Data'!$A$2:$W$201,19,FALSE)</f>
        <v>0.18067308000000001</v>
      </c>
      <c r="BQ66">
        <f>VLOOKUP(all_cause_mort[[Country]:[Country]],'[1]Mortality Data'!$A$2:$W$201,20,FALSE)</f>
        <v>0.28157975000000002</v>
      </c>
      <c r="BR66">
        <f>VLOOKUP(all_cause_mort[[Country]:[Country]],'[1]Mortality Data'!$A$2:$W$201,21,FALSE)</f>
        <v>0.41064462000000002</v>
      </c>
      <c r="BS66">
        <f>VLOOKUP(all_cause_mort[[Country]:[Country]],'[1]Mortality Data'!$A$2:$W$201,22,FALSE)</f>
        <v>0.57503764999999996</v>
      </c>
      <c r="BT66">
        <f>VLOOKUP(all_cause_mort[[Country]:[Country]],'[1]Mortality Data'!$A$2:$W$201,23,FALSE)</f>
        <v>0.70129871404958699</v>
      </c>
      <c r="BU66" s="39" t="e">
        <f>VLOOKUP(all_cause_mort[[#This Row],[Country]],[2]!regions[#Data],3,FALSE)</f>
        <v>#REF!</v>
      </c>
    </row>
    <row r="67" spans="1:73" x14ac:dyDescent="0.35">
      <c r="A67" s="12" t="s">
        <v>83</v>
      </c>
      <c r="B67">
        <v>84107606</v>
      </c>
      <c r="C67">
        <v>85897561</v>
      </c>
      <c r="D67">
        <v>87813257</v>
      </c>
      <c r="E67">
        <v>89807433</v>
      </c>
      <c r="F67">
        <v>91812566</v>
      </c>
      <c r="G67">
        <v>93778172</v>
      </c>
      <c r="H67">
        <v>95688681</v>
      </c>
      <c r="I67">
        <v>97553151</v>
      </c>
      <c r="K67" s="12" t="s">
        <v>83</v>
      </c>
      <c r="L67">
        <v>26.494</v>
      </c>
      <c r="M67">
        <f>birthrate[[#This Row],[2016]]/1000</f>
        <v>2.6494E-2</v>
      </c>
      <c r="O67" t="s">
        <v>104</v>
      </c>
      <c r="P67">
        <v>82.7</v>
      </c>
      <c r="Q67">
        <f>facility[[#This Row],[Facility (%)]]/100</f>
        <v>0.82700000000000007</v>
      </c>
      <c r="S67" t="s">
        <v>96</v>
      </c>
      <c r="T67" t="s">
        <v>271</v>
      </c>
      <c r="U67">
        <v>70.8</v>
      </c>
      <c r="V67">
        <f>SBA[[#This Row],[SBA (%)]]/100</f>
        <v>0.70799999999999996</v>
      </c>
      <c r="X67" s="10" t="s">
        <v>112</v>
      </c>
      <c r="Y67" s="10" t="s">
        <v>256</v>
      </c>
      <c r="Z67" s="21">
        <v>1E-3</v>
      </c>
      <c r="AA67" s="21">
        <v>1E-3</v>
      </c>
      <c r="AB67" s="21">
        <v>1E-3</v>
      </c>
      <c r="AC67">
        <v>4813608</v>
      </c>
      <c r="AD67" s="27">
        <v>5.1020408163265328E-5</v>
      </c>
      <c r="AF67" s="24" t="s">
        <v>94</v>
      </c>
      <c r="AG67" s="24" t="s">
        <v>253</v>
      </c>
      <c r="AH67" s="24">
        <v>94</v>
      </c>
      <c r="AI67" s="25">
        <f>IF(birthdose[[#This Row],[2017]]/100=0, ,birthdose[[#This Row],[2017]]/100)</f>
        <v>0.94</v>
      </c>
      <c r="AK67" s="24" t="s">
        <v>94</v>
      </c>
      <c r="AL67" s="24" t="s">
        <v>254</v>
      </c>
      <c r="AM67" s="24">
        <v>91</v>
      </c>
      <c r="AN67" s="25">
        <f>IF(fullvax[[#This Row],[2017]]/100=0, ,fullvax[[#This Row],[2017]]/100)</f>
        <v>0.91</v>
      </c>
      <c r="AP67" s="20" t="s">
        <v>184</v>
      </c>
      <c r="AQ67" s="20">
        <v>0.98671595293099135</v>
      </c>
      <c r="AR67" s="20">
        <v>1.3284047069008653E-2</v>
      </c>
      <c r="AS67" s="20">
        <v>0.13586145462019389</v>
      </c>
      <c r="AT67" s="20">
        <v>0.86413854537980606</v>
      </c>
      <c r="AV67" s="12" t="s">
        <v>101</v>
      </c>
      <c r="AW67" s="14" t="s">
        <v>15</v>
      </c>
      <c r="AX67" s="41">
        <f>VLOOKUP(all_cause_mort[[#This Row],[Country]],[1]!populations[#Data],9,FALSE)*VLOOKUP(all_cause_mort[[#This Row],[Country]],[1]!birthrate[#Data],3,FALSE)</f>
        <v>68083.870857000002</v>
      </c>
      <c r="AY67">
        <f>VLOOKUP(all_cause_mort[[Country]:[Country]],'[1]Mortality Data'!$A$2:$W$201,2,FALSE)</f>
        <v>5.9828579E-2</v>
      </c>
      <c r="AZ67">
        <f>VLOOKUP(all_cause_mort[[Country]:[Country]],'[1]Mortality Data'!$A$2:$W$201,3,FALSE)</f>
        <v>6.8309690000000001E-3</v>
      </c>
      <c r="BA67">
        <f>VLOOKUP(all_cause_mort[[Country]:[Country]],'[1]Mortality Data'!$A$2:$W$201,4,FALSE)</f>
        <v>2.6597213E-3</v>
      </c>
      <c r="BB67">
        <f>VLOOKUP(all_cause_mort[[Country]:[Country]],'[1]Mortality Data'!$A$2:$W$201,5,FALSE)</f>
        <v>1.8669299999999999E-3</v>
      </c>
      <c r="BC67">
        <f>VLOOKUP(all_cause_mort[[Country]:[Country]],'[1]Mortality Data'!$A$2:$W$201,6,FALSE)</f>
        <v>2.7763718E-3</v>
      </c>
      <c r="BD67">
        <f>VLOOKUP(all_cause_mort[[Country]:[Country]],'[1]Mortality Data'!$A$2:$W$201,7,FALSE)</f>
        <v>4.1070767999999997E-3</v>
      </c>
      <c r="BE67">
        <f>VLOOKUP(all_cause_mort[[Country]:[Country]],'[1]Mortality Data'!$A$2:$W$201,8,FALSE)</f>
        <v>5.2042848999999999E-3</v>
      </c>
      <c r="BF67">
        <f>VLOOKUP(all_cause_mort[[Country]:[Country]],'[1]Mortality Data'!$A$2:$W$201,9,FALSE)</f>
        <v>6.3767525999999996E-3</v>
      </c>
      <c r="BG67">
        <f>VLOOKUP(all_cause_mort[[Country]:[Country]],'[1]Mortality Data'!$A$2:$W$201,10,FALSE)</f>
        <v>7.9973726999999998E-3</v>
      </c>
      <c r="BH67">
        <f>VLOOKUP(all_cause_mort[[Country]:[Country]],'[1]Mortality Data'!$A$2:$W$201,11,FALSE)</f>
        <v>9.7347006E-3</v>
      </c>
      <c r="BI67">
        <f>VLOOKUP(all_cause_mort[[Country]:[Country]],'[1]Mortality Data'!$A$2:$W$201,12,FALSE)</f>
        <v>1.1726712E-2</v>
      </c>
      <c r="BJ67">
        <f>VLOOKUP(all_cause_mort[[Country]:[Country]],'[1]Mortality Data'!$A$2:$W$201,13,FALSE)</f>
        <v>1.5397516E-2</v>
      </c>
      <c r="BK67">
        <f>VLOOKUP(all_cause_mort[[Country]:[Country]],'[1]Mortality Data'!$A$2:$W$201,14,FALSE)</f>
        <v>1.9777626E-2</v>
      </c>
      <c r="BL67">
        <f>VLOOKUP(all_cause_mort[[Country]:[Country]],'[1]Mortality Data'!$A$2:$W$201,15,FALSE)</f>
        <v>2.8381710000000001E-2</v>
      </c>
      <c r="BM67">
        <f>VLOOKUP(all_cause_mort[[Country]:[Country]],'[1]Mortality Data'!$A$2:$W$201,16,FALSE)</f>
        <v>4.2840826999999998E-2</v>
      </c>
      <c r="BN67">
        <f>VLOOKUP(all_cause_mort[[Country]:[Country]],'[1]Mortality Data'!$A$2:$W$201,17,FALSE)</f>
        <v>6.7331035999999997E-2</v>
      </c>
      <c r="BO67">
        <f>VLOOKUP(all_cause_mort[[Country]:[Country]],'[1]Mortality Data'!$A$2:$W$201,18,FALSE)</f>
        <v>0.10734575</v>
      </c>
      <c r="BP67">
        <f>VLOOKUP(all_cause_mort[[Country]:[Country]],'[1]Mortality Data'!$A$2:$W$201,19,FALSE)</f>
        <v>0.17796028</v>
      </c>
      <c r="BQ67">
        <f>VLOOKUP(all_cause_mort[[Country]:[Country]],'[1]Mortality Data'!$A$2:$W$201,20,FALSE)</f>
        <v>0.29358929</v>
      </c>
      <c r="BR67">
        <f>VLOOKUP(all_cause_mort[[Country]:[Country]],'[1]Mortality Data'!$A$2:$W$201,21,FALSE)</f>
        <v>0.47446808000000001</v>
      </c>
      <c r="BS67">
        <f>VLOOKUP(all_cause_mort[[Country]:[Country]],'[1]Mortality Data'!$A$2:$W$201,22,FALSE)</f>
        <v>0.66165552999999999</v>
      </c>
      <c r="BT67">
        <f>VLOOKUP(all_cause_mort[[Country]:[Country]],'[1]Mortality Data'!$A$2:$W$201,23,FALSE)</f>
        <v>0.85233413407284098</v>
      </c>
      <c r="BU67" s="39" t="e">
        <f>VLOOKUP(all_cause_mort[[#This Row],[Country]],[2]!regions[#Data],3,FALSE)</f>
        <v>#REF!</v>
      </c>
    </row>
    <row r="68" spans="1:73" x14ac:dyDescent="0.35">
      <c r="A68" t="s">
        <v>295</v>
      </c>
      <c r="B68">
        <v>336151474</v>
      </c>
      <c r="C68">
        <v>335429120</v>
      </c>
      <c r="D68">
        <v>336180504</v>
      </c>
      <c r="E68">
        <v>337325526</v>
      </c>
      <c r="F68">
        <v>338466271</v>
      </c>
      <c r="G68">
        <v>339533474</v>
      </c>
      <c r="H68">
        <v>340617355</v>
      </c>
      <c r="I68">
        <v>341465149</v>
      </c>
      <c r="K68" t="s">
        <v>295</v>
      </c>
      <c r="L68">
        <v>9.6049713719079293</v>
      </c>
      <c r="M68">
        <f>birthrate[[#This Row],[2016]]/1000</f>
        <v>9.6049713719079284E-3</v>
      </c>
      <c r="O68" t="s">
        <v>107</v>
      </c>
      <c r="P68">
        <v>78.900000000000006</v>
      </c>
      <c r="Q68">
        <f>facility[[#This Row],[Facility (%)]]/100</f>
        <v>0.78900000000000003</v>
      </c>
      <c r="S68" t="s">
        <v>98</v>
      </c>
      <c r="T68">
        <v>2016</v>
      </c>
      <c r="U68">
        <v>99.3</v>
      </c>
      <c r="V68">
        <f>SBA[[#This Row],[SBA (%)]]/100</f>
        <v>0.99299999999999999</v>
      </c>
      <c r="X68" s="13" t="s">
        <v>113</v>
      </c>
      <c r="Y68" s="13" t="s">
        <v>256</v>
      </c>
      <c r="Z68" s="26">
        <v>1.7000000000000001E-2</v>
      </c>
      <c r="AA68" s="26">
        <v>1.2E-2</v>
      </c>
      <c r="AB68" s="26">
        <v>2.4E-2</v>
      </c>
      <c r="AC68">
        <v>8712400</v>
      </c>
      <c r="AD68" s="27">
        <v>3.5714285714285713E-3</v>
      </c>
      <c r="AF68" s="24" t="s">
        <v>95</v>
      </c>
      <c r="AG68" s="24" t="s">
        <v>253</v>
      </c>
      <c r="AH68" s="24"/>
      <c r="AI68" s="25">
        <f>IF(birthdose[[#This Row],[2017]]/100=0, ,birthdose[[#This Row],[2017]]/100)</f>
        <v>0</v>
      </c>
      <c r="AK68" s="24" t="s">
        <v>95</v>
      </c>
      <c r="AL68" s="24" t="s">
        <v>254</v>
      </c>
      <c r="AM68" s="24">
        <v>87</v>
      </c>
      <c r="AN68" s="25">
        <f>IF(fullvax[[#This Row],[2017]]/100=0, ,fullvax[[#This Row],[2017]]/100)</f>
        <v>0.87</v>
      </c>
      <c r="AP68" s="20" t="s">
        <v>296</v>
      </c>
      <c r="AQ68" s="20">
        <v>0.98731120000000006</v>
      </c>
      <c r="AR68" s="20">
        <v>1.2688799999999945E-2</v>
      </c>
      <c r="AS68" s="20">
        <v>0</v>
      </c>
      <c r="AT68" s="20">
        <v>0</v>
      </c>
      <c r="AV68" s="8" t="s">
        <v>102</v>
      </c>
      <c r="AW68" s="11" t="s">
        <v>23</v>
      </c>
      <c r="AX68" s="41">
        <f>VLOOKUP(all_cause_mort[[#This Row],[Country]],[1]!populations[#Data],9,FALSE)*VLOOKUP(all_cause_mort[[#This Row],[Country]],[1]!birthrate[#Data],3,FALSE)</f>
        <v>16005.226784</v>
      </c>
      <c r="AY68">
        <f>VLOOKUP(all_cause_mort[[Country]:[Country]],'[1]Mortality Data'!$A$2:$W$201,2,FALSE)</f>
        <v>2.7413630000000001E-2</v>
      </c>
      <c r="AZ68">
        <f>VLOOKUP(all_cause_mort[[Country]:[Country]],'[1]Mortality Data'!$A$2:$W$201,3,FALSE)</f>
        <v>1.4248764E-3</v>
      </c>
      <c r="BA68">
        <f>VLOOKUP(all_cause_mort[[Country]:[Country]],'[1]Mortality Data'!$A$2:$W$201,4,FALSE)</f>
        <v>9.4790924000000005E-4</v>
      </c>
      <c r="BB68">
        <f>VLOOKUP(all_cause_mort[[Country]:[Country]],'[1]Mortality Data'!$A$2:$W$201,5,FALSE)</f>
        <v>7.7349053999999995E-4</v>
      </c>
      <c r="BC68">
        <f>VLOOKUP(all_cause_mort[[Country]:[Country]],'[1]Mortality Data'!$A$2:$W$201,6,FALSE)</f>
        <v>1.7322463999999999E-3</v>
      </c>
      <c r="BD68">
        <f>VLOOKUP(all_cause_mort[[Country]:[Country]],'[1]Mortality Data'!$A$2:$W$201,7,FALSE)</f>
        <v>2.8326124000000001E-3</v>
      </c>
      <c r="BE68">
        <f>VLOOKUP(all_cause_mort[[Country]:[Country]],'[1]Mortality Data'!$A$2:$W$201,8,FALSE)</f>
        <v>3.5464547999999999E-3</v>
      </c>
      <c r="BF68">
        <f>VLOOKUP(all_cause_mort[[Country]:[Country]],'[1]Mortality Data'!$A$2:$W$201,9,FALSE)</f>
        <v>3.8120421999999999E-3</v>
      </c>
      <c r="BG68">
        <f>VLOOKUP(all_cause_mort[[Country]:[Country]],'[1]Mortality Data'!$A$2:$W$201,10,FALSE)</f>
        <v>4.4381645999999999E-3</v>
      </c>
      <c r="BH68">
        <f>VLOOKUP(all_cause_mort[[Country]:[Country]],'[1]Mortality Data'!$A$2:$W$201,11,FALSE)</f>
        <v>5.0727181E-3</v>
      </c>
      <c r="BI68">
        <f>VLOOKUP(all_cause_mort[[Country]:[Country]],'[1]Mortality Data'!$A$2:$W$201,12,FALSE)</f>
        <v>6.0700357000000003E-3</v>
      </c>
      <c r="BJ68">
        <f>VLOOKUP(all_cause_mort[[Country]:[Country]],'[1]Mortality Data'!$A$2:$W$201,13,FALSE)</f>
        <v>1.1247368000000001E-2</v>
      </c>
      <c r="BK68">
        <f>VLOOKUP(all_cause_mort[[Country]:[Country]],'[1]Mortality Data'!$A$2:$W$201,14,FALSE)</f>
        <v>1.2933470000000001E-2</v>
      </c>
      <c r="BL68">
        <f>VLOOKUP(all_cause_mort[[Country]:[Country]],'[1]Mortality Data'!$A$2:$W$201,15,FALSE)</f>
        <v>1.8147331999999999E-2</v>
      </c>
      <c r="BM68">
        <f>VLOOKUP(all_cause_mort[[Country]:[Country]],'[1]Mortality Data'!$A$2:$W$201,16,FALSE)</f>
        <v>2.4312835000000001E-2</v>
      </c>
      <c r="BN68">
        <f>VLOOKUP(all_cause_mort[[Country]:[Country]],'[1]Mortality Data'!$A$2:$W$201,17,FALSE)</f>
        <v>3.3364945E-2</v>
      </c>
      <c r="BO68">
        <f>VLOOKUP(all_cause_mort[[Country]:[Country]],'[1]Mortality Data'!$A$2:$W$201,18,FALSE)</f>
        <v>5.2763767000000003E-2</v>
      </c>
      <c r="BP68">
        <f>VLOOKUP(all_cause_mort[[Country]:[Country]],'[1]Mortality Data'!$A$2:$W$201,19,FALSE)</f>
        <v>7.0318795000000003E-2</v>
      </c>
      <c r="BQ68">
        <f>VLOOKUP(all_cause_mort[[Country]:[Country]],'[1]Mortality Data'!$A$2:$W$201,20,FALSE)</f>
        <v>9.8649830999999993E-2</v>
      </c>
      <c r="BR68">
        <f>VLOOKUP(all_cause_mort[[Country]:[Country]],'[1]Mortality Data'!$A$2:$W$201,21,FALSE)</f>
        <v>0.13457548</v>
      </c>
      <c r="BS68">
        <f>VLOOKUP(all_cause_mort[[Country]:[Country]],'[1]Mortality Data'!$A$2:$W$201,22,FALSE)</f>
        <v>0.17850548999999999</v>
      </c>
      <c r="BT68">
        <f>VLOOKUP(all_cause_mort[[Country]:[Country]],'[1]Mortality Data'!$A$2:$W$201,23,FALSE)</f>
        <v>0.24988166229177999</v>
      </c>
      <c r="BU68" s="39" t="e">
        <f>VLOOKUP(all_cause_mort[[#This Row],[Country]],[2]!regions[#Data],3,FALSE)</f>
        <v>#REF!</v>
      </c>
    </row>
    <row r="69" spans="1:73" x14ac:dyDescent="0.35">
      <c r="A69" t="s">
        <v>86</v>
      </c>
      <c r="B69">
        <v>4390840</v>
      </c>
      <c r="C69">
        <v>4474690</v>
      </c>
      <c r="I69">
        <v>5236574</v>
      </c>
      <c r="K69" t="s">
        <v>86</v>
      </c>
      <c r="L69">
        <v>32.200000000000003</v>
      </c>
      <c r="M69">
        <f>birthrate[[#This Row],[2016]]/1000</f>
        <v>3.2199999999999999E-2</v>
      </c>
      <c r="O69" t="s">
        <v>108</v>
      </c>
      <c r="P69">
        <v>79.7</v>
      </c>
      <c r="Q69">
        <f>facility[[#This Row],[Facility (%)]]/100</f>
        <v>0.79700000000000004</v>
      </c>
      <c r="S69" t="s">
        <v>99</v>
      </c>
      <c r="T69" t="s">
        <v>273</v>
      </c>
      <c r="U69">
        <v>65.5</v>
      </c>
      <c r="V69">
        <f>SBA[[#This Row],[SBA (%)]]/100</f>
        <v>0.65500000000000003</v>
      </c>
      <c r="X69" s="10" t="s">
        <v>114</v>
      </c>
      <c r="Y69" s="10" t="s">
        <v>256</v>
      </c>
      <c r="Z69" s="21">
        <v>6.0000000000000001E-3</v>
      </c>
      <c r="AA69" s="21">
        <v>3.0000000000000001E-3</v>
      </c>
      <c r="AB69" s="21">
        <v>7.0000000000000001E-3</v>
      </c>
      <c r="AC69">
        <v>60551416</v>
      </c>
      <c r="AD69" s="27">
        <v>5.1020408163265311E-4</v>
      </c>
      <c r="AF69" s="24" t="s">
        <v>96</v>
      </c>
      <c r="AG69" s="24" t="s">
        <v>253</v>
      </c>
      <c r="AH69" s="24"/>
      <c r="AI69" s="25">
        <f>IF(birthdose[[#This Row],[2017]]/100=0, ,birthdose[[#This Row],[2017]]/100)</f>
        <v>0</v>
      </c>
      <c r="AK69" s="24" t="s">
        <v>96</v>
      </c>
      <c r="AL69" s="24" t="s">
        <v>254</v>
      </c>
      <c r="AM69" s="24">
        <v>99</v>
      </c>
      <c r="AN69" s="25">
        <f>IF(fullvax[[#This Row],[2017]]/100=0, ,fullvax[[#This Row],[2017]]/100)</f>
        <v>0.99</v>
      </c>
      <c r="AP69" s="20" t="s">
        <v>297</v>
      </c>
      <c r="AQ69" s="20">
        <v>0.99409780107664714</v>
      </c>
      <c r="AR69" s="20">
        <v>5.9021989233528638E-3</v>
      </c>
      <c r="AS69" s="20">
        <v>0.60190298924928043</v>
      </c>
      <c r="AT69" s="20">
        <v>0.39809701075071957</v>
      </c>
      <c r="AV69" s="12" t="s">
        <v>103</v>
      </c>
      <c r="AW69" s="14" t="s">
        <v>23</v>
      </c>
      <c r="AX69" s="41">
        <f>VLOOKUP(all_cause_mort[[#This Row],[Country]],[1]!populations[#Data],9,FALSE)*VLOOKUP(all_cause_mort[[#This Row],[Country]],[1]!birthrate[#Data],3,FALSE)</f>
        <v>265515.13599099999</v>
      </c>
      <c r="AY69">
        <f>VLOOKUP(all_cause_mort[[Country]:[Country]],'[1]Mortality Data'!$A$2:$W$201,2,FALSE)</f>
        <v>5.6774908999999998E-2</v>
      </c>
      <c r="AZ69">
        <f>VLOOKUP(all_cause_mort[[Country]:[Country]],'[1]Mortality Data'!$A$2:$W$201,3,FALSE)</f>
        <v>7.1964120999999997E-3</v>
      </c>
      <c r="BA69">
        <f>VLOOKUP(all_cause_mort[[Country]:[Country]],'[1]Mortality Data'!$A$2:$W$201,4,FALSE)</f>
        <v>2.5306183000000002E-3</v>
      </c>
      <c r="BB69">
        <f>VLOOKUP(all_cause_mort[[Country]:[Country]],'[1]Mortality Data'!$A$2:$W$201,5,FALSE)</f>
        <v>2.0568750000000001E-3</v>
      </c>
      <c r="BC69">
        <f>VLOOKUP(all_cause_mort[[Country]:[Country]],'[1]Mortality Data'!$A$2:$W$201,6,FALSE)</f>
        <v>2.5477549E-3</v>
      </c>
      <c r="BD69">
        <f>VLOOKUP(all_cause_mort[[Country]:[Country]],'[1]Mortality Data'!$A$2:$W$201,7,FALSE)</f>
        <v>3.2243889999999998E-3</v>
      </c>
      <c r="BE69">
        <f>VLOOKUP(all_cause_mort[[Country]:[Country]],'[1]Mortality Data'!$A$2:$W$201,8,FALSE)</f>
        <v>3.8356634000000001E-3</v>
      </c>
      <c r="BF69">
        <f>VLOOKUP(all_cause_mort[[Country]:[Country]],'[1]Mortality Data'!$A$2:$W$201,9,FALSE)</f>
        <v>4.3651660000000002E-3</v>
      </c>
      <c r="BG69">
        <f>VLOOKUP(all_cause_mort[[Country]:[Country]],'[1]Mortality Data'!$A$2:$W$201,10,FALSE)</f>
        <v>4.9048896999999998E-3</v>
      </c>
      <c r="BH69">
        <f>VLOOKUP(all_cause_mort[[Country]:[Country]],'[1]Mortality Data'!$A$2:$W$201,11,FALSE)</f>
        <v>5.6239169000000004E-3</v>
      </c>
      <c r="BI69">
        <f>VLOOKUP(all_cause_mort[[Country]:[Country]],'[1]Mortality Data'!$A$2:$W$201,12,FALSE)</f>
        <v>6.7778452999999999E-3</v>
      </c>
      <c r="BJ69">
        <f>VLOOKUP(all_cause_mort[[Country]:[Country]],'[1]Mortality Data'!$A$2:$W$201,13,FALSE)</f>
        <v>8.7553010999999997E-3</v>
      </c>
      <c r="BK69">
        <f>VLOOKUP(all_cause_mort[[Country]:[Country]],'[1]Mortality Data'!$A$2:$W$201,14,FALSE)</f>
        <v>1.215079E-2</v>
      </c>
      <c r="BL69">
        <f>VLOOKUP(all_cause_mort[[Country]:[Country]],'[1]Mortality Data'!$A$2:$W$201,15,FALSE)</f>
        <v>1.7918570000000002E-2</v>
      </c>
      <c r="BM69">
        <f>VLOOKUP(all_cause_mort[[Country]:[Country]],'[1]Mortality Data'!$A$2:$W$201,16,FALSE)</f>
        <v>2.7544185999999998E-2</v>
      </c>
      <c r="BN69">
        <f>VLOOKUP(all_cause_mort[[Country]:[Country]],'[1]Mortality Data'!$A$2:$W$201,17,FALSE)</f>
        <v>4.3530928000000003E-2</v>
      </c>
      <c r="BO69">
        <f>VLOOKUP(all_cause_mort[[Country]:[Country]],'[1]Mortality Data'!$A$2:$W$201,18,FALSE)</f>
        <v>6.9595433999999998E-2</v>
      </c>
      <c r="BP69">
        <f>VLOOKUP(all_cause_mort[[Country]:[Country]],'[1]Mortality Data'!$A$2:$W$201,19,FALSE)</f>
        <v>0.10346187</v>
      </c>
      <c r="BQ69">
        <f>VLOOKUP(all_cause_mort[[Country]:[Country]],'[1]Mortality Data'!$A$2:$W$201,20,FALSE)</f>
        <v>0.14747545000000001</v>
      </c>
      <c r="BR69">
        <f>VLOOKUP(all_cause_mort[[Country]:[Country]],'[1]Mortality Data'!$A$2:$W$201,21,FALSE)</f>
        <v>0.20074083000000001</v>
      </c>
      <c r="BS69">
        <f>VLOOKUP(all_cause_mort[[Country]:[Country]],'[1]Mortality Data'!$A$2:$W$201,22,FALSE)</f>
        <v>0.26157830999999998</v>
      </c>
      <c r="BT69">
        <f>VLOOKUP(all_cause_mort[[Country]:[Country]],'[1]Mortality Data'!$A$2:$W$201,23,FALSE)</f>
        <v>0.34493656237187797</v>
      </c>
      <c r="BU69" s="39" t="e">
        <f>VLOOKUP(all_cause_mort[[#This Row],[Country]],[2]!regions[#Data],3,FALSE)</f>
        <v>#REF!</v>
      </c>
    </row>
    <row r="70" spans="1:73" x14ac:dyDescent="0.35">
      <c r="A70" t="s">
        <v>192</v>
      </c>
      <c r="B70">
        <v>46576897</v>
      </c>
      <c r="C70">
        <v>46742697</v>
      </c>
      <c r="D70">
        <v>46773055</v>
      </c>
      <c r="E70">
        <v>46620045</v>
      </c>
      <c r="F70">
        <v>46480882</v>
      </c>
      <c r="G70">
        <v>46444832</v>
      </c>
      <c r="H70">
        <v>46484062</v>
      </c>
      <c r="I70">
        <v>46572028</v>
      </c>
      <c r="K70" t="s">
        <v>192</v>
      </c>
      <c r="L70">
        <v>8.6999999999999993</v>
      </c>
      <c r="M70">
        <f>birthrate[[#This Row],[2016]]/1000</f>
        <v>8.6999999999999994E-3</v>
      </c>
      <c r="O70" t="s">
        <v>110</v>
      </c>
      <c r="P70">
        <v>95.34</v>
      </c>
      <c r="Q70">
        <f>facility[[#This Row],[Facility (%)]]/100</f>
        <v>0.95340000000000003</v>
      </c>
      <c r="S70" t="s">
        <v>100</v>
      </c>
      <c r="T70" t="s">
        <v>263</v>
      </c>
      <c r="U70">
        <v>72.400000000000006</v>
      </c>
      <c r="V70">
        <f>SBA[[#This Row],[SBA (%)]]/100</f>
        <v>0.72400000000000009</v>
      </c>
      <c r="X70" s="13" t="s">
        <v>115</v>
      </c>
      <c r="Y70" s="13" t="s">
        <v>256</v>
      </c>
      <c r="Z70" s="26">
        <v>0.05</v>
      </c>
      <c r="AA70" s="26">
        <v>2.4E-2</v>
      </c>
      <c r="AB70" s="26">
        <v>5.7000000000000002E-2</v>
      </c>
      <c r="AC70">
        <v>2890299</v>
      </c>
      <c r="AD70" s="27">
        <v>3.5714285714285713E-3</v>
      </c>
      <c r="AF70" s="24" t="s">
        <v>97</v>
      </c>
      <c r="AG70" s="24" t="s">
        <v>253</v>
      </c>
      <c r="AH70" s="24"/>
      <c r="AI70" s="25">
        <f>IF(birthdose[[#This Row],[2017]]/100=0, ,birthdose[[#This Row],[2017]]/100)</f>
        <v>0</v>
      </c>
      <c r="AK70" s="24" t="s">
        <v>97</v>
      </c>
      <c r="AL70" s="24" t="s">
        <v>254</v>
      </c>
      <c r="AM70" s="24">
        <v>96</v>
      </c>
      <c r="AN70" s="25">
        <f>IF(fullvax[[#This Row],[2017]]/100=0, ,fullvax[[#This Row],[2017]]/100)</f>
        <v>0.96</v>
      </c>
      <c r="AP70" s="20" t="s">
        <v>195</v>
      </c>
      <c r="AQ70" s="20">
        <v>0.95585938655499791</v>
      </c>
      <c r="AR70" s="20">
        <v>4.4140613445002086E-2</v>
      </c>
      <c r="AS70" s="20">
        <v>0.57676644532060584</v>
      </c>
      <c r="AT70" s="20">
        <v>0.42323355467939416</v>
      </c>
      <c r="AV70" s="8" t="s">
        <v>104</v>
      </c>
      <c r="AW70" s="11" t="s">
        <v>23</v>
      </c>
      <c r="AX70" s="41">
        <f>VLOOKUP(all_cause_mort[[#This Row],[Country]],[1]!populations[#Data],9,FALSE)*VLOOKUP(all_cause_mort[[#This Row],[Country]],[1]!birthrate[#Data],3,FALSE)</f>
        <v>201190.929905</v>
      </c>
      <c r="AY70">
        <f>VLOOKUP(all_cause_mort[[Country]:[Country]],'[1]Mortality Data'!$A$2:$W$201,2,FALSE)</f>
        <v>1.5248711999999999E-2</v>
      </c>
      <c r="AZ70">
        <f>VLOOKUP(all_cause_mort[[Country]:[Country]],'[1]Mortality Data'!$A$2:$W$201,3,FALSE)</f>
        <v>1.5983788E-3</v>
      </c>
      <c r="BA70">
        <f>VLOOKUP(all_cause_mort[[Country]:[Country]],'[1]Mortality Data'!$A$2:$W$201,4,FALSE)</f>
        <v>8.6078973000000005E-4</v>
      </c>
      <c r="BB70">
        <f>VLOOKUP(all_cause_mort[[Country]:[Country]],'[1]Mortality Data'!$A$2:$W$201,5,FALSE)</f>
        <v>6.9583274000000004E-4</v>
      </c>
      <c r="BC70">
        <f>VLOOKUP(all_cause_mort[[Country]:[Country]],'[1]Mortality Data'!$A$2:$W$201,6,FALSE)</f>
        <v>1.0000727000000001E-3</v>
      </c>
      <c r="BD70">
        <f>VLOOKUP(all_cause_mort[[Country]:[Country]],'[1]Mortality Data'!$A$2:$W$201,7,FALSE)</f>
        <v>1.4643028000000001E-3</v>
      </c>
      <c r="BE70">
        <f>VLOOKUP(all_cause_mort[[Country]:[Country]],'[1]Mortality Data'!$A$2:$W$201,8,FALSE)</f>
        <v>1.9364807E-3</v>
      </c>
      <c r="BF70">
        <f>VLOOKUP(all_cause_mort[[Country]:[Country]],'[1]Mortality Data'!$A$2:$W$201,9,FALSE)</f>
        <v>2.3865165000000002E-3</v>
      </c>
      <c r="BG70">
        <f>VLOOKUP(all_cause_mort[[Country]:[Country]],'[1]Mortality Data'!$A$2:$W$201,10,FALSE)</f>
        <v>2.8518337E-3</v>
      </c>
      <c r="BH70">
        <f>VLOOKUP(all_cause_mort[[Country]:[Country]],'[1]Mortality Data'!$A$2:$W$201,11,FALSE)</f>
        <v>3.4294767000000001E-3</v>
      </c>
      <c r="BI70">
        <f>VLOOKUP(all_cause_mort[[Country]:[Country]],'[1]Mortality Data'!$A$2:$W$201,12,FALSE)</f>
        <v>4.2675767999999998E-3</v>
      </c>
      <c r="BJ70">
        <f>VLOOKUP(all_cause_mort[[Country]:[Country]],'[1]Mortality Data'!$A$2:$W$201,13,FALSE)</f>
        <v>5.5948941E-3</v>
      </c>
      <c r="BK70">
        <f>VLOOKUP(all_cause_mort[[Country]:[Country]],'[1]Mortality Data'!$A$2:$W$201,14,FALSE)</f>
        <v>7.7627447E-3</v>
      </c>
      <c r="BL70">
        <f>VLOOKUP(all_cause_mort[[Country]:[Country]],'[1]Mortality Data'!$A$2:$W$201,15,FALSE)</f>
        <v>1.1327210000000001E-2</v>
      </c>
      <c r="BM70">
        <f>VLOOKUP(all_cause_mort[[Country]:[Country]],'[1]Mortality Data'!$A$2:$W$201,16,FALSE)</f>
        <v>1.7178609000000001E-2</v>
      </c>
      <c r="BN70">
        <f>VLOOKUP(all_cause_mort[[Country]:[Country]],'[1]Mortality Data'!$A$2:$W$201,17,FALSE)</f>
        <v>2.6728814E-2</v>
      </c>
      <c r="BO70">
        <f>VLOOKUP(all_cause_mort[[Country]:[Country]],'[1]Mortality Data'!$A$2:$W$201,18,FALSE)</f>
        <v>4.2176354999999999E-2</v>
      </c>
      <c r="BP70">
        <f>VLOOKUP(all_cause_mort[[Country]:[Country]],'[1]Mortality Data'!$A$2:$W$201,19,FALSE)</f>
        <v>6.6839543000000001E-2</v>
      </c>
      <c r="BQ70">
        <f>VLOOKUP(all_cause_mort[[Country]:[Country]],'[1]Mortality Data'!$A$2:$W$201,20,FALSE)</f>
        <v>0.10552781</v>
      </c>
      <c r="BR70">
        <f>VLOOKUP(all_cause_mort[[Country]:[Country]],'[1]Mortality Data'!$A$2:$W$201,21,FALSE)</f>
        <v>0.16492175000000001</v>
      </c>
      <c r="BS70">
        <f>VLOOKUP(all_cause_mort[[Country]:[Country]],'[1]Mortality Data'!$A$2:$W$201,22,FALSE)</f>
        <v>0.25998114999999999</v>
      </c>
      <c r="BT70">
        <f>VLOOKUP(all_cause_mort[[Country]:[Country]],'[1]Mortality Data'!$A$2:$W$201,23,FALSE)</f>
        <v>0.395842106184012</v>
      </c>
      <c r="BU70" s="39" t="e">
        <f>VLOOKUP(all_cause_mort[[#This Row],[Country]],[2]!regions[#Data],3,FALSE)</f>
        <v>#REF!</v>
      </c>
    </row>
    <row r="71" spans="1:73" x14ac:dyDescent="0.35">
      <c r="A71" t="s">
        <v>87</v>
      </c>
      <c r="B71">
        <v>1331475</v>
      </c>
      <c r="C71">
        <v>1327439</v>
      </c>
      <c r="D71">
        <v>1322696</v>
      </c>
      <c r="E71">
        <v>1317997</v>
      </c>
      <c r="F71">
        <v>1314545</v>
      </c>
      <c r="G71">
        <v>1315407</v>
      </c>
      <c r="H71">
        <v>1315790</v>
      </c>
      <c r="I71">
        <v>1315480</v>
      </c>
      <c r="K71" t="s">
        <v>87</v>
      </c>
      <c r="L71">
        <v>10.7</v>
      </c>
      <c r="M71">
        <f>birthrate[[#This Row],[2016]]/1000</f>
        <v>1.0699999999999999E-2</v>
      </c>
      <c r="O71" t="s">
        <v>111</v>
      </c>
      <c r="P71">
        <v>76.599999999999994</v>
      </c>
      <c r="Q71">
        <f>facility[[#This Row],[Facility (%)]]/100</f>
        <v>0.7659999999999999</v>
      </c>
      <c r="S71" t="s">
        <v>101</v>
      </c>
      <c r="T71" t="s">
        <v>264</v>
      </c>
      <c r="U71">
        <v>45</v>
      </c>
      <c r="V71">
        <f>SBA[[#This Row],[SBA (%)]]/100</f>
        <v>0.45</v>
      </c>
      <c r="X71" s="10" t="s">
        <v>116</v>
      </c>
      <c r="Y71" s="10" t="s">
        <v>256</v>
      </c>
      <c r="Z71" s="21">
        <v>6.0000000000000001E-3</v>
      </c>
      <c r="AA71" s="21">
        <v>5.0000000000000001E-3</v>
      </c>
      <c r="AB71" s="21">
        <v>6.0000000000000001E-3</v>
      </c>
      <c r="AC71">
        <v>126785797</v>
      </c>
      <c r="AD71" s="27">
        <v>5.1020408163265444E-5</v>
      </c>
      <c r="AF71" s="24" t="s">
        <v>98</v>
      </c>
      <c r="AG71" s="24" t="s">
        <v>253</v>
      </c>
      <c r="AH71" s="24">
        <v>78</v>
      </c>
      <c r="AI71" s="25">
        <f>IF(birthdose[[#This Row],[2017]]/100=0, ,birthdose[[#This Row],[2017]]/100)</f>
        <v>0.78</v>
      </c>
      <c r="AK71" s="24" t="s">
        <v>98</v>
      </c>
      <c r="AL71" s="24" t="s">
        <v>254</v>
      </c>
      <c r="AM71" s="24">
        <v>96</v>
      </c>
      <c r="AN71" s="25">
        <f>IF(fullvax[[#This Row],[2017]]/100=0, ,fullvax[[#This Row],[2017]]/100)</f>
        <v>0.96</v>
      </c>
      <c r="AP71" s="20" t="s">
        <v>196</v>
      </c>
      <c r="AQ71" s="20">
        <v>0.98589582582433444</v>
      </c>
      <c r="AR71" s="20">
        <v>1.4104174175665563E-2</v>
      </c>
      <c r="AS71" s="20">
        <v>9.521443015553395E-2</v>
      </c>
      <c r="AT71" s="20">
        <v>0.90478556984446601</v>
      </c>
      <c r="AV71" s="12" t="s">
        <v>105</v>
      </c>
      <c r="AW71" s="14" t="s">
        <v>11</v>
      </c>
      <c r="AX71" s="41">
        <f>VLOOKUP(all_cause_mort[[#This Row],[Country]],[1]!populations[#Data],9,FALSE)*VLOOKUP(all_cause_mort[[#This Row],[Country]],[1]!birthrate[#Data],3,FALSE)</f>
        <v>94876.931899999981</v>
      </c>
      <c r="AY71">
        <f>VLOOKUP(all_cause_mort[[Country]:[Country]],'[1]Mortality Data'!$A$2:$W$201,2,FALSE)</f>
        <v>4.0685549999999997E-3</v>
      </c>
      <c r="AZ71">
        <f>VLOOKUP(all_cause_mort[[Country]:[Country]],'[1]Mortality Data'!$A$2:$W$201,3,FALSE)</f>
        <v>1.4737438E-4</v>
      </c>
      <c r="BA71">
        <f>VLOOKUP(all_cause_mort[[Country]:[Country]],'[1]Mortality Data'!$A$2:$W$201,4,FALSE)</f>
        <v>6.9005845000000006E-5</v>
      </c>
      <c r="BB71">
        <f>VLOOKUP(all_cause_mort[[Country]:[Country]],'[1]Mortality Data'!$A$2:$W$201,5,FALSE)</f>
        <v>1.152681E-4</v>
      </c>
      <c r="BC71">
        <f>VLOOKUP(all_cause_mort[[Country]:[Country]],'[1]Mortality Data'!$A$2:$W$201,6,FALSE)</f>
        <v>2.4485403000000001E-4</v>
      </c>
      <c r="BD71">
        <f>VLOOKUP(all_cause_mort[[Country]:[Country]],'[1]Mortality Data'!$A$2:$W$201,7,FALSE)</f>
        <v>3.5455455000000001E-4</v>
      </c>
      <c r="BE71">
        <f>VLOOKUP(all_cause_mort[[Country]:[Country]],'[1]Mortality Data'!$A$2:$W$201,8,FALSE)</f>
        <v>4.3526430999999999E-4</v>
      </c>
      <c r="BF71">
        <f>VLOOKUP(all_cause_mort[[Country]:[Country]],'[1]Mortality Data'!$A$2:$W$201,9,FALSE)</f>
        <v>5.3511688000000004E-4</v>
      </c>
      <c r="BG71">
        <f>VLOOKUP(all_cause_mort[[Country]:[Country]],'[1]Mortality Data'!$A$2:$W$201,10,FALSE)</f>
        <v>8.4618949000000001E-4</v>
      </c>
      <c r="BH71">
        <f>VLOOKUP(all_cause_mort[[Country]:[Country]],'[1]Mortality Data'!$A$2:$W$201,11,FALSE)</f>
        <v>1.5839580999999999E-3</v>
      </c>
      <c r="BI71">
        <f>VLOOKUP(all_cause_mort[[Country]:[Country]],'[1]Mortality Data'!$A$2:$W$201,12,FALSE)</f>
        <v>3.538523E-3</v>
      </c>
      <c r="BJ71">
        <f>VLOOKUP(all_cause_mort[[Country]:[Country]],'[1]Mortality Data'!$A$2:$W$201,13,FALSE)</f>
        <v>7.1646317000000001E-3</v>
      </c>
      <c r="BK71">
        <f>VLOOKUP(all_cause_mort[[Country]:[Country]],'[1]Mortality Data'!$A$2:$W$201,14,FALSE)</f>
        <v>1.1512700000000001E-2</v>
      </c>
      <c r="BL71">
        <f>VLOOKUP(all_cause_mort[[Country]:[Country]],'[1]Mortality Data'!$A$2:$W$201,15,FALSE)</f>
        <v>1.6488642000000001E-2</v>
      </c>
      <c r="BM71">
        <f>VLOOKUP(all_cause_mort[[Country]:[Country]],'[1]Mortality Data'!$A$2:$W$201,16,FALSE)</f>
        <v>2.1142310000000001E-2</v>
      </c>
      <c r="BN71">
        <f>VLOOKUP(all_cause_mort[[Country]:[Country]],'[1]Mortality Data'!$A$2:$W$201,17,FALSE)</f>
        <v>3.0187375999999998E-2</v>
      </c>
      <c r="BO71">
        <f>VLOOKUP(all_cause_mort[[Country]:[Country]],'[1]Mortality Data'!$A$2:$W$201,18,FALSE)</f>
        <v>4.7527641000000002E-2</v>
      </c>
      <c r="BP71">
        <f>VLOOKUP(all_cause_mort[[Country]:[Country]],'[1]Mortality Data'!$A$2:$W$201,19,FALSE)</f>
        <v>8.1036774000000006E-2</v>
      </c>
      <c r="BQ71">
        <f>VLOOKUP(all_cause_mort[[Country]:[Country]],'[1]Mortality Data'!$A$2:$W$201,20,FALSE)</f>
        <v>0.14021042</v>
      </c>
      <c r="BR71">
        <f>VLOOKUP(all_cause_mort[[Country]:[Country]],'[1]Mortality Data'!$A$2:$W$201,21,FALSE)</f>
        <v>0.21306493000000001</v>
      </c>
      <c r="BS71">
        <f>VLOOKUP(all_cause_mort[[Country]:[Country]],'[1]Mortality Data'!$A$2:$W$201,22,FALSE)</f>
        <v>0.33246849000000001</v>
      </c>
      <c r="BT71">
        <f>VLOOKUP(all_cause_mort[[Country]:[Country]],'[1]Mortality Data'!$A$2:$W$201,23,FALSE)</f>
        <v>0.47954535264206699</v>
      </c>
      <c r="BU71" s="39" t="e">
        <f>VLOOKUP(all_cause_mort[[#This Row],[Country]],[2]!regions[#Data],3,FALSE)</f>
        <v>#REF!</v>
      </c>
    </row>
    <row r="72" spans="1:73" x14ac:dyDescent="0.35">
      <c r="A72" t="s">
        <v>88</v>
      </c>
      <c r="B72">
        <v>87702670</v>
      </c>
      <c r="C72">
        <v>90046756</v>
      </c>
      <c r="D72">
        <v>92444183</v>
      </c>
      <c r="E72">
        <v>94887724</v>
      </c>
      <c r="F72">
        <v>97366774</v>
      </c>
      <c r="G72">
        <v>99873033</v>
      </c>
      <c r="H72">
        <v>102403196</v>
      </c>
      <c r="I72">
        <v>104957438</v>
      </c>
      <c r="K72" t="s">
        <v>88</v>
      </c>
      <c r="L72">
        <v>31.779</v>
      </c>
      <c r="M72">
        <f>birthrate[[#This Row],[2016]]/1000</f>
        <v>3.1779000000000002E-2</v>
      </c>
      <c r="O72" t="s">
        <v>112</v>
      </c>
      <c r="P72">
        <v>99.7</v>
      </c>
      <c r="Q72">
        <f>facility[[#This Row],[Facility (%)]]/100</f>
        <v>0.997</v>
      </c>
      <c r="S72" t="s">
        <v>102</v>
      </c>
      <c r="T72" t="s">
        <v>264</v>
      </c>
      <c r="U72">
        <v>85.7</v>
      </c>
      <c r="V72">
        <f>SBA[[#This Row],[SBA (%)]]/100</f>
        <v>0.85699999999999998</v>
      </c>
      <c r="X72" s="13" t="s">
        <v>117</v>
      </c>
      <c r="Y72" s="13" t="s">
        <v>256</v>
      </c>
      <c r="Z72" s="26">
        <v>2.4E-2</v>
      </c>
      <c r="AA72" s="26">
        <v>1.3000000000000001E-2</v>
      </c>
      <c r="AB72" s="26">
        <v>2.7999999999999997E-2</v>
      </c>
      <c r="AC72">
        <v>9702353</v>
      </c>
      <c r="AD72" s="27">
        <v>2.0408163265306107E-3</v>
      </c>
      <c r="AF72" s="24" t="s">
        <v>99</v>
      </c>
      <c r="AG72" s="24" t="s">
        <v>253</v>
      </c>
      <c r="AH72" s="24">
        <v>45</v>
      </c>
      <c r="AI72" s="25">
        <f>IF(birthdose[[#This Row],[2017]]/100=0, ,birthdose[[#This Row],[2017]]/100)</f>
        <v>0.45</v>
      </c>
      <c r="AK72" s="24" t="s">
        <v>99</v>
      </c>
      <c r="AL72" s="24" t="s">
        <v>254</v>
      </c>
      <c r="AM72" s="24">
        <v>82</v>
      </c>
      <c r="AN72" s="25">
        <f>IF(fullvax[[#This Row],[2017]]/100=0, ,fullvax[[#This Row],[2017]]/100)</f>
        <v>0.82</v>
      </c>
      <c r="AP72" s="20" t="s">
        <v>200</v>
      </c>
      <c r="AQ72" s="20">
        <v>0.99563135354805987</v>
      </c>
      <c r="AR72" s="20">
        <v>4.368646451940128E-3</v>
      </c>
      <c r="AS72" s="20">
        <v>0.49143471089085361</v>
      </c>
      <c r="AT72" s="20">
        <v>0.50856528910914633</v>
      </c>
      <c r="AV72" s="12" t="s">
        <v>107</v>
      </c>
      <c r="AW72" s="14" t="s">
        <v>37</v>
      </c>
      <c r="AX72" s="41">
        <f>VLOOKUP(all_cause_mort[[#This Row],[Country]],[1]!populations[#Data],9,FALSE)*VLOOKUP(all_cause_mort[[#This Row],[Country]],[1]!birthrate[#Data],3,FALSE)</f>
        <v>25461831.754651003</v>
      </c>
      <c r="AY72">
        <f>VLOOKUP(all_cause_mort[[Country]:[Country]],'[1]Mortality Data'!$A$2:$W$201,2,FALSE)</f>
        <v>3.2905592999999997E-2</v>
      </c>
      <c r="AZ72">
        <f>VLOOKUP(all_cause_mort[[Country]:[Country]],'[1]Mortality Data'!$A$2:$W$201,3,FALSE)</f>
        <v>1.9216846000000001E-3</v>
      </c>
      <c r="BA72">
        <f>VLOOKUP(all_cause_mort[[Country]:[Country]],'[1]Mortality Data'!$A$2:$W$201,4,FALSE)</f>
        <v>7.1663227000000004E-4</v>
      </c>
      <c r="BB72">
        <f>VLOOKUP(all_cause_mort[[Country]:[Country]],'[1]Mortality Data'!$A$2:$W$201,5,FALSE)</f>
        <v>6.0249078000000004E-4</v>
      </c>
      <c r="BC72">
        <f>VLOOKUP(all_cause_mort[[Country]:[Country]],'[1]Mortality Data'!$A$2:$W$201,6,FALSE)</f>
        <v>9.4851435000000003E-4</v>
      </c>
      <c r="BD72">
        <f>VLOOKUP(all_cause_mort[[Country]:[Country]],'[1]Mortality Data'!$A$2:$W$201,7,FALSE)</f>
        <v>1.377755E-3</v>
      </c>
      <c r="BE72">
        <f>VLOOKUP(all_cause_mort[[Country]:[Country]],'[1]Mortality Data'!$A$2:$W$201,8,FALSE)</f>
        <v>1.5585326E-3</v>
      </c>
      <c r="BF72">
        <f>VLOOKUP(all_cause_mort[[Country]:[Country]],'[1]Mortality Data'!$A$2:$W$201,9,FALSE)</f>
        <v>1.9909837999999998E-3</v>
      </c>
      <c r="BG72">
        <f>VLOOKUP(all_cause_mort[[Country]:[Country]],'[1]Mortality Data'!$A$2:$W$201,10,FALSE)</f>
        <v>2.7617183999999999E-3</v>
      </c>
      <c r="BH72">
        <f>VLOOKUP(all_cause_mort[[Country]:[Country]],'[1]Mortality Data'!$A$2:$W$201,11,FALSE)</f>
        <v>3.7217993000000001E-3</v>
      </c>
      <c r="BI72">
        <f>VLOOKUP(all_cause_mort[[Country]:[Country]],'[1]Mortality Data'!$A$2:$W$201,12,FALSE)</f>
        <v>5.3647935999999998E-3</v>
      </c>
      <c r="BJ72">
        <f>VLOOKUP(all_cause_mort[[Country]:[Country]],'[1]Mortality Data'!$A$2:$W$201,13,FALSE)</f>
        <v>8.6497681E-3</v>
      </c>
      <c r="BK72">
        <f>VLOOKUP(all_cause_mort[[Country]:[Country]],'[1]Mortality Data'!$A$2:$W$201,14,FALSE)</f>
        <v>1.2982907E-2</v>
      </c>
      <c r="BL72">
        <f>VLOOKUP(all_cause_mort[[Country]:[Country]],'[1]Mortality Data'!$A$2:$W$201,15,FALSE)</f>
        <v>1.9453697999999998E-2</v>
      </c>
      <c r="BM72">
        <f>VLOOKUP(all_cause_mort[[Country]:[Country]],'[1]Mortality Data'!$A$2:$W$201,16,FALSE)</f>
        <v>2.9876994E-2</v>
      </c>
      <c r="BN72">
        <f>VLOOKUP(all_cause_mort[[Country]:[Country]],'[1]Mortality Data'!$A$2:$W$201,17,FALSE)</f>
        <v>4.7802754000000003E-2</v>
      </c>
      <c r="BO72">
        <f>VLOOKUP(all_cause_mort[[Country]:[Country]],'[1]Mortality Data'!$A$2:$W$201,18,FALSE)</f>
        <v>7.1392497999999999E-2</v>
      </c>
      <c r="BP72">
        <f>VLOOKUP(all_cause_mort[[Country]:[Country]],'[1]Mortality Data'!$A$2:$W$201,19,FALSE)</f>
        <v>0.11121219</v>
      </c>
      <c r="BQ72">
        <f>VLOOKUP(all_cause_mort[[Country]:[Country]],'[1]Mortality Data'!$A$2:$W$201,20,FALSE)</f>
        <v>0.16845549000000001</v>
      </c>
      <c r="BR72">
        <f>VLOOKUP(all_cause_mort[[Country]:[Country]],'[1]Mortality Data'!$A$2:$W$201,21,FALSE)</f>
        <v>0.24760963</v>
      </c>
      <c r="BS72">
        <f>VLOOKUP(all_cause_mort[[Country]:[Country]],'[1]Mortality Data'!$A$2:$W$201,22,FALSE)</f>
        <v>0.2313066</v>
      </c>
      <c r="BT72">
        <f>VLOOKUP(all_cause_mort[[Country]:[Country]],'[1]Mortality Data'!$A$2:$W$201,23,FALSE)</f>
        <v>0.32729534516632602</v>
      </c>
      <c r="BU72" s="39" t="e">
        <f>VLOOKUP(all_cause_mort[[#This Row],[Country]],[2]!regions[#Data],3,FALSE)</f>
        <v>#REF!</v>
      </c>
    </row>
    <row r="73" spans="1:73" x14ac:dyDescent="0.35">
      <c r="A73" t="s">
        <v>298</v>
      </c>
      <c r="B73">
        <v>504421126</v>
      </c>
      <c r="C73">
        <v>504015371</v>
      </c>
      <c r="D73">
        <v>505117542</v>
      </c>
      <c r="E73">
        <v>506621110</v>
      </c>
      <c r="F73">
        <v>508193872</v>
      </c>
      <c r="G73">
        <v>509717579</v>
      </c>
      <c r="H73">
        <v>511218960</v>
      </c>
      <c r="I73">
        <v>512461290</v>
      </c>
      <c r="K73" t="s">
        <v>298</v>
      </c>
      <c r="L73">
        <v>9.9916694876692365</v>
      </c>
      <c r="M73">
        <f>birthrate[[#This Row],[2016]]/1000</f>
        <v>9.9916694876692365E-3</v>
      </c>
      <c r="O73" t="s">
        <v>114</v>
      </c>
      <c r="P73">
        <v>99.9</v>
      </c>
      <c r="Q73">
        <f>facility[[#This Row],[Facility (%)]]/100</f>
        <v>0.99900000000000011</v>
      </c>
      <c r="S73" t="s">
        <v>103</v>
      </c>
      <c r="T73" t="s">
        <v>269</v>
      </c>
      <c r="U73">
        <v>41.7</v>
      </c>
      <c r="V73">
        <f>SBA[[#This Row],[SBA (%)]]/100</f>
        <v>0.41700000000000004</v>
      </c>
      <c r="X73" s="10" t="s">
        <v>118</v>
      </c>
      <c r="Y73" s="10" t="s">
        <v>256</v>
      </c>
      <c r="Z73" s="21">
        <v>2.7E-2</v>
      </c>
      <c r="AA73" s="21">
        <v>1.9E-2</v>
      </c>
      <c r="AB73" s="21">
        <v>3.5999999999999997E-2</v>
      </c>
      <c r="AC73">
        <v>18037646</v>
      </c>
      <c r="AD73" s="27">
        <v>4.5918367346938762E-3</v>
      </c>
      <c r="AF73" s="24" t="s">
        <v>100</v>
      </c>
      <c r="AG73" s="24" t="s">
        <v>253</v>
      </c>
      <c r="AH73" s="24"/>
      <c r="AI73" s="25">
        <f>IF(birthdose[[#This Row],[2017]]/100=0, ,birthdose[[#This Row],[2017]]/100)</f>
        <v>0</v>
      </c>
      <c r="AK73" s="24" t="s">
        <v>100</v>
      </c>
      <c r="AL73" s="24" t="s">
        <v>254</v>
      </c>
      <c r="AM73" s="24">
        <v>45</v>
      </c>
      <c r="AN73" s="25">
        <f>IF(fullvax[[#This Row],[2017]]/100=0, ,fullvax[[#This Row],[2017]]/100)</f>
        <v>0.45</v>
      </c>
      <c r="AP73" s="20" t="s">
        <v>299</v>
      </c>
      <c r="AQ73" s="20">
        <v>0.98274773055462272</v>
      </c>
      <c r="AR73" s="20">
        <v>1.7252269445377277E-2</v>
      </c>
      <c r="AS73" s="20">
        <v>2.0354398777395463E-2</v>
      </c>
      <c r="AT73" s="20">
        <v>0.97964560122260458</v>
      </c>
      <c r="AV73" s="8" t="s">
        <v>108</v>
      </c>
      <c r="AW73" s="11" t="s">
        <v>58</v>
      </c>
      <c r="AX73" s="41">
        <f>VLOOKUP(all_cause_mort[[#This Row],[Country]],[1]!populations[#Data],9,FALSE)*VLOOKUP(all_cause_mort[[#This Row],[Country]],[1]!birthrate[#Data],3,FALSE)</f>
        <v>5012140.3216939997</v>
      </c>
      <c r="AY73">
        <f>VLOOKUP(all_cause_mort[[Country]:[Country]],'[1]Mortality Data'!$A$2:$W$201,2,FALSE)</f>
        <v>1.9250153999999998E-2</v>
      </c>
      <c r="AZ73">
        <f>VLOOKUP(all_cause_mort[[Country]:[Country]],'[1]Mortality Data'!$A$2:$W$201,3,FALSE)</f>
        <v>1.527931E-3</v>
      </c>
      <c r="BA73">
        <f>VLOOKUP(all_cause_mort[[Country]:[Country]],'[1]Mortality Data'!$A$2:$W$201,4,FALSE)</f>
        <v>5.0708619999999998E-4</v>
      </c>
      <c r="BB73">
        <f>VLOOKUP(all_cause_mort[[Country]:[Country]],'[1]Mortality Data'!$A$2:$W$201,5,FALSE)</f>
        <v>4.4802216000000003E-4</v>
      </c>
      <c r="BC73">
        <f>VLOOKUP(all_cause_mort[[Country]:[Country]],'[1]Mortality Data'!$A$2:$W$201,6,FALSE)</f>
        <v>9.4035660000000004E-4</v>
      </c>
      <c r="BD73">
        <f>VLOOKUP(all_cause_mort[[Country]:[Country]],'[1]Mortality Data'!$A$2:$W$201,7,FALSE)</f>
        <v>1.2366110000000001E-3</v>
      </c>
      <c r="BE73">
        <f>VLOOKUP(all_cause_mort[[Country]:[Country]],'[1]Mortality Data'!$A$2:$W$201,8,FALSE)</f>
        <v>1.3107454E-3</v>
      </c>
      <c r="BF73">
        <f>VLOOKUP(all_cause_mort[[Country]:[Country]],'[1]Mortality Data'!$A$2:$W$201,9,FALSE)</f>
        <v>1.5600405999999999E-3</v>
      </c>
      <c r="BG73">
        <f>VLOOKUP(all_cause_mort[[Country]:[Country]],'[1]Mortality Data'!$A$2:$W$201,10,FALSE)</f>
        <v>2.1014083E-3</v>
      </c>
      <c r="BH73">
        <f>VLOOKUP(all_cause_mort[[Country]:[Country]],'[1]Mortality Data'!$A$2:$W$201,11,FALSE)</f>
        <v>3.0209855000000001E-3</v>
      </c>
      <c r="BI73">
        <f>VLOOKUP(all_cause_mort[[Country]:[Country]],'[1]Mortality Data'!$A$2:$W$201,12,FALSE)</f>
        <v>4.6459068999999999E-3</v>
      </c>
      <c r="BJ73">
        <f>VLOOKUP(all_cause_mort[[Country]:[Country]],'[1]Mortality Data'!$A$2:$W$201,13,FALSE)</f>
        <v>7.2270846999999997E-3</v>
      </c>
      <c r="BK73">
        <f>VLOOKUP(all_cause_mort[[Country]:[Country]],'[1]Mortality Data'!$A$2:$W$201,14,FALSE)</f>
        <v>1.1329814000000001E-2</v>
      </c>
      <c r="BL73">
        <f>VLOOKUP(all_cause_mort[[Country]:[Country]],'[1]Mortality Data'!$A$2:$W$201,15,FALSE)</f>
        <v>1.7717789000000001E-2</v>
      </c>
      <c r="BM73">
        <f>VLOOKUP(all_cause_mort[[Country]:[Country]],'[1]Mortality Data'!$A$2:$W$201,16,FALSE)</f>
        <v>2.7471451000000001E-2</v>
      </c>
      <c r="BN73">
        <f>VLOOKUP(all_cause_mort[[Country]:[Country]],'[1]Mortality Data'!$A$2:$W$201,17,FALSE)</f>
        <v>4.3598999999999999E-2</v>
      </c>
      <c r="BO73">
        <f>VLOOKUP(all_cause_mort[[Country]:[Country]],'[1]Mortality Data'!$A$2:$W$201,18,FALSE)</f>
        <v>7.1703180000000005E-2</v>
      </c>
      <c r="BP73">
        <f>VLOOKUP(all_cause_mort[[Country]:[Country]],'[1]Mortality Data'!$A$2:$W$201,19,FALSE)</f>
        <v>0.11576444</v>
      </c>
      <c r="BQ73">
        <f>VLOOKUP(all_cause_mort[[Country]:[Country]],'[1]Mortality Data'!$A$2:$W$201,20,FALSE)</f>
        <v>0.18385713000000001</v>
      </c>
      <c r="BR73">
        <f>VLOOKUP(all_cause_mort[[Country]:[Country]],'[1]Mortality Data'!$A$2:$W$201,21,FALSE)</f>
        <v>0.27377820000000003</v>
      </c>
      <c r="BS73">
        <f>VLOOKUP(all_cause_mort[[Country]:[Country]],'[1]Mortality Data'!$A$2:$W$201,22,FALSE)</f>
        <v>0.38935618999999999</v>
      </c>
      <c r="BT73">
        <f>VLOOKUP(all_cause_mort[[Country]:[Country]],'[1]Mortality Data'!$A$2:$W$201,23,FALSE)</f>
        <v>0.52602760940072402</v>
      </c>
      <c r="BU73" s="39" t="e">
        <f>VLOOKUP(all_cause_mort[[#This Row],[Country]],[2]!regions[#Data],3,FALSE)</f>
        <v>#REF!</v>
      </c>
    </row>
    <row r="74" spans="1:73" x14ac:dyDescent="0.35">
      <c r="A74" t="s">
        <v>300</v>
      </c>
      <c r="B74">
        <v>433388814</v>
      </c>
      <c r="C74">
        <v>443918286</v>
      </c>
      <c r="D74">
        <v>454618893</v>
      </c>
      <c r="E74">
        <v>465515402</v>
      </c>
      <c r="F74">
        <v>476608101</v>
      </c>
      <c r="G74">
        <v>487923553</v>
      </c>
      <c r="H74">
        <v>499508468</v>
      </c>
      <c r="I74">
        <v>511336623</v>
      </c>
      <c r="K74" t="s">
        <v>300</v>
      </c>
      <c r="L74">
        <v>33.467645244502293</v>
      </c>
      <c r="M74">
        <f>birthrate[[#This Row],[2016]]/1000</f>
        <v>3.3467645244502291E-2</v>
      </c>
      <c r="O74" t="s">
        <v>115</v>
      </c>
      <c r="P74">
        <v>98.6</v>
      </c>
      <c r="Q74">
        <f>facility[[#This Row],[Facility (%)]]/100</f>
        <v>0.98599999999999999</v>
      </c>
      <c r="S74" t="s">
        <v>104</v>
      </c>
      <c r="T74" t="s">
        <v>301</v>
      </c>
      <c r="U74">
        <v>82.8</v>
      </c>
      <c r="V74">
        <f>SBA[[#This Row],[SBA (%)]]/100</f>
        <v>0.82799999999999996</v>
      </c>
      <c r="X74" s="13" t="s">
        <v>119</v>
      </c>
      <c r="Y74" s="13" t="s">
        <v>256</v>
      </c>
      <c r="Z74" s="26">
        <v>1.2E-2</v>
      </c>
      <c r="AA74" s="26">
        <v>8.9999999999999993E-3</v>
      </c>
      <c r="AB74" s="26">
        <v>1.4999999999999999E-2</v>
      </c>
      <c r="AC74">
        <v>49699862</v>
      </c>
      <c r="AD74" s="27">
        <v>1.5306122448979589E-3</v>
      </c>
      <c r="AF74" s="24" t="s">
        <v>101</v>
      </c>
      <c r="AG74" s="24" t="s">
        <v>253</v>
      </c>
      <c r="AH74" s="24"/>
      <c r="AI74" s="25">
        <f>IF(birthdose[[#This Row],[2017]]/100=0, ,birthdose[[#This Row],[2017]]/100)</f>
        <v>0</v>
      </c>
      <c r="AK74" s="24" t="s">
        <v>101</v>
      </c>
      <c r="AL74" s="24" t="s">
        <v>254</v>
      </c>
      <c r="AM74" s="24">
        <v>87</v>
      </c>
      <c r="AN74" s="25">
        <f>IF(fullvax[[#This Row],[2017]]/100=0, ,fullvax[[#This Row],[2017]]/100)</f>
        <v>0.87</v>
      </c>
      <c r="AP74" s="20" t="s">
        <v>203</v>
      </c>
      <c r="AQ74" s="20">
        <v>0.99396832857495399</v>
      </c>
      <c r="AR74" s="20">
        <v>6.0316714250460146E-3</v>
      </c>
      <c r="AS74" s="20">
        <v>0.10743200582361112</v>
      </c>
      <c r="AT74" s="20">
        <v>0.89256799417638888</v>
      </c>
      <c r="AV74" s="12" t="s">
        <v>110</v>
      </c>
      <c r="AW74" s="14" t="s">
        <v>7</v>
      </c>
      <c r="AX74" s="41">
        <f>VLOOKUP(all_cause_mort[[#This Row],[Country]],[1]!populations[#Data],9,FALSE)*VLOOKUP(all_cause_mort[[#This Row],[Country]],[1]!birthrate[#Data],3,FALSE)</f>
        <v>1342757.1646719999</v>
      </c>
      <c r="AY74">
        <f>VLOOKUP(all_cause_mort[[Country]:[Country]],'[1]Mortality Data'!$A$2:$W$201,2,FALSE)</f>
        <v>1.2969764999999999E-2</v>
      </c>
      <c r="AZ74">
        <f>VLOOKUP(all_cause_mort[[Country]:[Country]],'[1]Mortality Data'!$A$2:$W$201,3,FALSE)</f>
        <v>5.3251361000000003E-4</v>
      </c>
      <c r="BA74">
        <f>VLOOKUP(all_cause_mort[[Country]:[Country]],'[1]Mortality Data'!$A$2:$W$201,4,FALSE)</f>
        <v>1.7599754000000001E-4</v>
      </c>
      <c r="BB74">
        <f>VLOOKUP(all_cause_mort[[Country]:[Country]],'[1]Mortality Data'!$A$2:$W$201,5,FALSE)</f>
        <v>1.9603451000000001E-4</v>
      </c>
      <c r="BC74">
        <f>VLOOKUP(all_cause_mort[[Country]:[Country]],'[1]Mortality Data'!$A$2:$W$201,6,FALSE)</f>
        <v>4.2712262000000001E-4</v>
      </c>
      <c r="BD74">
        <f>VLOOKUP(all_cause_mort[[Country]:[Country]],'[1]Mortality Data'!$A$2:$W$201,7,FALSE)</f>
        <v>7.6081673999999996E-4</v>
      </c>
      <c r="BE74">
        <f>VLOOKUP(all_cause_mort[[Country]:[Country]],'[1]Mortality Data'!$A$2:$W$201,8,FALSE)</f>
        <v>5.9267396000000001E-4</v>
      </c>
      <c r="BF74">
        <f>VLOOKUP(all_cause_mort[[Country]:[Country]],'[1]Mortality Data'!$A$2:$W$201,9,FALSE)</f>
        <v>6.4608730000000004E-4</v>
      </c>
      <c r="BG74">
        <f>VLOOKUP(all_cause_mort[[Country]:[Country]],'[1]Mortality Data'!$A$2:$W$201,10,FALSE)</f>
        <v>7.0703029999999998E-4</v>
      </c>
      <c r="BH74">
        <f>VLOOKUP(all_cause_mort[[Country]:[Country]],'[1]Mortality Data'!$A$2:$W$201,11,FALSE)</f>
        <v>1.0421781E-3</v>
      </c>
      <c r="BI74">
        <f>VLOOKUP(all_cause_mort[[Country]:[Country]],'[1]Mortality Data'!$A$2:$W$201,12,FALSE)</f>
        <v>1.7465911000000001E-3</v>
      </c>
      <c r="BJ74">
        <f>VLOOKUP(all_cause_mort[[Country]:[Country]],'[1]Mortality Data'!$A$2:$W$201,13,FALSE)</f>
        <v>3.2633736000000002E-3</v>
      </c>
      <c r="BK74">
        <f>VLOOKUP(all_cause_mort[[Country]:[Country]],'[1]Mortality Data'!$A$2:$W$201,14,FALSE)</f>
        <v>4.8517519000000004E-3</v>
      </c>
      <c r="BL74">
        <f>VLOOKUP(all_cause_mort[[Country]:[Country]],'[1]Mortality Data'!$A$2:$W$201,15,FALSE)</f>
        <v>9.0514676999999995E-3</v>
      </c>
      <c r="BM74">
        <f>VLOOKUP(all_cause_mort[[Country]:[Country]],'[1]Mortality Data'!$A$2:$W$201,16,FALSE)</f>
        <v>1.6774185E-2</v>
      </c>
      <c r="BN74">
        <f>VLOOKUP(all_cause_mort[[Country]:[Country]],'[1]Mortality Data'!$A$2:$W$201,17,FALSE)</f>
        <v>3.4748749000000002E-2</v>
      </c>
      <c r="BO74">
        <f>VLOOKUP(all_cause_mort[[Country]:[Country]],'[1]Mortality Data'!$A$2:$W$201,18,FALSE)</f>
        <v>7.5644959999999997E-2</v>
      </c>
      <c r="BP74">
        <f>VLOOKUP(all_cause_mort[[Country]:[Country]],'[1]Mortality Data'!$A$2:$W$201,19,FALSE)</f>
        <v>0.12058642999999999</v>
      </c>
      <c r="BQ74">
        <f>VLOOKUP(all_cause_mort[[Country]:[Country]],'[1]Mortality Data'!$A$2:$W$201,20,FALSE)</f>
        <v>0.19038331</v>
      </c>
      <c r="BR74">
        <f>VLOOKUP(all_cause_mort[[Country]:[Country]],'[1]Mortality Data'!$A$2:$W$201,21,FALSE)</f>
        <v>0.29429443</v>
      </c>
      <c r="BS74">
        <f>VLOOKUP(all_cause_mort[[Country]:[Country]],'[1]Mortality Data'!$A$2:$W$201,22,FALSE)</f>
        <v>0.42652795999999998</v>
      </c>
      <c r="BT74">
        <f>VLOOKUP(all_cause_mort[[Country]:[Country]],'[1]Mortality Data'!$A$2:$W$201,23,FALSE)</f>
        <v>0.57712136250504797</v>
      </c>
      <c r="BU74" s="39" t="e">
        <f>VLOOKUP(all_cause_mort[[#This Row],[Country]],[2]!regions[#Data],3,FALSE)</f>
        <v>#REF!</v>
      </c>
    </row>
    <row r="75" spans="1:73" x14ac:dyDescent="0.35">
      <c r="A75" t="s">
        <v>90</v>
      </c>
      <c r="B75">
        <v>5363352</v>
      </c>
      <c r="C75">
        <v>5388272</v>
      </c>
      <c r="D75">
        <v>5413971</v>
      </c>
      <c r="E75">
        <v>5438972</v>
      </c>
      <c r="F75">
        <v>5461512</v>
      </c>
      <c r="G75">
        <v>5479531</v>
      </c>
      <c r="H75">
        <v>5495303</v>
      </c>
      <c r="I75">
        <v>5511303</v>
      </c>
      <c r="K75" t="s">
        <v>90</v>
      </c>
      <c r="L75">
        <v>9.6</v>
      </c>
      <c r="M75">
        <f>birthrate[[#This Row],[2016]]/1000</f>
        <v>9.5999999999999992E-3</v>
      </c>
      <c r="O75" t="s">
        <v>116</v>
      </c>
      <c r="P75">
        <v>99.8</v>
      </c>
      <c r="Q75">
        <f>facility[[#This Row],[Facility (%)]]/100</f>
        <v>0.998</v>
      </c>
      <c r="S75" t="s">
        <v>105</v>
      </c>
      <c r="T75">
        <v>2014</v>
      </c>
      <c r="U75">
        <v>99.2</v>
      </c>
      <c r="V75">
        <f>SBA[[#This Row],[SBA (%)]]/100</f>
        <v>0.99199999999999999</v>
      </c>
      <c r="X75" s="10" t="s">
        <v>120</v>
      </c>
      <c r="Y75" s="10" t="s">
        <v>256</v>
      </c>
      <c r="Z75" s="21">
        <v>9.0999999999999998E-2</v>
      </c>
      <c r="AA75" s="21">
        <v>6.2E-2</v>
      </c>
      <c r="AB75" s="21">
        <v>0.105</v>
      </c>
      <c r="AC75">
        <v>116398</v>
      </c>
      <c r="AD75" s="27">
        <v>7.1428571428571426E-3</v>
      </c>
      <c r="AF75" s="24" t="s">
        <v>102</v>
      </c>
      <c r="AG75" s="24" t="s">
        <v>253</v>
      </c>
      <c r="AH75" s="24"/>
      <c r="AI75" s="25">
        <f>IF(birthdose[[#This Row],[2017]]/100=0, ,birthdose[[#This Row],[2017]]/100)</f>
        <v>0</v>
      </c>
      <c r="AK75" s="24" t="s">
        <v>102</v>
      </c>
      <c r="AL75" s="24" t="s">
        <v>254</v>
      </c>
      <c r="AM75" s="24">
        <v>97</v>
      </c>
      <c r="AN75" s="25">
        <f>IF(fullvax[[#This Row],[2017]]/100=0, ,fullvax[[#This Row],[2017]]/100)</f>
        <v>0.97</v>
      </c>
      <c r="AP75" s="20" t="s">
        <v>204</v>
      </c>
      <c r="AQ75" s="20">
        <v>0.81550272306324068</v>
      </c>
      <c r="AR75" s="20">
        <v>0.18449727693675932</v>
      </c>
      <c r="AS75" s="20">
        <v>1.2495426147663663E-2</v>
      </c>
      <c r="AT75" s="20">
        <v>0.98750457385233636</v>
      </c>
      <c r="AV75" s="8" t="s">
        <v>111</v>
      </c>
      <c r="AW75" s="11" t="s">
        <v>7</v>
      </c>
      <c r="AX75" s="41">
        <f>VLOOKUP(all_cause_mort[[#This Row],[Country]],[1]!populations[#Data],9,FALSE)*VLOOKUP(all_cause_mort[[#This Row],[Country]],[1]!birthrate[#Data],3,FALSE)</f>
        <v>1270985.2399260001</v>
      </c>
      <c r="AY75">
        <f>VLOOKUP(all_cause_mort[[Country]:[Country]],'[1]Mortality Data'!$A$2:$W$201,2,FALSE)</f>
        <v>2.4635428000000001E-2</v>
      </c>
      <c r="AZ75">
        <f>VLOOKUP(all_cause_mort[[Country]:[Country]],'[1]Mortality Data'!$A$2:$W$201,3,FALSE)</f>
        <v>1.0828681000000001E-3</v>
      </c>
      <c r="BA75">
        <f>VLOOKUP(all_cause_mort[[Country]:[Country]],'[1]Mortality Data'!$A$2:$W$201,4,FALSE)</f>
        <v>6.7936641999999999E-4</v>
      </c>
      <c r="BB75">
        <f>VLOOKUP(all_cause_mort[[Country]:[Country]],'[1]Mortality Data'!$A$2:$W$201,5,FALSE)</f>
        <v>5.6635400999999999E-4</v>
      </c>
      <c r="BC75">
        <f>VLOOKUP(all_cause_mort[[Country]:[Country]],'[1]Mortality Data'!$A$2:$W$201,6,FALSE)</f>
        <v>1.0027320999999999E-3</v>
      </c>
      <c r="BD75">
        <f>VLOOKUP(all_cause_mort[[Country]:[Country]],'[1]Mortality Data'!$A$2:$W$201,7,FALSE)</f>
        <v>1.4199783E-3</v>
      </c>
      <c r="BE75">
        <f>VLOOKUP(all_cause_mort[[Country]:[Country]],'[1]Mortality Data'!$A$2:$W$201,8,FALSE)</f>
        <v>1.5299426000000001E-3</v>
      </c>
      <c r="BF75">
        <f>VLOOKUP(all_cause_mort[[Country]:[Country]],'[1]Mortality Data'!$A$2:$W$201,9,FALSE)</f>
        <v>1.755356E-3</v>
      </c>
      <c r="BG75">
        <f>VLOOKUP(all_cause_mort[[Country]:[Country]],'[1]Mortality Data'!$A$2:$W$201,10,FALSE)</f>
        <v>2.2153839999999999E-3</v>
      </c>
      <c r="BH75">
        <f>VLOOKUP(all_cause_mort[[Country]:[Country]],'[1]Mortality Data'!$A$2:$W$201,11,FALSE)</f>
        <v>3.1134178000000001E-3</v>
      </c>
      <c r="BI75">
        <f>VLOOKUP(all_cause_mort[[Country]:[Country]],'[1]Mortality Data'!$A$2:$W$201,12,FALSE)</f>
        <v>4.7443064000000004E-3</v>
      </c>
      <c r="BJ75">
        <f>VLOOKUP(all_cause_mort[[Country]:[Country]],'[1]Mortality Data'!$A$2:$W$201,13,FALSE)</f>
        <v>7.2865326000000003E-3</v>
      </c>
      <c r="BK75">
        <f>VLOOKUP(all_cause_mort[[Country]:[Country]],'[1]Mortality Data'!$A$2:$W$201,14,FALSE)</f>
        <v>1.1370742E-2</v>
      </c>
      <c r="BL75">
        <f>VLOOKUP(all_cause_mort[[Country]:[Country]],'[1]Mortality Data'!$A$2:$W$201,15,FALSE)</f>
        <v>1.7938559999999999E-2</v>
      </c>
      <c r="BM75">
        <f>VLOOKUP(all_cause_mort[[Country]:[Country]],'[1]Mortality Data'!$A$2:$W$201,16,FALSE)</f>
        <v>2.9109152999999999E-2</v>
      </c>
      <c r="BN75">
        <f>VLOOKUP(all_cause_mort[[Country]:[Country]],'[1]Mortality Data'!$A$2:$W$201,17,FALSE)</f>
        <v>4.8005051999999999E-2</v>
      </c>
      <c r="BO75">
        <f>VLOOKUP(all_cause_mort[[Country]:[Country]],'[1]Mortality Data'!$A$2:$W$201,18,FALSE)</f>
        <v>7.8693476999999998E-2</v>
      </c>
      <c r="BP75">
        <f>VLOOKUP(all_cause_mort[[Country]:[Country]],'[1]Mortality Data'!$A$2:$W$201,19,FALSE)</f>
        <v>0.1295413</v>
      </c>
      <c r="BQ75">
        <f>VLOOKUP(all_cause_mort[[Country]:[Country]],'[1]Mortality Data'!$A$2:$W$201,20,FALSE)</f>
        <v>0.20400732999999999</v>
      </c>
      <c r="BR75">
        <f>VLOOKUP(all_cause_mort[[Country]:[Country]],'[1]Mortality Data'!$A$2:$W$201,21,FALSE)</f>
        <v>0.30477734000000001</v>
      </c>
      <c r="BS75">
        <f>VLOOKUP(all_cause_mort[[Country]:[Country]],'[1]Mortality Data'!$A$2:$W$201,22,FALSE)</f>
        <v>0.42581627999999999</v>
      </c>
      <c r="BT75">
        <f>VLOOKUP(all_cause_mort[[Country]:[Country]],'[1]Mortality Data'!$A$2:$W$201,23,FALSE)</f>
        <v>0.51775340171751205</v>
      </c>
      <c r="BU75" s="39" t="e">
        <f>VLOOKUP(all_cause_mort[[#This Row],[Country]],[2]!regions[#Data],3,FALSE)</f>
        <v>#REF!</v>
      </c>
    </row>
    <row r="76" spans="1:73" x14ac:dyDescent="0.35">
      <c r="A76" t="s">
        <v>89</v>
      </c>
      <c r="B76">
        <v>859950</v>
      </c>
      <c r="C76">
        <v>867086</v>
      </c>
      <c r="D76">
        <v>873596</v>
      </c>
      <c r="E76">
        <v>879715</v>
      </c>
      <c r="F76">
        <v>885806</v>
      </c>
      <c r="G76">
        <v>892149</v>
      </c>
      <c r="H76">
        <v>898760</v>
      </c>
      <c r="I76">
        <v>905502</v>
      </c>
      <c r="K76" t="s">
        <v>89</v>
      </c>
      <c r="L76">
        <v>19.387</v>
      </c>
      <c r="M76">
        <f>birthrate[[#This Row],[2016]]/1000</f>
        <v>1.9387000000000001E-2</v>
      </c>
      <c r="O76" t="s">
        <v>117</v>
      </c>
      <c r="P76">
        <v>98.8</v>
      </c>
      <c r="Q76">
        <f>facility[[#This Row],[Facility (%)]]/100</f>
        <v>0.98799999999999999</v>
      </c>
      <c r="S76" t="s">
        <v>106</v>
      </c>
      <c r="T76">
        <v>2016</v>
      </c>
      <c r="U76">
        <v>97.9</v>
      </c>
      <c r="V76">
        <f>SBA[[#This Row],[SBA (%)]]/100</f>
        <v>0.97900000000000009</v>
      </c>
      <c r="X76" s="13" t="s">
        <v>121</v>
      </c>
      <c r="Y76" s="13" t="s">
        <v>256</v>
      </c>
      <c r="Z76" s="26">
        <v>1.7999999999999999E-2</v>
      </c>
      <c r="AA76" s="26">
        <v>1.0999999999999999E-2</v>
      </c>
      <c r="AB76" s="26">
        <v>2.4E-2</v>
      </c>
      <c r="AC76">
        <v>4136528</v>
      </c>
      <c r="AD76" s="27">
        <v>3.0612244897959195E-3</v>
      </c>
      <c r="AF76" s="24" t="s">
        <v>103</v>
      </c>
      <c r="AG76" s="24" t="s">
        <v>253</v>
      </c>
      <c r="AH76" s="24"/>
      <c r="AI76" s="25">
        <f>IF(birthdose[[#This Row],[2017]]/100=0, ,birthdose[[#This Row],[2017]]/100)</f>
        <v>0</v>
      </c>
      <c r="AK76" s="24" t="s">
        <v>103</v>
      </c>
      <c r="AL76" s="24" t="s">
        <v>254</v>
      </c>
      <c r="AM76" s="24">
        <v>58</v>
      </c>
      <c r="AN76" s="25">
        <f>IF(fullvax[[#This Row],[2017]]/100=0, ,fullvax[[#This Row],[2017]]/100)</f>
        <v>0.57999999999999996</v>
      </c>
      <c r="AP76" s="20" t="s">
        <v>207</v>
      </c>
      <c r="AQ76" s="20">
        <v>1</v>
      </c>
      <c r="AR76" s="20">
        <v>0</v>
      </c>
      <c r="AS76" s="20">
        <v>8.5009323388385724E-2</v>
      </c>
      <c r="AT76" s="20">
        <v>0.91499067661161426</v>
      </c>
      <c r="AV76" s="8" t="s">
        <v>115</v>
      </c>
      <c r="AW76" s="11" t="s">
        <v>23</v>
      </c>
      <c r="AX76" s="41">
        <f>VLOOKUP(all_cause_mort[[#This Row],[Country]],[1]!populations[#Data],9,FALSE)*VLOOKUP(all_cause_mort[[#This Row],[Country]],[1]!birthrate[#Data],3,FALSE)</f>
        <v>48062.782071000001</v>
      </c>
      <c r="AY76">
        <f>VLOOKUP(all_cause_mort[[Country]:[Country]],'[1]Mortality Data'!$A$2:$W$201,2,FALSE)</f>
        <v>1.1901406E-2</v>
      </c>
      <c r="AZ76">
        <f>VLOOKUP(all_cause_mort[[Country]:[Country]],'[1]Mortality Data'!$A$2:$W$201,3,FALSE)</f>
        <v>8.0959482000000004E-4</v>
      </c>
      <c r="BA76">
        <f>VLOOKUP(all_cause_mort[[Country]:[Country]],'[1]Mortality Data'!$A$2:$W$201,4,FALSE)</f>
        <v>3.4340366000000001E-4</v>
      </c>
      <c r="BB76">
        <f>VLOOKUP(all_cause_mort[[Country]:[Country]],'[1]Mortality Data'!$A$2:$W$201,5,FALSE)</f>
        <v>3.274029E-4</v>
      </c>
      <c r="BC76">
        <f>VLOOKUP(all_cause_mort[[Country]:[Country]],'[1]Mortality Data'!$A$2:$W$201,6,FALSE)</f>
        <v>7.9032715000000001E-4</v>
      </c>
      <c r="BD76">
        <f>VLOOKUP(all_cause_mort[[Country]:[Country]],'[1]Mortality Data'!$A$2:$W$201,7,FALSE)</f>
        <v>1.0808790000000001E-3</v>
      </c>
      <c r="BE76">
        <f>VLOOKUP(all_cause_mort[[Country]:[Country]],'[1]Mortality Data'!$A$2:$W$201,8,FALSE)</f>
        <v>1.15127E-3</v>
      </c>
      <c r="BF76">
        <f>VLOOKUP(all_cause_mort[[Country]:[Country]],'[1]Mortality Data'!$A$2:$W$201,9,FALSE)</f>
        <v>1.3782359000000001E-3</v>
      </c>
      <c r="BG76">
        <f>VLOOKUP(all_cause_mort[[Country]:[Country]],'[1]Mortality Data'!$A$2:$W$201,10,FALSE)</f>
        <v>1.867023E-3</v>
      </c>
      <c r="BH76">
        <f>VLOOKUP(all_cause_mort[[Country]:[Country]],'[1]Mortality Data'!$A$2:$W$201,11,FALSE)</f>
        <v>2.7348458999999999E-3</v>
      </c>
      <c r="BI76">
        <f>VLOOKUP(all_cause_mort[[Country]:[Country]],'[1]Mortality Data'!$A$2:$W$201,12,FALSE)</f>
        <v>4.2585543999999996E-3</v>
      </c>
      <c r="BJ76">
        <f>VLOOKUP(all_cause_mort[[Country]:[Country]],'[1]Mortality Data'!$A$2:$W$201,13,FALSE)</f>
        <v>6.6707028999999996E-3</v>
      </c>
      <c r="BK76">
        <f>VLOOKUP(all_cause_mort[[Country]:[Country]],'[1]Mortality Data'!$A$2:$W$201,14,FALSE)</f>
        <v>1.0353784E-2</v>
      </c>
      <c r="BL76">
        <f>VLOOKUP(all_cause_mort[[Country]:[Country]],'[1]Mortality Data'!$A$2:$W$201,15,FALSE)</f>
        <v>1.4655764E-2</v>
      </c>
      <c r="BM76">
        <f>VLOOKUP(all_cause_mort[[Country]:[Country]],'[1]Mortality Data'!$A$2:$W$201,16,FALSE)</f>
        <v>2.1023297E-2</v>
      </c>
      <c r="BN76">
        <f>VLOOKUP(all_cause_mort[[Country]:[Country]],'[1]Mortality Data'!$A$2:$W$201,17,FALSE)</f>
        <v>3.2577999000000003E-2</v>
      </c>
      <c r="BO76">
        <f>VLOOKUP(all_cause_mort[[Country]:[Country]],'[1]Mortality Data'!$A$2:$W$201,18,FALSE)</f>
        <v>5.4998089E-2</v>
      </c>
      <c r="BP76">
        <f>VLOOKUP(all_cause_mort[[Country]:[Country]],'[1]Mortality Data'!$A$2:$W$201,19,FALSE)</f>
        <v>9.1971010000000006E-2</v>
      </c>
      <c r="BQ76">
        <f>VLOOKUP(all_cause_mort[[Country]:[Country]],'[1]Mortality Data'!$A$2:$W$201,20,FALSE)</f>
        <v>0.1500176</v>
      </c>
      <c r="BR76">
        <f>VLOOKUP(all_cause_mort[[Country]:[Country]],'[1]Mortality Data'!$A$2:$W$201,21,FALSE)</f>
        <v>0.22883766999999999</v>
      </c>
      <c r="BS76">
        <f>VLOOKUP(all_cause_mort[[Country]:[Country]],'[1]Mortality Data'!$A$2:$W$201,22,FALSE)</f>
        <v>0.32691923000000001</v>
      </c>
      <c r="BT76">
        <f>VLOOKUP(all_cause_mort[[Country]:[Country]],'[1]Mortality Data'!$A$2:$W$201,23,FALSE)</f>
        <v>0.43760282572397402</v>
      </c>
      <c r="BU76" s="39" t="e">
        <f>VLOOKUP(all_cause_mort[[#This Row],[Country]],[2]!regions[#Data],3,FALSE)</f>
        <v>#REF!</v>
      </c>
    </row>
    <row r="77" spans="1:73" x14ac:dyDescent="0.35">
      <c r="A77" t="s">
        <v>91</v>
      </c>
      <c r="B77">
        <v>65027507</v>
      </c>
      <c r="C77">
        <v>65342775</v>
      </c>
      <c r="D77">
        <v>65659789</v>
      </c>
      <c r="E77">
        <v>65998660</v>
      </c>
      <c r="F77">
        <v>66316092</v>
      </c>
      <c r="G77">
        <v>66593366</v>
      </c>
      <c r="H77">
        <v>66859768</v>
      </c>
      <c r="I77">
        <v>67118648</v>
      </c>
      <c r="K77" t="s">
        <v>91</v>
      </c>
      <c r="L77">
        <v>11.7</v>
      </c>
      <c r="M77">
        <f>birthrate[[#This Row],[2016]]/1000</f>
        <v>1.1699999999999999E-2</v>
      </c>
      <c r="O77" t="s">
        <v>118</v>
      </c>
      <c r="P77">
        <v>99.3</v>
      </c>
      <c r="Q77">
        <f>facility[[#This Row],[Facility (%)]]/100</f>
        <v>0.99299999999999999</v>
      </c>
      <c r="S77" t="s">
        <v>107</v>
      </c>
      <c r="T77" t="s">
        <v>258</v>
      </c>
      <c r="U77">
        <v>85.7</v>
      </c>
      <c r="V77">
        <f>SBA[[#This Row],[SBA (%)]]/100</f>
        <v>0.85699999999999998</v>
      </c>
      <c r="X77" s="13" t="s">
        <v>122</v>
      </c>
      <c r="Y77" s="13" t="s">
        <v>252</v>
      </c>
      <c r="Z77" s="26">
        <v>0.1032</v>
      </c>
      <c r="AA77" s="26">
        <v>8.5599999999999996E-2</v>
      </c>
      <c r="AB77" s="26">
        <v>0.12379999999999999</v>
      </c>
      <c r="AC77" s="22">
        <v>5447900</v>
      </c>
      <c r="AD77" s="27">
        <v>1.0510204081632649E-2</v>
      </c>
      <c r="AF77" s="24" t="s">
        <v>104</v>
      </c>
      <c r="AG77" s="24" t="s">
        <v>253</v>
      </c>
      <c r="AH77" s="24">
        <v>80</v>
      </c>
      <c r="AI77" s="25">
        <f>IF(birthdose[[#This Row],[2017]]/100=0, ,birthdose[[#This Row],[2017]]/100)</f>
        <v>0.8</v>
      </c>
      <c r="AK77" s="24" t="s">
        <v>104</v>
      </c>
      <c r="AL77" s="24" t="s">
        <v>254</v>
      </c>
      <c r="AM77" s="24">
        <v>97</v>
      </c>
      <c r="AN77" s="25">
        <f>IF(fullvax[[#This Row],[2017]]/100=0, ,fullvax[[#This Row],[2017]]/100)</f>
        <v>0.97</v>
      </c>
      <c r="AP77" s="20" t="s">
        <v>211</v>
      </c>
      <c r="AQ77" s="20">
        <v>0.97471462631641759</v>
      </c>
      <c r="AR77" s="20">
        <v>2.5285373683582413E-2</v>
      </c>
      <c r="AS77" s="20">
        <v>4.6331060418165898E-2</v>
      </c>
      <c r="AT77" s="20">
        <v>0.95366893958183407</v>
      </c>
      <c r="AV77" s="8" t="s">
        <v>117</v>
      </c>
      <c r="AW77" s="11" t="s">
        <v>7</v>
      </c>
      <c r="AX77" s="41">
        <f>VLOOKUP(all_cause_mort[[#This Row],[Country]],[1]!populations[#Data],9,FALSE)*VLOOKUP(all_cause_mort[[#This Row],[Country]],[1]!birthrate[#Data],3,FALSE)</f>
        <v>256811.581557</v>
      </c>
      <c r="AY77">
        <f>VLOOKUP(all_cause_mort[[Country]:[Country]],'[1]Mortality Data'!$A$2:$W$201,2,FALSE)</f>
        <v>1.4830437E-2</v>
      </c>
      <c r="AZ77">
        <f>VLOOKUP(all_cause_mort[[Country]:[Country]],'[1]Mortality Data'!$A$2:$W$201,3,FALSE)</f>
        <v>6.1055954E-4</v>
      </c>
      <c r="BA77">
        <f>VLOOKUP(all_cause_mort[[Country]:[Country]],'[1]Mortality Data'!$A$2:$W$201,4,FALSE)</f>
        <v>3.2855490999999999E-4</v>
      </c>
      <c r="BB77">
        <f>VLOOKUP(all_cause_mort[[Country]:[Country]],'[1]Mortality Data'!$A$2:$W$201,5,FALSE)</f>
        <v>2.7595562E-4</v>
      </c>
      <c r="BC77">
        <f>VLOOKUP(all_cause_mort[[Country]:[Country]],'[1]Mortality Data'!$A$2:$W$201,6,FALSE)</f>
        <v>5.1262479999999999E-4</v>
      </c>
      <c r="BD77">
        <f>VLOOKUP(all_cause_mort[[Country]:[Country]],'[1]Mortality Data'!$A$2:$W$201,7,FALSE)</f>
        <v>7.1736133E-4</v>
      </c>
      <c r="BE77">
        <f>VLOOKUP(all_cause_mort[[Country]:[Country]],'[1]Mortality Data'!$A$2:$W$201,8,FALSE)</f>
        <v>7.7324589999999997E-4</v>
      </c>
      <c r="BF77">
        <f>VLOOKUP(all_cause_mort[[Country]:[Country]],'[1]Mortality Data'!$A$2:$W$201,9,FALSE)</f>
        <v>9.1262627000000005E-4</v>
      </c>
      <c r="BG77">
        <f>VLOOKUP(all_cause_mort[[Country]:[Country]],'[1]Mortality Data'!$A$2:$W$201,10,FALSE)</f>
        <v>1.2259897000000001E-3</v>
      </c>
      <c r="BH77">
        <f>VLOOKUP(all_cause_mort[[Country]:[Country]],'[1]Mortality Data'!$A$2:$W$201,11,FALSE)</f>
        <v>1.8592203000000001E-3</v>
      </c>
      <c r="BI77">
        <f>VLOOKUP(all_cause_mort[[Country]:[Country]],'[1]Mortality Data'!$A$2:$W$201,12,FALSE)</f>
        <v>3.1346363000000002E-3</v>
      </c>
      <c r="BJ77">
        <f>VLOOKUP(all_cause_mort[[Country]:[Country]],'[1]Mortality Data'!$A$2:$W$201,13,FALSE)</f>
        <v>5.1328703999999996E-3</v>
      </c>
      <c r="BK77">
        <f>VLOOKUP(all_cause_mort[[Country]:[Country]],'[1]Mortality Data'!$A$2:$W$201,14,FALSE)</f>
        <v>8.5350900000000004E-3</v>
      </c>
      <c r="BL77">
        <f>VLOOKUP(all_cause_mort[[Country]:[Country]],'[1]Mortality Data'!$A$2:$W$201,15,FALSE)</f>
        <v>1.3821190000000001E-2</v>
      </c>
      <c r="BM77">
        <f>VLOOKUP(all_cause_mort[[Country]:[Country]],'[1]Mortality Data'!$A$2:$W$201,16,FALSE)</f>
        <v>2.3326461E-2</v>
      </c>
      <c r="BN77">
        <f>VLOOKUP(all_cause_mort[[Country]:[Country]],'[1]Mortality Data'!$A$2:$W$201,17,FALSE)</f>
        <v>3.9570833999999999E-2</v>
      </c>
      <c r="BO77">
        <f>VLOOKUP(all_cause_mort[[Country]:[Country]],'[1]Mortality Data'!$A$2:$W$201,18,FALSE)</f>
        <v>6.6974896000000006E-2</v>
      </c>
      <c r="BP77">
        <f>VLOOKUP(all_cause_mort[[Country]:[Country]],'[1]Mortality Data'!$A$2:$W$201,19,FALSE)</f>
        <v>0.11460426</v>
      </c>
      <c r="BQ77">
        <f>VLOOKUP(all_cause_mort[[Country]:[Country]],'[1]Mortality Data'!$A$2:$W$201,20,FALSE)</f>
        <v>0.18476210000000001</v>
      </c>
      <c r="BR77">
        <f>VLOOKUP(all_cause_mort[[Country]:[Country]],'[1]Mortality Data'!$A$2:$W$201,21,FALSE)</f>
        <v>0.28240272999999999</v>
      </c>
      <c r="BS77">
        <f>VLOOKUP(all_cause_mort[[Country]:[Country]],'[1]Mortality Data'!$A$2:$W$201,22,FALSE)</f>
        <v>0.40063808000000001</v>
      </c>
      <c r="BT77">
        <f>VLOOKUP(all_cause_mort[[Country]:[Country]],'[1]Mortality Data'!$A$2:$W$201,23,FALSE)</f>
        <v>0.55497890164458596</v>
      </c>
      <c r="BU77" s="39" t="e">
        <f>VLOOKUP(all_cause_mort[[#This Row],[Country]],[2]!regions[#Data],3,FALSE)</f>
        <v>#REF!</v>
      </c>
    </row>
    <row r="78" spans="1:73" x14ac:dyDescent="0.35">
      <c r="A78" t="s">
        <v>302</v>
      </c>
      <c r="B78">
        <v>48550</v>
      </c>
      <c r="C78">
        <v>48608</v>
      </c>
      <c r="D78">
        <v>48666</v>
      </c>
      <c r="E78">
        <v>48747</v>
      </c>
      <c r="F78">
        <v>48842</v>
      </c>
      <c r="G78">
        <v>48965</v>
      </c>
      <c r="H78">
        <v>49117</v>
      </c>
      <c r="I78">
        <v>49290</v>
      </c>
      <c r="K78" t="s">
        <v>302</v>
      </c>
      <c r="L78">
        <v>13.6</v>
      </c>
      <c r="M78">
        <f>birthrate[[#This Row],[2016]]/1000</f>
        <v>1.3599999999999999E-2</v>
      </c>
      <c r="O78" t="s">
        <v>119</v>
      </c>
      <c r="P78">
        <v>61.2</v>
      </c>
      <c r="Q78">
        <f>facility[[#This Row],[Facility (%)]]/100</f>
        <v>0.61199999999999999</v>
      </c>
      <c r="S78" t="s">
        <v>108</v>
      </c>
      <c r="T78">
        <v>2016</v>
      </c>
      <c r="U78">
        <v>92.6</v>
      </c>
      <c r="V78">
        <f>SBA[[#This Row],[SBA (%)]]/100</f>
        <v>0.92599999999999993</v>
      </c>
      <c r="X78" s="10" t="s">
        <v>123</v>
      </c>
      <c r="Y78" s="10" t="s">
        <v>256</v>
      </c>
      <c r="Z78" s="21">
        <v>3.6999999999999998E-2</v>
      </c>
      <c r="AA78" s="21">
        <v>3.3000000000000002E-2</v>
      </c>
      <c r="AB78" s="21">
        <v>4.5999999999999999E-2</v>
      </c>
      <c r="AC78">
        <v>6858160</v>
      </c>
      <c r="AD78" s="27">
        <v>4.591836734693878E-3</v>
      </c>
      <c r="AF78" s="24" t="s">
        <v>105</v>
      </c>
      <c r="AG78" s="24" t="s">
        <v>253</v>
      </c>
      <c r="AH78" s="24"/>
      <c r="AI78" s="25">
        <f>IF(birthdose[[#This Row],[2017]]/100=0, ,birthdose[[#This Row],[2017]]/100)</f>
        <v>0</v>
      </c>
      <c r="AK78" s="24" t="s">
        <v>105</v>
      </c>
      <c r="AL78" s="24" t="s">
        <v>254</v>
      </c>
      <c r="AM78" s="24"/>
      <c r="AN78" s="25">
        <f>IF(fullvax[[#This Row],[2017]]/100=0, ,fullvax[[#This Row],[2017]]/100)</f>
        <v>0</v>
      </c>
      <c r="AP78" s="20" t="s">
        <v>212</v>
      </c>
      <c r="AQ78" s="20">
        <v>1</v>
      </c>
      <c r="AR78" s="20">
        <v>0</v>
      </c>
      <c r="AS78" s="20">
        <v>0.1465915874444256</v>
      </c>
      <c r="AT78" s="20">
        <v>0.85340841255557442</v>
      </c>
      <c r="AV78" s="12" t="s">
        <v>118</v>
      </c>
      <c r="AW78" s="14" t="s">
        <v>11</v>
      </c>
      <c r="AX78" s="41">
        <f>VLOOKUP(all_cause_mort[[#This Row],[Country]],[1]!populations[#Data],9,FALSE)*VLOOKUP(all_cause_mort[[#This Row],[Country]],[1]!birthrate[#Data],3,FALSE)</f>
        <v>406207.78791999997</v>
      </c>
      <c r="AY78">
        <f>VLOOKUP(all_cause_mort[[Country]:[Country]],'[1]Mortality Data'!$A$2:$W$201,2,FALSE)</f>
        <v>7.7288879999999997E-3</v>
      </c>
      <c r="AZ78">
        <f>VLOOKUP(all_cause_mort[[Country]:[Country]],'[1]Mortality Data'!$A$2:$W$201,3,FALSE)</f>
        <v>5.5953120999999997E-4</v>
      </c>
      <c r="BA78">
        <f>VLOOKUP(all_cause_mort[[Country]:[Country]],'[1]Mortality Data'!$A$2:$W$201,4,FALSE)</f>
        <v>2.7372688999999998E-4</v>
      </c>
      <c r="BB78">
        <f>VLOOKUP(all_cause_mort[[Country]:[Country]],'[1]Mortality Data'!$A$2:$W$201,5,FALSE)</f>
        <v>2.9309212999999997E-4</v>
      </c>
      <c r="BC78">
        <f>VLOOKUP(all_cause_mort[[Country]:[Country]],'[1]Mortality Data'!$A$2:$W$201,6,FALSE)</f>
        <v>5.9136889000000002E-4</v>
      </c>
      <c r="BD78">
        <f>VLOOKUP(all_cause_mort[[Country]:[Country]],'[1]Mortality Data'!$A$2:$W$201,7,FALSE)</f>
        <v>8.6980911000000003E-4</v>
      </c>
      <c r="BE78">
        <f>VLOOKUP(all_cause_mort[[Country]:[Country]],'[1]Mortality Data'!$A$2:$W$201,8,FALSE)</f>
        <v>1.1352812E-3</v>
      </c>
      <c r="BF78">
        <f>VLOOKUP(all_cause_mort[[Country]:[Country]],'[1]Mortality Data'!$A$2:$W$201,9,FALSE)</f>
        <v>1.7432176E-3</v>
      </c>
      <c r="BG78">
        <f>VLOOKUP(all_cause_mort[[Country]:[Country]],'[1]Mortality Data'!$A$2:$W$201,10,FALSE)</f>
        <v>2.7831562999999998E-3</v>
      </c>
      <c r="BH78">
        <f>VLOOKUP(all_cause_mort[[Country]:[Country]],'[1]Mortality Data'!$A$2:$W$201,11,FALSE)</f>
        <v>3.8465075E-3</v>
      </c>
      <c r="BI78">
        <f>VLOOKUP(all_cause_mort[[Country]:[Country]],'[1]Mortality Data'!$A$2:$W$201,12,FALSE)</f>
        <v>5.1737381000000002E-3</v>
      </c>
      <c r="BJ78">
        <f>VLOOKUP(all_cause_mort[[Country]:[Country]],'[1]Mortality Data'!$A$2:$W$201,13,FALSE)</f>
        <v>7.2727210999999998E-3</v>
      </c>
      <c r="BK78">
        <f>VLOOKUP(all_cause_mort[[Country]:[Country]],'[1]Mortality Data'!$A$2:$W$201,14,FALSE)</f>
        <v>1.1002101E-2</v>
      </c>
      <c r="BL78">
        <f>VLOOKUP(all_cause_mort[[Country]:[Country]],'[1]Mortality Data'!$A$2:$W$201,15,FALSE)</f>
        <v>1.7208781999999999E-2</v>
      </c>
      <c r="BM78">
        <f>VLOOKUP(all_cause_mort[[Country]:[Country]],'[1]Mortality Data'!$A$2:$W$201,16,FALSE)</f>
        <v>2.6282600999999999E-2</v>
      </c>
      <c r="BN78">
        <f>VLOOKUP(all_cause_mort[[Country]:[Country]],'[1]Mortality Data'!$A$2:$W$201,17,FALSE)</f>
        <v>3.7711517E-2</v>
      </c>
      <c r="BO78">
        <f>VLOOKUP(all_cause_mort[[Country]:[Country]],'[1]Mortality Data'!$A$2:$W$201,18,FALSE)</f>
        <v>6.2512025999999998E-2</v>
      </c>
      <c r="BP78">
        <f>VLOOKUP(all_cause_mort[[Country]:[Country]],'[1]Mortality Data'!$A$2:$W$201,19,FALSE)</f>
        <v>9.9659063000000006E-2</v>
      </c>
      <c r="BQ78">
        <f>VLOOKUP(all_cause_mort[[Country]:[Country]],'[1]Mortality Data'!$A$2:$W$201,20,FALSE)</f>
        <v>0.15727260000000001</v>
      </c>
      <c r="BR78">
        <f>VLOOKUP(all_cause_mort[[Country]:[Country]],'[1]Mortality Data'!$A$2:$W$201,21,FALSE)</f>
        <v>0.24327615999999999</v>
      </c>
      <c r="BS78">
        <f>VLOOKUP(all_cause_mort[[Country]:[Country]],'[1]Mortality Data'!$A$2:$W$201,22,FALSE)</f>
        <v>0.35379930999999998</v>
      </c>
      <c r="BT78">
        <f>VLOOKUP(all_cause_mort[[Country]:[Country]],'[1]Mortality Data'!$A$2:$W$201,23,FALSE)</f>
        <v>0.49623223271505301</v>
      </c>
      <c r="BU78" s="39" t="e">
        <f>VLOOKUP(all_cause_mort[[#This Row],[Country]],[2]!regions[#Data],3,FALSE)</f>
        <v>#REF!</v>
      </c>
    </row>
    <row r="79" spans="1:73" x14ac:dyDescent="0.35">
      <c r="A79" t="s">
        <v>303</v>
      </c>
      <c r="B79">
        <v>103616</v>
      </c>
      <c r="C79">
        <v>103468</v>
      </c>
      <c r="D79">
        <v>103503</v>
      </c>
      <c r="E79">
        <v>103702</v>
      </c>
      <c r="F79">
        <v>104015</v>
      </c>
      <c r="G79">
        <v>104433</v>
      </c>
      <c r="H79">
        <v>104937</v>
      </c>
      <c r="I79">
        <v>105544</v>
      </c>
      <c r="K79" t="s">
        <v>303</v>
      </c>
      <c r="L79">
        <v>23.707999999999998</v>
      </c>
      <c r="M79">
        <f>birthrate[[#This Row],[2016]]/1000</f>
        <v>2.3708E-2</v>
      </c>
      <c r="O79" t="s">
        <v>120</v>
      </c>
      <c r="P79">
        <v>65.900000000000006</v>
      </c>
      <c r="Q79">
        <f>facility[[#This Row],[Facility (%)]]/100</f>
        <v>0.65900000000000003</v>
      </c>
      <c r="S79" t="s">
        <v>110</v>
      </c>
      <c r="T79">
        <v>2014</v>
      </c>
      <c r="U79">
        <v>99</v>
      </c>
      <c r="V79">
        <f>SBA[[#This Row],[SBA (%)]]/100</f>
        <v>0.99</v>
      </c>
      <c r="X79" s="13" t="s">
        <v>125</v>
      </c>
      <c r="Y79" s="13" t="s">
        <v>256</v>
      </c>
      <c r="Z79" s="26">
        <v>1.2E-2</v>
      </c>
      <c r="AA79" s="26">
        <v>1.0999999999999999E-2</v>
      </c>
      <c r="AB79" s="26">
        <v>1.2999999999999999E-2</v>
      </c>
      <c r="AC79">
        <v>6082357</v>
      </c>
      <c r="AD79" s="27">
        <v>5.1020408163265267E-4</v>
      </c>
      <c r="AF79" s="24" t="s">
        <v>106</v>
      </c>
      <c r="AG79" s="24" t="s">
        <v>253</v>
      </c>
      <c r="AH79" s="24"/>
      <c r="AI79" s="25">
        <f>IF(birthdose[[#This Row],[2017]]/100=0, ,birthdose[[#This Row],[2017]]/100)</f>
        <v>0</v>
      </c>
      <c r="AK79" s="24" t="s">
        <v>106</v>
      </c>
      <c r="AL79" s="24" t="s">
        <v>254</v>
      </c>
      <c r="AM79" s="24"/>
      <c r="AN79" s="25">
        <f>IF(fullvax[[#This Row],[2017]]/100=0, ,fullvax[[#This Row],[2017]]/100)</f>
        <v>0</v>
      </c>
      <c r="AP79" s="20" t="s">
        <v>221</v>
      </c>
      <c r="AQ79" s="20">
        <v>0.99626227354973906</v>
      </c>
      <c r="AR79" s="20">
        <v>3.7377264502609364E-3</v>
      </c>
      <c r="AS79" s="20">
        <v>0.11198516051870065</v>
      </c>
      <c r="AT79" s="20">
        <v>0.88801483948129933</v>
      </c>
      <c r="AV79" s="8" t="s">
        <v>119</v>
      </c>
      <c r="AW79" s="11" t="s">
        <v>15</v>
      </c>
      <c r="AX79" s="41">
        <f>VLOOKUP(all_cause_mort[[#This Row],[Country]],[1]!populations[#Data],9,FALSE)*VLOOKUP(all_cause_mort[[#This Row],[Country]],[1]!birthrate[#Data],3,FALSE)</f>
        <v>1556052.9793580002</v>
      </c>
      <c r="AY79">
        <f>VLOOKUP(all_cause_mort[[Country]:[Country]],'[1]Mortality Data'!$A$2:$W$201,2,FALSE)</f>
        <v>3.7529791999999999E-2</v>
      </c>
      <c r="AZ79">
        <f>VLOOKUP(all_cause_mort[[Country]:[Country]],'[1]Mortality Data'!$A$2:$W$201,3,FALSE)</f>
        <v>2.8986910000000001E-3</v>
      </c>
      <c r="BA79">
        <f>VLOOKUP(all_cause_mort[[Country]:[Country]],'[1]Mortality Data'!$A$2:$W$201,4,FALSE)</f>
        <v>8.9076089999999997E-4</v>
      </c>
      <c r="BB79">
        <f>VLOOKUP(all_cause_mort[[Country]:[Country]],'[1]Mortality Data'!$A$2:$W$201,5,FALSE)</f>
        <v>7.2318827000000005E-4</v>
      </c>
      <c r="BC79">
        <f>VLOOKUP(all_cause_mort[[Country]:[Country]],'[1]Mortality Data'!$A$2:$W$201,6,FALSE)</f>
        <v>1.257174E-3</v>
      </c>
      <c r="BD79">
        <f>VLOOKUP(all_cause_mort[[Country]:[Country]],'[1]Mortality Data'!$A$2:$W$201,7,FALSE)</f>
        <v>2.024648E-3</v>
      </c>
      <c r="BE79">
        <f>VLOOKUP(all_cause_mort[[Country]:[Country]],'[1]Mortality Data'!$A$2:$W$201,8,FALSE)</f>
        <v>2.7928033000000001E-3</v>
      </c>
      <c r="BF79">
        <f>VLOOKUP(all_cause_mort[[Country]:[Country]],'[1]Mortality Data'!$A$2:$W$201,9,FALSE)</f>
        <v>3.6486813000000001E-3</v>
      </c>
      <c r="BG79">
        <f>VLOOKUP(all_cause_mort[[Country]:[Country]],'[1]Mortality Data'!$A$2:$W$201,10,FALSE)</f>
        <v>4.8917763999999997E-3</v>
      </c>
      <c r="BH79">
        <f>VLOOKUP(all_cause_mort[[Country]:[Country]],'[1]Mortality Data'!$A$2:$W$201,11,FALSE)</f>
        <v>6.1679812000000004E-3</v>
      </c>
      <c r="BI79">
        <f>VLOOKUP(all_cause_mort[[Country]:[Country]],'[1]Mortality Data'!$A$2:$W$201,12,FALSE)</f>
        <v>7.7831864000000002E-3</v>
      </c>
      <c r="BJ79">
        <f>VLOOKUP(all_cause_mort[[Country]:[Country]],'[1]Mortality Data'!$A$2:$W$201,13,FALSE)</f>
        <v>1.0546425999999999E-2</v>
      </c>
      <c r="BK79">
        <f>VLOOKUP(all_cause_mort[[Country]:[Country]],'[1]Mortality Data'!$A$2:$W$201,14,FALSE)</f>
        <v>1.3756066000000001E-2</v>
      </c>
      <c r="BL79">
        <f>VLOOKUP(all_cause_mort[[Country]:[Country]],'[1]Mortality Data'!$A$2:$W$201,15,FALSE)</f>
        <v>1.9917523999999999E-2</v>
      </c>
      <c r="BM79">
        <f>VLOOKUP(all_cause_mort[[Country]:[Country]],'[1]Mortality Data'!$A$2:$W$201,16,FALSE)</f>
        <v>3.0378365000000001E-2</v>
      </c>
      <c r="BN79">
        <f>VLOOKUP(all_cause_mort[[Country]:[Country]],'[1]Mortality Data'!$A$2:$W$201,17,FALSE)</f>
        <v>4.7756075000000002E-2</v>
      </c>
      <c r="BO79">
        <f>VLOOKUP(all_cause_mort[[Country]:[Country]],'[1]Mortality Data'!$A$2:$W$201,18,FALSE)</f>
        <v>7.6853871000000004E-2</v>
      </c>
      <c r="BP79">
        <f>VLOOKUP(all_cause_mort[[Country]:[Country]],'[1]Mortality Data'!$A$2:$W$201,19,FALSE)</f>
        <v>0.12928423</v>
      </c>
      <c r="BQ79">
        <f>VLOOKUP(all_cause_mort[[Country]:[Country]],'[1]Mortality Data'!$A$2:$W$201,20,FALSE)</f>
        <v>0.21881972</v>
      </c>
      <c r="BR79">
        <f>VLOOKUP(all_cause_mort[[Country]:[Country]],'[1]Mortality Data'!$A$2:$W$201,21,FALSE)</f>
        <v>0.36676449999999999</v>
      </c>
      <c r="BS79">
        <f>VLOOKUP(all_cause_mort[[Country]:[Country]],'[1]Mortality Data'!$A$2:$W$201,22,FALSE)</f>
        <v>0.52990086000000003</v>
      </c>
      <c r="BT79">
        <f>VLOOKUP(all_cause_mort[[Country]:[Country]],'[1]Mortality Data'!$A$2:$W$201,23,FALSE)</f>
        <v>0.705950406560369</v>
      </c>
      <c r="BU79" s="39" t="e">
        <f>VLOOKUP(all_cause_mort[[#This Row],[Country]],[2]!regions[#Data],3,FALSE)</f>
        <v>#REF!</v>
      </c>
    </row>
    <row r="80" spans="1:73" x14ac:dyDescent="0.35">
      <c r="A80" t="s">
        <v>92</v>
      </c>
      <c r="B80">
        <v>1640210</v>
      </c>
      <c r="C80">
        <v>1697101</v>
      </c>
      <c r="D80">
        <v>1756817</v>
      </c>
      <c r="E80">
        <v>1817271</v>
      </c>
      <c r="F80">
        <v>1875713</v>
      </c>
      <c r="G80">
        <v>1930175</v>
      </c>
      <c r="H80">
        <v>1979786</v>
      </c>
      <c r="I80">
        <v>2025137</v>
      </c>
      <c r="K80" t="s">
        <v>92</v>
      </c>
      <c r="L80">
        <v>29.512</v>
      </c>
      <c r="M80">
        <f>birthrate[[#This Row],[2016]]/1000</f>
        <v>2.9512E-2</v>
      </c>
      <c r="O80" t="s">
        <v>121</v>
      </c>
      <c r="P80">
        <v>98.7</v>
      </c>
      <c r="Q80">
        <f>facility[[#This Row],[Facility (%)]]/100</f>
        <v>0.98699999999999999</v>
      </c>
      <c r="S80" t="s">
        <v>111</v>
      </c>
      <c r="T80">
        <v>2012</v>
      </c>
      <c r="U80">
        <v>70.400000000000006</v>
      </c>
      <c r="V80">
        <f>SBA[[#This Row],[SBA (%)]]/100</f>
        <v>0.70400000000000007</v>
      </c>
      <c r="X80" s="10" t="s">
        <v>127</v>
      </c>
      <c r="Y80" s="10" t="s">
        <v>252</v>
      </c>
      <c r="Z80" s="21">
        <v>0.17549999999999999</v>
      </c>
      <c r="AA80" s="21">
        <v>0.157</v>
      </c>
      <c r="AB80" s="21">
        <v>0.19550000000000001</v>
      </c>
      <c r="AC80" s="22">
        <v>3948125</v>
      </c>
      <c r="AD80" s="27">
        <v>1.0204081632653071E-2</v>
      </c>
      <c r="AF80" s="24" t="s">
        <v>107</v>
      </c>
      <c r="AG80" s="24" t="s">
        <v>253</v>
      </c>
      <c r="AH80" s="24">
        <v>53</v>
      </c>
      <c r="AI80" s="25">
        <f>IF(birthdose[[#This Row],[2017]]/100=0, ,birthdose[[#This Row],[2017]]/100)</f>
        <v>0.53</v>
      </c>
      <c r="AK80" s="24" t="s">
        <v>107</v>
      </c>
      <c r="AL80" s="24" t="s">
        <v>254</v>
      </c>
      <c r="AM80" s="24">
        <v>88</v>
      </c>
      <c r="AN80" s="25">
        <f>IF(fullvax[[#This Row],[2017]]/100=0, ,fullvax[[#This Row],[2017]]/100)</f>
        <v>0.88</v>
      </c>
      <c r="AP80" s="20" t="s">
        <v>224</v>
      </c>
      <c r="AQ80" s="20">
        <v>0.96219741501297695</v>
      </c>
      <c r="AR80" s="20">
        <v>3.7802584987023047E-2</v>
      </c>
      <c r="AS80" s="20">
        <v>7.0818351988649799E-3</v>
      </c>
      <c r="AT80" s="20">
        <v>0.99291816480113504</v>
      </c>
      <c r="AV80" s="12" t="s">
        <v>120</v>
      </c>
      <c r="AW80" s="14" t="s">
        <v>58</v>
      </c>
      <c r="AX80" s="41">
        <f>VLOOKUP(all_cause_mort[[#This Row],[Country]],[1]!populations[#Data],9,FALSE)*VLOOKUP(all_cause_mort[[#This Row],[Country]],[1]!birthrate[#Data],3,FALSE)</f>
        <v>3285.2171519999997</v>
      </c>
      <c r="AY80">
        <f>VLOOKUP(all_cause_mort[[Country]:[Country]],'[1]Mortality Data'!$A$2:$W$201,2,FALSE)</f>
        <v>4.4384838000000003E-2</v>
      </c>
      <c r="AZ80">
        <f>VLOOKUP(all_cause_mort[[Country]:[Country]],'[1]Mortality Data'!$A$2:$W$201,3,FALSE)</f>
        <v>2.9958557999999998E-3</v>
      </c>
      <c r="BA80">
        <f>VLOOKUP(all_cause_mort[[Country]:[Country]],'[1]Mortality Data'!$A$2:$W$201,4,FALSE)</f>
        <v>1.0128241999999999E-3</v>
      </c>
      <c r="BB80">
        <f>VLOOKUP(all_cause_mort[[Country]:[Country]],'[1]Mortality Data'!$A$2:$W$201,5,FALSE)</f>
        <v>7.7173243000000003E-4</v>
      </c>
      <c r="BC80">
        <f>VLOOKUP(all_cause_mort[[Country]:[Country]],'[1]Mortality Data'!$A$2:$W$201,6,FALSE)</f>
        <v>1.3654617999999999E-3</v>
      </c>
      <c r="BD80">
        <f>VLOOKUP(all_cause_mort[[Country]:[Country]],'[1]Mortality Data'!$A$2:$W$201,7,FALSE)</f>
        <v>1.8167158000000001E-3</v>
      </c>
      <c r="BE80">
        <f>VLOOKUP(all_cause_mort[[Country]:[Country]],'[1]Mortality Data'!$A$2:$W$201,8,FALSE)</f>
        <v>1.9412619E-3</v>
      </c>
      <c r="BF80">
        <f>VLOOKUP(all_cause_mort[[Country]:[Country]],'[1]Mortality Data'!$A$2:$W$201,9,FALSE)</f>
        <v>2.2772661E-3</v>
      </c>
      <c r="BG80">
        <f>VLOOKUP(all_cause_mort[[Country]:[Country]],'[1]Mortality Data'!$A$2:$W$201,10,FALSE)</f>
        <v>2.9875346999999998E-3</v>
      </c>
      <c r="BH80">
        <f>VLOOKUP(all_cause_mort[[Country]:[Country]],'[1]Mortality Data'!$A$2:$W$201,11,FALSE)</f>
        <v>4.1302138E-3</v>
      </c>
      <c r="BI80">
        <f>VLOOKUP(all_cause_mort[[Country]:[Country]],'[1]Mortality Data'!$A$2:$W$201,12,FALSE)</f>
        <v>6.0296665999999997E-3</v>
      </c>
      <c r="BJ80">
        <f>VLOOKUP(all_cause_mort[[Country]:[Country]],'[1]Mortality Data'!$A$2:$W$201,13,FALSE)</f>
        <v>9.0777190999999993E-3</v>
      </c>
      <c r="BK80">
        <f>VLOOKUP(all_cause_mort[[Country]:[Country]],'[1]Mortality Data'!$A$2:$W$201,14,FALSE)</f>
        <v>1.3780414E-2</v>
      </c>
      <c r="BL80">
        <f>VLOOKUP(all_cause_mort[[Country]:[Country]],'[1]Mortality Data'!$A$2:$W$201,15,FALSE)</f>
        <v>1.9522999999999999E-2</v>
      </c>
      <c r="BM80">
        <f>VLOOKUP(all_cause_mort[[Country]:[Country]],'[1]Mortality Data'!$A$2:$W$201,16,FALSE)</f>
        <v>2.7496525000000001E-2</v>
      </c>
      <c r="BN80">
        <f>VLOOKUP(all_cause_mort[[Country]:[Country]],'[1]Mortality Data'!$A$2:$W$201,17,FALSE)</f>
        <v>4.0930187E-2</v>
      </c>
      <c r="BO80">
        <f>VLOOKUP(all_cause_mort[[Country]:[Country]],'[1]Mortality Data'!$A$2:$W$201,18,FALSE)</f>
        <v>6.5207473000000002E-2</v>
      </c>
      <c r="BP80">
        <f>VLOOKUP(all_cause_mort[[Country]:[Country]],'[1]Mortality Data'!$A$2:$W$201,19,FALSE)</f>
        <v>0.10302943000000001</v>
      </c>
      <c r="BQ80">
        <f>VLOOKUP(all_cause_mort[[Country]:[Country]],'[1]Mortality Data'!$A$2:$W$201,20,FALSE)</f>
        <v>0.15319373</v>
      </c>
      <c r="BR80">
        <f>VLOOKUP(all_cause_mort[[Country]:[Country]],'[1]Mortality Data'!$A$2:$W$201,21,FALSE)</f>
        <v>0.20799517000000001</v>
      </c>
      <c r="BS80">
        <f>VLOOKUP(all_cause_mort[[Country]:[Country]],'[1]Mortality Data'!$A$2:$W$201,22,FALSE)</f>
        <v>0.28025011999999999</v>
      </c>
      <c r="BT80">
        <f>VLOOKUP(all_cause_mort[[Country]:[Country]],'[1]Mortality Data'!$A$2:$W$201,23,FALSE)</f>
        <v>0.36926090546540502</v>
      </c>
      <c r="BU80" s="39" t="e">
        <f>VLOOKUP(all_cause_mort[[#This Row],[Country]],[2]!regions[#Data],3,FALSE)</f>
        <v>#REF!</v>
      </c>
    </row>
    <row r="81" spans="1:73" x14ac:dyDescent="0.35">
      <c r="A81" t="s">
        <v>214</v>
      </c>
      <c r="B81">
        <v>62766365</v>
      </c>
      <c r="C81">
        <v>63258918</v>
      </c>
      <c r="D81">
        <v>63700300</v>
      </c>
      <c r="E81">
        <v>64128226</v>
      </c>
      <c r="F81">
        <v>64613160</v>
      </c>
      <c r="G81">
        <v>65128861</v>
      </c>
      <c r="H81">
        <v>65595565</v>
      </c>
      <c r="I81">
        <v>66022273</v>
      </c>
      <c r="K81" t="s">
        <v>214</v>
      </c>
      <c r="L81">
        <v>11.8</v>
      </c>
      <c r="M81">
        <f>birthrate[[#This Row],[2016]]/1000</f>
        <v>1.1800000000000001E-2</v>
      </c>
      <c r="O81" t="s">
        <v>122</v>
      </c>
      <c r="P81">
        <v>98.3</v>
      </c>
      <c r="Q81">
        <f>facility[[#This Row],[Facility (%)]]/100</f>
        <v>0.98299999999999998</v>
      </c>
      <c r="S81" t="s">
        <v>112</v>
      </c>
      <c r="T81">
        <v>2015</v>
      </c>
      <c r="U81">
        <v>99.7</v>
      </c>
      <c r="V81">
        <f>SBA[[#This Row],[SBA (%)]]/100</f>
        <v>0.997</v>
      </c>
      <c r="X81" s="10" t="s">
        <v>128</v>
      </c>
      <c r="Y81" s="10" t="s">
        <v>256</v>
      </c>
      <c r="Z81" s="21">
        <v>1.4999999999999999E-2</v>
      </c>
      <c r="AA81" s="21">
        <v>1.4E-2</v>
      </c>
      <c r="AB81" s="21">
        <v>1.7999999999999999E-2</v>
      </c>
      <c r="AC81">
        <v>6374616</v>
      </c>
      <c r="AD81" s="27">
        <v>1.5306122448979589E-3</v>
      </c>
      <c r="AF81" s="24" t="s">
        <v>108</v>
      </c>
      <c r="AG81" s="24" t="s">
        <v>253</v>
      </c>
      <c r="AH81" s="24">
        <v>32</v>
      </c>
      <c r="AI81" s="25">
        <f>IF(birthdose[[#This Row],[2017]]/100=0, ,birthdose[[#This Row],[2017]]/100)</f>
        <v>0.32</v>
      </c>
      <c r="AK81" s="24" t="s">
        <v>108</v>
      </c>
      <c r="AL81" s="24" t="s">
        <v>254</v>
      </c>
      <c r="AM81" s="24">
        <v>79</v>
      </c>
      <c r="AN81" s="25">
        <f>IF(fullvax[[#This Row],[2017]]/100=0, ,fullvax[[#This Row],[2017]]/100)</f>
        <v>0.79</v>
      </c>
      <c r="AP81" s="20" t="s">
        <v>304</v>
      </c>
      <c r="AQ81" s="20">
        <v>0.98997130670754252</v>
      </c>
      <c r="AR81" s="20">
        <v>1.002869329245748E-2</v>
      </c>
      <c r="AS81" s="20">
        <v>4.3584363714494243E-2</v>
      </c>
      <c r="AT81" s="20">
        <v>0.95641563628550574</v>
      </c>
      <c r="AV81" s="8" t="s">
        <v>121</v>
      </c>
      <c r="AW81" s="11" t="s">
        <v>7</v>
      </c>
      <c r="AX81" s="41">
        <f>VLOOKUP(all_cause_mort[[#This Row],[Country]],[1]!populations[#Data],9,FALSE)*VLOOKUP(all_cause_mort[[#This Row],[Country]],[1]!birthrate[#Data],3,FALSE)</f>
        <v>67905.243648000003</v>
      </c>
      <c r="AY81">
        <f>VLOOKUP(all_cause_mort[[Country]:[Country]],'[1]Mortality Data'!$A$2:$W$201,2,FALSE)</f>
        <v>7.1672714000000004E-3</v>
      </c>
      <c r="AZ81">
        <f>VLOOKUP(all_cause_mort[[Country]:[Country]],'[1]Mortality Data'!$A$2:$W$201,3,FALSE)</f>
        <v>2.9626590000000002E-4</v>
      </c>
      <c r="BA81">
        <f>VLOOKUP(all_cause_mort[[Country]:[Country]],'[1]Mortality Data'!$A$2:$W$201,4,FALSE)</f>
        <v>1.7207493E-4</v>
      </c>
      <c r="BB81">
        <f>VLOOKUP(all_cause_mort[[Country]:[Country]],'[1]Mortality Data'!$A$2:$W$201,5,FALSE)</f>
        <v>2.1437556000000001E-4</v>
      </c>
      <c r="BC81">
        <f>VLOOKUP(all_cause_mort[[Country]:[Country]],'[1]Mortality Data'!$A$2:$W$201,6,FALSE)</f>
        <v>5.1450683999999997E-4</v>
      </c>
      <c r="BD81">
        <f>VLOOKUP(all_cause_mort[[Country]:[Country]],'[1]Mortality Data'!$A$2:$W$201,7,FALSE)</f>
        <v>6.0125076E-4</v>
      </c>
      <c r="BE81">
        <f>VLOOKUP(all_cause_mort[[Country]:[Country]],'[1]Mortality Data'!$A$2:$W$201,8,FALSE)</f>
        <v>5.4257847999999997E-4</v>
      </c>
      <c r="BF81">
        <f>VLOOKUP(all_cause_mort[[Country]:[Country]],'[1]Mortality Data'!$A$2:$W$201,9,FALSE)</f>
        <v>4.7426097999999999E-4</v>
      </c>
      <c r="BG81">
        <f>VLOOKUP(all_cause_mort[[Country]:[Country]],'[1]Mortality Data'!$A$2:$W$201,10,FALSE)</f>
        <v>6.6664744999999997E-4</v>
      </c>
      <c r="BH81">
        <f>VLOOKUP(all_cause_mort[[Country]:[Country]],'[1]Mortality Data'!$A$2:$W$201,11,FALSE)</f>
        <v>9.3556881000000003E-4</v>
      </c>
      <c r="BI81">
        <f>VLOOKUP(all_cause_mort[[Country]:[Country]],'[1]Mortality Data'!$A$2:$W$201,12,FALSE)</f>
        <v>1.5268238999999999E-3</v>
      </c>
      <c r="BJ81">
        <f>VLOOKUP(all_cause_mort[[Country]:[Country]],'[1]Mortality Data'!$A$2:$W$201,13,FALSE)</f>
        <v>2.6764398999999999E-3</v>
      </c>
      <c r="BK81">
        <f>VLOOKUP(all_cause_mort[[Country]:[Country]],'[1]Mortality Data'!$A$2:$W$201,14,FALSE)</f>
        <v>4.2780980999999997E-3</v>
      </c>
      <c r="BL81">
        <f>VLOOKUP(all_cause_mort[[Country]:[Country]],'[1]Mortality Data'!$A$2:$W$201,15,FALSE)</f>
        <v>1.1424971000000001E-2</v>
      </c>
      <c r="BM81">
        <f>VLOOKUP(all_cause_mort[[Country]:[Country]],'[1]Mortality Data'!$A$2:$W$201,16,FALSE)</f>
        <v>2.5152573000000001E-2</v>
      </c>
      <c r="BN81">
        <f>VLOOKUP(all_cause_mort[[Country]:[Country]],'[1]Mortality Data'!$A$2:$W$201,17,FALSE)</f>
        <v>4.7921651000000003E-2</v>
      </c>
      <c r="BO81">
        <f>VLOOKUP(all_cause_mort[[Country]:[Country]],'[1]Mortality Data'!$A$2:$W$201,18,FALSE)</f>
        <v>8.8931547E-2</v>
      </c>
      <c r="BP81">
        <f>VLOOKUP(all_cause_mort[[Country]:[Country]],'[1]Mortality Data'!$A$2:$W$201,19,FALSE)</f>
        <v>0.15683580999999999</v>
      </c>
      <c r="BQ81">
        <f>VLOOKUP(all_cause_mort[[Country]:[Country]],'[1]Mortality Data'!$A$2:$W$201,20,FALSE)</f>
        <v>0.25903672</v>
      </c>
      <c r="BR81">
        <f>VLOOKUP(all_cause_mort[[Country]:[Country]],'[1]Mortality Data'!$A$2:$W$201,21,FALSE)</f>
        <v>0.40478019999999998</v>
      </c>
      <c r="BS81">
        <f>VLOOKUP(all_cause_mort[[Country]:[Country]],'[1]Mortality Data'!$A$2:$W$201,22,FALSE)</f>
        <v>0.56653547000000004</v>
      </c>
      <c r="BT81">
        <f>VLOOKUP(all_cause_mort[[Country]:[Country]],'[1]Mortality Data'!$A$2:$W$201,23,FALSE)</f>
        <v>0.68935813037251303</v>
      </c>
      <c r="BU81" s="39" t="e">
        <f>VLOOKUP(all_cause_mort[[#This Row],[Country]],[2]!regions[#Data],3,FALSE)</f>
        <v>#REF!</v>
      </c>
    </row>
    <row r="82" spans="1:73" x14ac:dyDescent="0.35">
      <c r="A82" t="s">
        <v>94</v>
      </c>
      <c r="B82">
        <v>3926000</v>
      </c>
      <c r="C82">
        <v>3875000</v>
      </c>
      <c r="D82">
        <v>3825000</v>
      </c>
      <c r="E82">
        <v>3776000</v>
      </c>
      <c r="F82">
        <v>3727000</v>
      </c>
      <c r="G82">
        <v>3717100</v>
      </c>
      <c r="H82">
        <v>3719300</v>
      </c>
      <c r="I82">
        <v>3717100</v>
      </c>
      <c r="K82" t="s">
        <v>94</v>
      </c>
      <c r="L82">
        <v>13.499000000000001</v>
      </c>
      <c r="M82">
        <f>birthrate[[#This Row],[2016]]/1000</f>
        <v>1.3499000000000001E-2</v>
      </c>
      <c r="O82" t="s">
        <v>123</v>
      </c>
      <c r="P82">
        <v>37.5</v>
      </c>
      <c r="Q82">
        <f>facility[[#This Row],[Facility (%)]]/100</f>
        <v>0.375</v>
      </c>
      <c r="S82" t="s">
        <v>114</v>
      </c>
      <c r="T82">
        <v>2014</v>
      </c>
      <c r="U82">
        <v>99.9</v>
      </c>
      <c r="V82">
        <f>SBA[[#This Row],[SBA (%)]]/100</f>
        <v>0.99900000000000011</v>
      </c>
      <c r="X82" s="13" t="s">
        <v>129</v>
      </c>
      <c r="Y82" s="13" t="s">
        <v>252</v>
      </c>
      <c r="Z82" s="26">
        <v>1.7000000000000001E-2</v>
      </c>
      <c r="AA82" s="26">
        <v>1.55E-2</v>
      </c>
      <c r="AB82" s="26">
        <v>1.8599999999999998E-2</v>
      </c>
      <c r="AC82" s="22">
        <v>3097282</v>
      </c>
      <c r="AD82" s="27">
        <v>8.1632653061224352E-4</v>
      </c>
      <c r="AF82" s="24" t="s">
        <v>110</v>
      </c>
      <c r="AG82" s="24" t="s">
        <v>253</v>
      </c>
      <c r="AH82" s="24">
        <v>95</v>
      </c>
      <c r="AI82" s="25">
        <f>IF(birthdose[[#This Row],[2017]]/100=0, ,birthdose[[#This Row],[2017]]/100)</f>
        <v>0.95</v>
      </c>
      <c r="AK82" s="24" t="s">
        <v>110</v>
      </c>
      <c r="AL82" s="24" t="s">
        <v>254</v>
      </c>
      <c r="AM82" s="24">
        <v>99</v>
      </c>
      <c r="AN82" s="25">
        <f>IF(fullvax[[#This Row],[2017]]/100=0, ,fullvax[[#This Row],[2017]]/100)</f>
        <v>0.99</v>
      </c>
      <c r="AV82" s="12" t="s">
        <v>122</v>
      </c>
      <c r="AW82" s="14" t="s">
        <v>11</v>
      </c>
      <c r="AX82" s="41">
        <f>VLOOKUP(all_cause_mort[[#This Row],[Country]],[1]!populations[#Data],9,FALSE)*VLOOKUP(all_cause_mort[[#This Row],[Country]],[1]!birthrate[#Data],3,FALSE)</f>
        <v>161239</v>
      </c>
      <c r="AY82">
        <f>VLOOKUP(all_cause_mort[[Country]:[Country]],'[1]Mortality Data'!$A$2:$W$201,2,FALSE)</f>
        <v>1.5727785000000001E-2</v>
      </c>
      <c r="AZ82">
        <f>VLOOKUP(all_cause_mort[[Country]:[Country]],'[1]Mortality Data'!$A$2:$W$201,3,FALSE)</f>
        <v>7.1811705999999997E-4</v>
      </c>
      <c r="BA82">
        <f>VLOOKUP(all_cause_mort[[Country]:[Country]],'[1]Mortality Data'!$A$2:$W$201,4,FALSE)</f>
        <v>3.0060545E-4</v>
      </c>
      <c r="BB82">
        <f>VLOOKUP(all_cause_mort[[Country]:[Country]],'[1]Mortality Data'!$A$2:$W$201,5,FALSE)</f>
        <v>3.6132355000000001E-4</v>
      </c>
      <c r="BC82">
        <f>VLOOKUP(all_cause_mort[[Country]:[Country]],'[1]Mortality Data'!$A$2:$W$201,6,FALSE)</f>
        <v>5.6747291999999997E-4</v>
      </c>
      <c r="BD82">
        <f>VLOOKUP(all_cause_mort[[Country]:[Country]],'[1]Mortality Data'!$A$2:$W$201,7,FALSE)</f>
        <v>7.7501877E-4</v>
      </c>
      <c r="BE82">
        <f>VLOOKUP(all_cause_mort[[Country]:[Country]],'[1]Mortality Data'!$A$2:$W$201,8,FALSE)</f>
        <v>9.959079200000001E-4</v>
      </c>
      <c r="BF82">
        <f>VLOOKUP(all_cause_mort[[Country]:[Country]],'[1]Mortality Data'!$A$2:$W$201,9,FALSE)</f>
        <v>1.6006384000000001E-3</v>
      </c>
      <c r="BG82">
        <f>VLOOKUP(all_cause_mort[[Country]:[Country]],'[1]Mortality Data'!$A$2:$W$201,10,FALSE)</f>
        <v>2.3872924999999998E-3</v>
      </c>
      <c r="BH82">
        <f>VLOOKUP(all_cause_mort[[Country]:[Country]],'[1]Mortality Data'!$A$2:$W$201,11,FALSE)</f>
        <v>3.6333010999999998E-3</v>
      </c>
      <c r="BI82">
        <f>VLOOKUP(all_cause_mort[[Country]:[Country]],'[1]Mortality Data'!$A$2:$W$201,12,FALSE)</f>
        <v>5.0741264000000001E-3</v>
      </c>
      <c r="BJ82">
        <f>VLOOKUP(all_cause_mort[[Country]:[Country]],'[1]Mortality Data'!$A$2:$W$201,13,FALSE)</f>
        <v>7.3526902000000003E-3</v>
      </c>
      <c r="BK82">
        <f>VLOOKUP(all_cause_mort[[Country]:[Country]],'[1]Mortality Data'!$A$2:$W$201,14,FALSE)</f>
        <v>1.0857634999999999E-2</v>
      </c>
      <c r="BL82">
        <f>VLOOKUP(all_cause_mort[[Country]:[Country]],'[1]Mortality Data'!$A$2:$W$201,15,FALSE)</f>
        <v>1.7382872000000001E-2</v>
      </c>
      <c r="BM82">
        <f>VLOOKUP(all_cause_mort[[Country]:[Country]],'[1]Mortality Data'!$A$2:$W$201,16,FALSE)</f>
        <v>2.5685850999999999E-2</v>
      </c>
      <c r="BN82">
        <f>VLOOKUP(all_cause_mort[[Country]:[Country]],'[1]Mortality Data'!$A$2:$W$201,17,FALSE)</f>
        <v>5.4997487999999997E-2</v>
      </c>
      <c r="BO82">
        <f>VLOOKUP(all_cause_mort[[Country]:[Country]],'[1]Mortality Data'!$A$2:$W$201,18,FALSE)</f>
        <v>0.10414904</v>
      </c>
      <c r="BP82">
        <f>VLOOKUP(all_cause_mort[[Country]:[Country]],'[1]Mortality Data'!$A$2:$W$201,19,FALSE)</f>
        <v>0.14897086000000001</v>
      </c>
      <c r="BQ82">
        <f>VLOOKUP(all_cause_mort[[Country]:[Country]],'[1]Mortality Data'!$A$2:$W$201,20,FALSE)</f>
        <v>0.19453814999999999</v>
      </c>
      <c r="BR82">
        <f>VLOOKUP(all_cause_mort[[Country]:[Country]],'[1]Mortality Data'!$A$2:$W$201,21,FALSE)</f>
        <v>0.23881168</v>
      </c>
      <c r="BS82">
        <f>VLOOKUP(all_cause_mort[[Country]:[Country]],'[1]Mortality Data'!$A$2:$W$201,22,FALSE)</f>
        <v>0.29880145000000002</v>
      </c>
      <c r="BT82">
        <f>VLOOKUP(all_cause_mort[[Country]:[Country]],'[1]Mortality Data'!$A$2:$W$201,23,FALSE)</f>
        <v>0.43965534713889198</v>
      </c>
      <c r="BU82" s="39" t="e">
        <f>VLOOKUP(all_cause_mort[[#This Row],[Country]],[2]!regions[#Data],3,FALSE)</f>
        <v>#REF!</v>
      </c>
    </row>
    <row r="83" spans="1:73" x14ac:dyDescent="0.35">
      <c r="A83" t="s">
        <v>96</v>
      </c>
      <c r="B83">
        <v>24512104</v>
      </c>
      <c r="C83">
        <v>25121796</v>
      </c>
      <c r="D83">
        <v>25733049</v>
      </c>
      <c r="E83">
        <v>26346251</v>
      </c>
      <c r="F83">
        <v>26962563</v>
      </c>
      <c r="G83">
        <v>27582821</v>
      </c>
      <c r="H83">
        <v>28206728</v>
      </c>
      <c r="I83">
        <v>28833629</v>
      </c>
      <c r="K83" t="s">
        <v>96</v>
      </c>
      <c r="L83">
        <v>31.047000000000001</v>
      </c>
      <c r="M83">
        <f>birthrate[[#This Row],[2016]]/1000</f>
        <v>3.1047000000000002E-2</v>
      </c>
      <c r="O83" t="s">
        <v>124</v>
      </c>
      <c r="P83">
        <v>98.1</v>
      </c>
      <c r="Q83">
        <f>facility[[#This Row],[Facility (%)]]/100</f>
        <v>0.98099999999999998</v>
      </c>
      <c r="S83" t="s">
        <v>115</v>
      </c>
      <c r="T83" t="s">
        <v>305</v>
      </c>
      <c r="U83">
        <v>99.1</v>
      </c>
      <c r="V83">
        <f>SBA[[#This Row],[SBA (%)]]/100</f>
        <v>0.99099999999999999</v>
      </c>
      <c r="X83" s="13" t="s">
        <v>131</v>
      </c>
      <c r="Y83" s="13" t="s">
        <v>256</v>
      </c>
      <c r="Z83" s="26">
        <v>5.5E-2</v>
      </c>
      <c r="AA83" s="26">
        <v>4.7E-2</v>
      </c>
      <c r="AB83" s="26">
        <v>6.4000000000000001E-2</v>
      </c>
      <c r="AC83">
        <v>25570895</v>
      </c>
      <c r="AD83" s="27">
        <v>4.591836734693878E-3</v>
      </c>
      <c r="AF83" s="24" t="s">
        <v>111</v>
      </c>
      <c r="AG83" s="24" t="s">
        <v>253</v>
      </c>
      <c r="AH83" s="24">
        <v>47</v>
      </c>
      <c r="AI83" s="25">
        <f>IF(birthdose[[#This Row],[2017]]/100=0, ,birthdose[[#This Row],[2017]]/100)</f>
        <v>0.47</v>
      </c>
      <c r="AK83" s="24" t="s">
        <v>111</v>
      </c>
      <c r="AL83" s="24" t="s">
        <v>254</v>
      </c>
      <c r="AM83" s="24">
        <v>63</v>
      </c>
      <c r="AN83" s="25">
        <f>IF(fullvax[[#This Row],[2017]]/100=0, ,fullvax[[#This Row],[2017]]/100)</f>
        <v>0.63</v>
      </c>
      <c r="AV83" s="8" t="s">
        <v>123</v>
      </c>
      <c r="AW83" s="11" t="s">
        <v>58</v>
      </c>
      <c r="AX83" s="41">
        <f>VLOOKUP(all_cause_mort[[#This Row],[Country]],[1]!populations[#Data],9,FALSE)*VLOOKUP(all_cause_mort[[#This Row],[Country]],[1]!birthrate[#Data],3,FALSE)</f>
        <v>163567.11600000001</v>
      </c>
      <c r="AY83">
        <f>VLOOKUP(all_cause_mort[[Country]:[Country]],'[1]Mortality Data'!$A$2:$W$201,2,FALSE)</f>
        <v>4.0084636999999999E-2</v>
      </c>
      <c r="AZ83">
        <f>VLOOKUP(all_cause_mort[[Country]:[Country]],'[1]Mortality Data'!$A$2:$W$201,3,FALSE)</f>
        <v>2.5027103000000001E-3</v>
      </c>
      <c r="BA83">
        <f>VLOOKUP(all_cause_mort[[Country]:[Country]],'[1]Mortality Data'!$A$2:$W$201,4,FALSE)</f>
        <v>9.0206374000000001E-4</v>
      </c>
      <c r="BB83">
        <f>VLOOKUP(all_cause_mort[[Country]:[Country]],'[1]Mortality Data'!$A$2:$W$201,5,FALSE)</f>
        <v>7.2194062999999999E-4</v>
      </c>
      <c r="BC83">
        <f>VLOOKUP(all_cause_mort[[Country]:[Country]],'[1]Mortality Data'!$A$2:$W$201,6,FALSE)</f>
        <v>1.2225072999999999E-3</v>
      </c>
      <c r="BD83">
        <f>VLOOKUP(all_cause_mort[[Country]:[Country]],'[1]Mortality Data'!$A$2:$W$201,7,FALSE)</f>
        <v>1.7204778E-3</v>
      </c>
      <c r="BE83">
        <f>VLOOKUP(all_cause_mort[[Country]:[Country]],'[1]Mortality Data'!$A$2:$W$201,8,FALSE)</f>
        <v>1.8670282E-3</v>
      </c>
      <c r="BF83">
        <f>VLOOKUP(all_cause_mort[[Country]:[Country]],'[1]Mortality Data'!$A$2:$W$201,9,FALSE)</f>
        <v>2.1551163E-3</v>
      </c>
      <c r="BG83">
        <f>VLOOKUP(all_cause_mort[[Country]:[Country]],'[1]Mortality Data'!$A$2:$W$201,10,FALSE)</f>
        <v>2.7507741000000001E-3</v>
      </c>
      <c r="BH83">
        <f>VLOOKUP(all_cause_mort[[Country]:[Country]],'[1]Mortality Data'!$A$2:$W$201,11,FALSE)</f>
        <v>3.8021356000000001E-3</v>
      </c>
      <c r="BI83">
        <f>VLOOKUP(all_cause_mort[[Country]:[Country]],'[1]Mortality Data'!$A$2:$W$201,12,FALSE)</f>
        <v>5.6399557999999997E-3</v>
      </c>
      <c r="BJ83">
        <f>VLOOKUP(all_cause_mort[[Country]:[Country]],'[1]Mortality Data'!$A$2:$W$201,13,FALSE)</f>
        <v>8.5390819000000003E-3</v>
      </c>
      <c r="BK83">
        <f>VLOOKUP(all_cause_mort[[Country]:[Country]],'[1]Mortality Data'!$A$2:$W$201,14,FALSE)</f>
        <v>1.3140208E-2</v>
      </c>
      <c r="BL83">
        <f>VLOOKUP(all_cause_mort[[Country]:[Country]],'[1]Mortality Data'!$A$2:$W$201,15,FALSE)</f>
        <v>2.0478934000000001E-2</v>
      </c>
      <c r="BM83">
        <f>VLOOKUP(all_cause_mort[[Country]:[Country]],'[1]Mortality Data'!$A$2:$W$201,16,FALSE)</f>
        <v>3.2299906000000003E-2</v>
      </c>
      <c r="BN83">
        <f>VLOOKUP(all_cause_mort[[Country]:[Country]],'[1]Mortality Data'!$A$2:$W$201,17,FALSE)</f>
        <v>5.2244034000000002E-2</v>
      </c>
      <c r="BO83">
        <f>VLOOKUP(all_cause_mort[[Country]:[Country]],'[1]Mortality Data'!$A$2:$W$201,18,FALSE)</f>
        <v>8.5093748999999996E-2</v>
      </c>
      <c r="BP83">
        <f>VLOOKUP(all_cause_mort[[Country]:[Country]],'[1]Mortality Data'!$A$2:$W$201,19,FALSE)</f>
        <v>0.13841328999999999</v>
      </c>
      <c r="BQ83">
        <f>VLOOKUP(all_cause_mort[[Country]:[Country]],'[1]Mortality Data'!$A$2:$W$201,20,FALSE)</f>
        <v>0.21655833999999999</v>
      </c>
      <c r="BR83">
        <f>VLOOKUP(all_cause_mort[[Country]:[Country]],'[1]Mortality Data'!$A$2:$W$201,21,FALSE)</f>
        <v>0.31746930000000001</v>
      </c>
      <c r="BS83">
        <f>VLOOKUP(all_cause_mort[[Country]:[Country]],'[1]Mortality Data'!$A$2:$W$201,22,FALSE)</f>
        <v>0.44016483000000001</v>
      </c>
      <c r="BT83">
        <f>VLOOKUP(all_cause_mort[[Country]:[Country]],'[1]Mortality Data'!$A$2:$W$201,23,FALSE)</f>
        <v>0.57808848106673505</v>
      </c>
      <c r="BU83" s="39" t="e">
        <f>VLOOKUP(all_cause_mort[[#This Row],[Country]],[2]!regions[#Data],3,FALSE)</f>
        <v>#REF!</v>
      </c>
    </row>
    <row r="84" spans="1:73" x14ac:dyDescent="0.35">
      <c r="A84" t="s">
        <v>306</v>
      </c>
      <c r="B84">
        <v>33189</v>
      </c>
      <c r="C84">
        <v>33405</v>
      </c>
      <c r="D84">
        <v>33623</v>
      </c>
      <c r="E84">
        <v>33831</v>
      </c>
      <c r="F84">
        <v>34038</v>
      </c>
      <c r="G84">
        <v>34228</v>
      </c>
      <c r="H84">
        <v>34408</v>
      </c>
      <c r="I84">
        <v>34571</v>
      </c>
      <c r="K84" t="s">
        <v>306</v>
      </c>
      <c r="M84">
        <f>birthrate[[#This Row],[2016]]/1000</f>
        <v>0</v>
      </c>
      <c r="O84" t="s">
        <v>125</v>
      </c>
      <c r="P84">
        <v>99.9</v>
      </c>
      <c r="Q84">
        <f>facility[[#This Row],[Facility (%)]]/100</f>
        <v>0.99900000000000011</v>
      </c>
      <c r="S84" t="s">
        <v>116</v>
      </c>
      <c r="T84">
        <v>2015</v>
      </c>
      <c r="U84">
        <v>99.9</v>
      </c>
      <c r="V84">
        <f>SBA[[#This Row],[SBA (%)]]/100</f>
        <v>0.99900000000000011</v>
      </c>
      <c r="X84" s="10" t="s">
        <v>132</v>
      </c>
      <c r="Y84" s="10" t="s">
        <v>256</v>
      </c>
      <c r="Z84" s="21">
        <v>3.2000000000000001E-2</v>
      </c>
      <c r="AA84" s="21">
        <v>2.7E-2</v>
      </c>
      <c r="AB84" s="21">
        <v>3.9E-2</v>
      </c>
      <c r="AC84">
        <v>18622104</v>
      </c>
      <c r="AD84" s="27">
        <v>3.5714285714285713E-3</v>
      </c>
      <c r="AF84" s="24" t="s">
        <v>112</v>
      </c>
      <c r="AG84" s="24" t="s">
        <v>253</v>
      </c>
      <c r="AH84" s="24"/>
      <c r="AI84" s="25">
        <f>IF(birthdose[[#This Row],[2017]]/100=0, ,birthdose[[#This Row],[2017]]/100)</f>
        <v>0</v>
      </c>
      <c r="AK84" s="24" t="s">
        <v>112</v>
      </c>
      <c r="AL84" s="24" t="s">
        <v>254</v>
      </c>
      <c r="AM84" s="24">
        <v>95</v>
      </c>
      <c r="AN84" s="25">
        <f>IF(fullvax[[#This Row],[2017]]/100=0, ,fullvax[[#This Row],[2017]]/100)</f>
        <v>0.95</v>
      </c>
      <c r="AV84" s="12" t="s">
        <v>124</v>
      </c>
      <c r="AW84" s="14" t="s">
        <v>11</v>
      </c>
      <c r="AX84" s="41">
        <f>VLOOKUP(all_cause_mort[[#This Row],[Country]],[1]!populations[#Data],9,FALSE)*VLOOKUP(all_cause_mort[[#This Row],[Country]],[1]!birthrate[#Data],3,FALSE)</f>
        <v>21736.288</v>
      </c>
      <c r="AY84">
        <f>VLOOKUP(all_cause_mort[[Country]:[Country]],'[1]Mortality Data'!$A$2:$W$201,2,FALSE)</f>
        <v>3.3542595999999998E-3</v>
      </c>
      <c r="AZ84">
        <f>VLOOKUP(all_cause_mort[[Country]:[Country]],'[1]Mortality Data'!$A$2:$W$201,3,FALSE)</f>
        <v>5.3342728000000002E-4</v>
      </c>
      <c r="BA84">
        <f>VLOOKUP(all_cause_mort[[Country]:[Country]],'[1]Mortality Data'!$A$2:$W$201,4,FALSE)</f>
        <v>1.4805062000000001E-4</v>
      </c>
      <c r="BB84">
        <f>VLOOKUP(all_cause_mort[[Country]:[Country]],'[1]Mortality Data'!$A$2:$W$201,5,FALSE)</f>
        <v>1.7660127E-4</v>
      </c>
      <c r="BC84">
        <f>VLOOKUP(all_cause_mort[[Country]:[Country]],'[1]Mortality Data'!$A$2:$W$201,6,FALSE)</f>
        <v>4.4356541999999999E-4</v>
      </c>
      <c r="BD84">
        <f>VLOOKUP(all_cause_mort[[Country]:[Country]],'[1]Mortality Data'!$A$2:$W$201,7,FALSE)</f>
        <v>8.0231539000000002E-4</v>
      </c>
      <c r="BE84">
        <f>VLOOKUP(all_cause_mort[[Country]:[Country]],'[1]Mortality Data'!$A$2:$W$201,8,FALSE)</f>
        <v>1.2384698999999999E-3</v>
      </c>
      <c r="BF84">
        <f>VLOOKUP(all_cause_mort[[Country]:[Country]],'[1]Mortality Data'!$A$2:$W$201,9,FALSE)</f>
        <v>1.6938649000000001E-3</v>
      </c>
      <c r="BG84">
        <f>VLOOKUP(all_cause_mort[[Country]:[Country]],'[1]Mortality Data'!$A$2:$W$201,10,FALSE)</f>
        <v>2.5519619E-3</v>
      </c>
      <c r="BH84">
        <f>VLOOKUP(all_cause_mort[[Country]:[Country]],'[1]Mortality Data'!$A$2:$W$201,11,FALSE)</f>
        <v>3.7293782999999999E-3</v>
      </c>
      <c r="BI84">
        <f>VLOOKUP(all_cause_mort[[Country]:[Country]],'[1]Mortality Data'!$A$2:$W$201,12,FALSE)</f>
        <v>5.1716760000000001E-3</v>
      </c>
      <c r="BJ84">
        <f>VLOOKUP(all_cause_mort[[Country]:[Country]],'[1]Mortality Data'!$A$2:$W$201,13,FALSE)</f>
        <v>7.5171780999999998E-3</v>
      </c>
      <c r="BK84">
        <f>VLOOKUP(all_cause_mort[[Country]:[Country]],'[1]Mortality Data'!$A$2:$W$201,14,FALSE)</f>
        <v>1.1427886E-2</v>
      </c>
      <c r="BL84">
        <f>VLOOKUP(all_cause_mort[[Country]:[Country]],'[1]Mortality Data'!$A$2:$W$201,15,FALSE)</f>
        <v>1.6585707000000002E-2</v>
      </c>
      <c r="BM84">
        <f>VLOOKUP(all_cause_mort[[Country]:[Country]],'[1]Mortality Data'!$A$2:$W$201,16,FALSE)</f>
        <v>2.3548299000000002E-2</v>
      </c>
      <c r="BN84">
        <f>VLOOKUP(all_cause_mort[[Country]:[Country]],'[1]Mortality Data'!$A$2:$W$201,17,FALSE)</f>
        <v>3.3958969999999998E-2</v>
      </c>
      <c r="BO84">
        <f>VLOOKUP(all_cause_mort[[Country]:[Country]],'[1]Mortality Data'!$A$2:$W$201,18,FALSE)</f>
        <v>4.9441624000000003E-2</v>
      </c>
      <c r="BP84">
        <f>VLOOKUP(all_cause_mort[[Country]:[Country]],'[1]Mortality Data'!$A$2:$W$201,19,FALSE)</f>
        <v>8.0133614000000006E-2</v>
      </c>
      <c r="BQ84">
        <f>VLOOKUP(all_cause_mort[[Country]:[Country]],'[1]Mortality Data'!$A$2:$W$201,20,FALSE)</f>
        <v>0.10509319</v>
      </c>
      <c r="BR84">
        <f>VLOOKUP(all_cause_mort[[Country]:[Country]],'[1]Mortality Data'!$A$2:$W$201,21,FALSE)</f>
        <v>0.15307171</v>
      </c>
      <c r="BS84">
        <f>VLOOKUP(all_cause_mort[[Country]:[Country]],'[1]Mortality Data'!$A$2:$W$201,22,FALSE)</f>
        <v>0.22464514999999999</v>
      </c>
      <c r="BT84">
        <f>VLOOKUP(all_cause_mort[[Country]:[Country]],'[1]Mortality Data'!$A$2:$W$201,23,FALSE)</f>
        <v>0.33510088999780502</v>
      </c>
      <c r="BU84" s="39" t="e">
        <f>VLOOKUP(all_cause_mort[[#This Row],[Country]],[2]!regions[#Data],3,FALSE)</f>
        <v>#REF!</v>
      </c>
    </row>
    <row r="85" spans="1:73" x14ac:dyDescent="0.35">
      <c r="A85" t="s">
        <v>100</v>
      </c>
      <c r="B85">
        <v>10794170</v>
      </c>
      <c r="C85">
        <v>11035170</v>
      </c>
      <c r="D85">
        <v>11281469</v>
      </c>
      <c r="E85">
        <v>11536615</v>
      </c>
      <c r="F85">
        <v>11805509</v>
      </c>
      <c r="G85">
        <v>12091533</v>
      </c>
      <c r="H85">
        <v>12395924</v>
      </c>
      <c r="I85">
        <v>12717176</v>
      </c>
      <c r="K85" t="s">
        <v>100</v>
      </c>
      <c r="L85">
        <v>35.911000000000001</v>
      </c>
      <c r="M85">
        <f>birthrate[[#This Row],[2016]]/1000</f>
        <v>3.5910999999999998E-2</v>
      </c>
      <c r="O85" t="s">
        <v>126</v>
      </c>
      <c r="P85">
        <v>76.5</v>
      </c>
      <c r="Q85">
        <f>facility[[#This Row],[Facility (%)]]/100</f>
        <v>0.76500000000000001</v>
      </c>
      <c r="S85" t="s">
        <v>117</v>
      </c>
      <c r="T85" t="s">
        <v>275</v>
      </c>
      <c r="U85">
        <v>99.6</v>
      </c>
      <c r="V85">
        <f>SBA[[#This Row],[SBA (%)]]/100</f>
        <v>0.996</v>
      </c>
      <c r="X85" s="13" t="s">
        <v>133</v>
      </c>
      <c r="Y85" s="13" t="s">
        <v>256</v>
      </c>
      <c r="Z85" s="26">
        <v>8.9999999999999993E-3</v>
      </c>
      <c r="AA85" s="26">
        <v>5.0000000000000001E-3</v>
      </c>
      <c r="AB85" s="26">
        <v>0.01</v>
      </c>
      <c r="AC85">
        <v>31624264</v>
      </c>
      <c r="AD85" s="27">
        <v>5.1020408163265354E-4</v>
      </c>
      <c r="AF85" s="24" t="s">
        <v>113</v>
      </c>
      <c r="AG85" s="24" t="s">
        <v>253</v>
      </c>
      <c r="AH85" s="24">
        <v>95</v>
      </c>
      <c r="AI85" s="25">
        <f>IF(birthdose[[#This Row],[2017]]/100=0, ,birthdose[[#This Row],[2017]]/100)</f>
        <v>0.95</v>
      </c>
      <c r="AK85" s="24" t="s">
        <v>113</v>
      </c>
      <c r="AL85" s="24" t="s">
        <v>254</v>
      </c>
      <c r="AM85" s="24">
        <v>97</v>
      </c>
      <c r="AN85" s="25">
        <f>IF(fullvax[[#This Row],[2017]]/100=0, ,fullvax[[#This Row],[2017]]/100)</f>
        <v>0.97</v>
      </c>
      <c r="AV85" s="8" t="s">
        <v>125</v>
      </c>
      <c r="AW85" s="11" t="s">
        <v>7</v>
      </c>
      <c r="AX85" s="41">
        <f>VLOOKUP(all_cause_mort[[#This Row],[Country]],[1]!populations[#Data],9,FALSE)*VLOOKUP(all_cause_mort[[#This Row],[Country]],[1]!birthrate[#Data],3,FALSE)</f>
        <v>94094.062790000011</v>
      </c>
      <c r="AY85">
        <f>VLOOKUP(all_cause_mort[[Country]:[Country]],'[1]Mortality Data'!$A$2:$W$201,2,FALSE)</f>
        <v>9.4973889000000006E-3</v>
      </c>
      <c r="AZ85">
        <f>VLOOKUP(all_cause_mort[[Country]:[Country]],'[1]Mortality Data'!$A$2:$W$201,3,FALSE)</f>
        <v>3.7689074999999999E-4</v>
      </c>
      <c r="BA85">
        <f>VLOOKUP(all_cause_mort[[Country]:[Country]],'[1]Mortality Data'!$A$2:$W$201,4,FALSE)</f>
        <v>1.8330494999999999E-4</v>
      </c>
      <c r="BB85">
        <f>VLOOKUP(all_cause_mort[[Country]:[Country]],'[1]Mortality Data'!$A$2:$W$201,5,FALSE)</f>
        <v>1.5352084000000001E-4</v>
      </c>
      <c r="BC85">
        <f>VLOOKUP(all_cause_mort[[Country]:[Country]],'[1]Mortality Data'!$A$2:$W$201,6,FALSE)</f>
        <v>2.8791188999999998E-4</v>
      </c>
      <c r="BD85">
        <f>VLOOKUP(all_cause_mort[[Country]:[Country]],'[1]Mortality Data'!$A$2:$W$201,7,FALSE)</f>
        <v>4.015038E-4</v>
      </c>
      <c r="BE85">
        <f>VLOOKUP(all_cause_mort[[Country]:[Country]],'[1]Mortality Data'!$A$2:$W$201,8,FALSE)</f>
        <v>4.2982863999999998E-4</v>
      </c>
      <c r="BF85">
        <f>VLOOKUP(all_cause_mort[[Country]:[Country]],'[1]Mortality Data'!$A$2:$W$201,9,FALSE)</f>
        <v>5.0618403000000001E-4</v>
      </c>
      <c r="BG85">
        <f>VLOOKUP(all_cause_mort[[Country]:[Country]],'[1]Mortality Data'!$A$2:$W$201,10,FALSE)</f>
        <v>6.8165252000000002E-4</v>
      </c>
      <c r="BH85">
        <f>VLOOKUP(all_cause_mort[[Country]:[Country]],'[1]Mortality Data'!$A$2:$W$201,11,FALSE)</f>
        <v>1.0491518E-3</v>
      </c>
      <c r="BI85">
        <f>VLOOKUP(all_cause_mort[[Country]:[Country]],'[1]Mortality Data'!$A$2:$W$201,12,FALSE)</f>
        <v>1.8330981000000001E-3</v>
      </c>
      <c r="BJ85">
        <f>VLOOKUP(all_cause_mort[[Country]:[Country]],'[1]Mortality Data'!$A$2:$W$201,13,FALSE)</f>
        <v>3.1418199E-3</v>
      </c>
      <c r="BK85">
        <f>VLOOKUP(all_cause_mort[[Country]:[Country]],'[1]Mortality Data'!$A$2:$W$201,14,FALSE)</f>
        <v>5.5091706999999997E-3</v>
      </c>
      <c r="BL85">
        <f>VLOOKUP(all_cause_mort[[Country]:[Country]],'[1]Mortality Data'!$A$2:$W$201,15,FALSE)</f>
        <v>8.8176650000000006E-3</v>
      </c>
      <c r="BM85">
        <f>VLOOKUP(all_cause_mort[[Country]:[Country]],'[1]Mortality Data'!$A$2:$W$201,16,FALSE)</f>
        <v>1.5250466000000001E-2</v>
      </c>
      <c r="BN85">
        <f>VLOOKUP(all_cause_mort[[Country]:[Country]],'[1]Mortality Data'!$A$2:$W$201,17,FALSE)</f>
        <v>2.7110341999999999E-2</v>
      </c>
      <c r="BO85">
        <f>VLOOKUP(all_cause_mort[[Country]:[Country]],'[1]Mortality Data'!$A$2:$W$201,18,FALSE)</f>
        <v>4.6846836000000003E-2</v>
      </c>
      <c r="BP85">
        <f>VLOOKUP(all_cause_mort[[Country]:[Country]],'[1]Mortality Data'!$A$2:$W$201,19,FALSE)</f>
        <v>8.1742856000000003E-2</v>
      </c>
      <c r="BQ85">
        <f>VLOOKUP(all_cause_mort[[Country]:[Country]],'[1]Mortality Data'!$A$2:$W$201,20,FALSE)</f>
        <v>0.13838106</v>
      </c>
      <c r="BR85">
        <f>VLOOKUP(all_cause_mort[[Country]:[Country]],'[1]Mortality Data'!$A$2:$W$201,21,FALSE)</f>
        <v>0.21852083</v>
      </c>
      <c r="BS85">
        <f>VLOOKUP(all_cause_mort[[Country]:[Country]],'[1]Mortality Data'!$A$2:$W$201,22,FALSE)</f>
        <v>0.32014574000000001</v>
      </c>
      <c r="BT85">
        <f>VLOOKUP(all_cause_mort[[Country]:[Country]],'[1]Mortality Data'!$A$2:$W$201,23,FALSE)</f>
        <v>0.45605566214083099</v>
      </c>
      <c r="BU85" s="39" t="e">
        <f>VLOOKUP(all_cause_mort[[#This Row],[Country]],[2]!regions[#Data],3,FALSE)</f>
        <v>#REF!</v>
      </c>
    </row>
    <row r="86" spans="1:73" x14ac:dyDescent="0.35">
      <c r="A86" t="s">
        <v>93</v>
      </c>
      <c r="B86">
        <v>1692149</v>
      </c>
      <c r="C86">
        <v>1746363</v>
      </c>
      <c r="D86">
        <v>1802125</v>
      </c>
      <c r="E86">
        <v>1859324</v>
      </c>
      <c r="F86">
        <v>1917852</v>
      </c>
      <c r="G86">
        <v>1977590</v>
      </c>
      <c r="H86">
        <v>2038501</v>
      </c>
      <c r="I86">
        <v>2100568</v>
      </c>
      <c r="K86" t="s">
        <v>93</v>
      </c>
      <c r="L86">
        <v>39.481999999999999</v>
      </c>
      <c r="M86">
        <f>birthrate[[#This Row],[2016]]/1000</f>
        <v>3.9481999999999996E-2</v>
      </c>
      <c r="O86" t="s">
        <v>127</v>
      </c>
      <c r="P86">
        <v>55.8</v>
      </c>
      <c r="Q86">
        <f>facility[[#This Row],[Facility (%)]]/100</f>
        <v>0.55799999999999994</v>
      </c>
      <c r="S86" t="s">
        <v>118</v>
      </c>
      <c r="T86" t="s">
        <v>307</v>
      </c>
      <c r="U86">
        <v>99.4</v>
      </c>
      <c r="V86">
        <f>SBA[[#This Row],[SBA (%)]]/100</f>
        <v>0.99400000000000011</v>
      </c>
      <c r="X86" s="10" t="s">
        <v>135</v>
      </c>
      <c r="Y86" s="10" t="s">
        <v>256</v>
      </c>
      <c r="Z86" s="21">
        <v>5.1999999999999998E-2</v>
      </c>
      <c r="AA86" s="21">
        <v>4.9000000000000002E-2</v>
      </c>
      <c r="AB86" s="21">
        <v>5.8999999999999997E-2</v>
      </c>
      <c r="AC86">
        <v>18541980</v>
      </c>
      <c r="AD86" s="27">
        <v>3.5714285714285713E-3</v>
      </c>
      <c r="AF86" s="24" t="s">
        <v>114</v>
      </c>
      <c r="AG86" s="24" t="s">
        <v>253</v>
      </c>
      <c r="AH86" s="24"/>
      <c r="AI86" s="25">
        <f>IF(birthdose[[#This Row],[2017]]/100=0, ,birthdose[[#This Row],[2017]]/100)</f>
        <v>0</v>
      </c>
      <c r="AK86" s="24" t="s">
        <v>114</v>
      </c>
      <c r="AL86" s="24" t="s">
        <v>254</v>
      </c>
      <c r="AM86" s="24">
        <v>94</v>
      </c>
      <c r="AN86" s="25">
        <f>IF(fullvax[[#This Row],[2017]]/100=0, ,fullvax[[#This Row],[2017]]/100)</f>
        <v>0.94</v>
      </c>
      <c r="AV86" s="12" t="s">
        <v>126</v>
      </c>
      <c r="AW86" s="14" t="s">
        <v>15</v>
      </c>
      <c r="AX86" s="41">
        <f>VLOOKUP(all_cause_mort[[#This Row],[Country]],[1]!populations[#Data],9,FALSE)*VLOOKUP(all_cause_mort[[#This Row],[Country]],[1]!birthrate[#Data],3,FALSE)</f>
        <v>62247.624608000006</v>
      </c>
      <c r="AY86">
        <f>VLOOKUP(all_cause_mort[[Country]:[Country]],'[1]Mortality Data'!$A$2:$W$201,2,FALSE)</f>
        <v>6.5402233000000004E-2</v>
      </c>
      <c r="AZ86">
        <f>VLOOKUP(all_cause_mort[[Country]:[Country]],'[1]Mortality Data'!$A$2:$W$201,3,FALSE)</f>
        <v>6.7270358000000004E-3</v>
      </c>
      <c r="BA86">
        <f>VLOOKUP(all_cause_mort[[Country]:[Country]],'[1]Mortality Data'!$A$2:$W$201,4,FALSE)</f>
        <v>1.7341584000000001E-3</v>
      </c>
      <c r="BB86">
        <f>VLOOKUP(all_cause_mort[[Country]:[Country]],'[1]Mortality Data'!$A$2:$W$201,5,FALSE)</f>
        <v>1.4334841000000001E-3</v>
      </c>
      <c r="BC86">
        <f>VLOOKUP(all_cause_mort[[Country]:[Country]],'[1]Mortality Data'!$A$2:$W$201,6,FALSE)</f>
        <v>2.2050885999999998E-3</v>
      </c>
      <c r="BD86">
        <f>VLOOKUP(all_cause_mort[[Country]:[Country]],'[1]Mortality Data'!$A$2:$W$201,7,FALSE)</f>
        <v>4.0617129999999998E-3</v>
      </c>
      <c r="BE86">
        <f>VLOOKUP(all_cause_mort[[Country]:[Country]],'[1]Mortality Data'!$A$2:$W$201,8,FALSE)</f>
        <v>7.5659187000000003E-3</v>
      </c>
      <c r="BF86">
        <f>VLOOKUP(all_cause_mort[[Country]:[Country]],'[1]Mortality Data'!$A$2:$W$201,9,FALSE)</f>
        <v>1.1525636000000001E-2</v>
      </c>
      <c r="BG86">
        <f>VLOOKUP(all_cause_mort[[Country]:[Country]],'[1]Mortality Data'!$A$2:$W$201,10,FALSE)</f>
        <v>1.7141900000000002E-2</v>
      </c>
      <c r="BH86">
        <f>VLOOKUP(all_cause_mort[[Country]:[Country]],'[1]Mortality Data'!$A$2:$W$201,11,FALSE)</f>
        <v>1.9470863000000001E-2</v>
      </c>
      <c r="BI86">
        <f>VLOOKUP(all_cause_mort[[Country]:[Country]],'[1]Mortality Data'!$A$2:$W$201,12,FALSE)</f>
        <v>2.1738829000000001E-2</v>
      </c>
      <c r="BJ86">
        <f>VLOOKUP(all_cause_mort[[Country]:[Country]],'[1]Mortality Data'!$A$2:$W$201,13,FALSE)</f>
        <v>2.3503962999999999E-2</v>
      </c>
      <c r="BK86">
        <f>VLOOKUP(all_cause_mort[[Country]:[Country]],'[1]Mortality Data'!$A$2:$W$201,14,FALSE)</f>
        <v>2.6624188999999999E-2</v>
      </c>
      <c r="BL86">
        <f>VLOOKUP(all_cause_mort[[Country]:[Country]],'[1]Mortality Data'!$A$2:$W$201,15,FALSE)</f>
        <v>3.2655306000000002E-2</v>
      </c>
      <c r="BM86">
        <f>VLOOKUP(all_cause_mort[[Country]:[Country]],'[1]Mortality Data'!$A$2:$W$201,16,FALSE)</f>
        <v>4.3915050999999997E-2</v>
      </c>
      <c r="BN86">
        <f>VLOOKUP(all_cause_mort[[Country]:[Country]],'[1]Mortality Data'!$A$2:$W$201,17,FALSE)</f>
        <v>6.2965795000000005E-2</v>
      </c>
      <c r="BO86">
        <f>VLOOKUP(all_cause_mort[[Country]:[Country]],'[1]Mortality Data'!$A$2:$W$201,18,FALSE)</f>
        <v>9.1826706999999994E-2</v>
      </c>
      <c r="BP86">
        <f>VLOOKUP(all_cause_mort[[Country]:[Country]],'[1]Mortality Data'!$A$2:$W$201,19,FALSE)</f>
        <v>0.14595126999999999</v>
      </c>
      <c r="BQ86">
        <f>VLOOKUP(all_cause_mort[[Country]:[Country]],'[1]Mortality Data'!$A$2:$W$201,20,FALSE)</f>
        <v>0.23821381</v>
      </c>
      <c r="BR86">
        <f>VLOOKUP(all_cause_mort[[Country]:[Country]],'[1]Mortality Data'!$A$2:$W$201,21,FALSE)</f>
        <v>0.36529415999999998</v>
      </c>
      <c r="BS86">
        <f>VLOOKUP(all_cause_mort[[Country]:[Country]],'[1]Mortality Data'!$A$2:$W$201,22,FALSE)</f>
        <v>0.48052257999999998</v>
      </c>
      <c r="BT86">
        <f>VLOOKUP(all_cause_mort[[Country]:[Country]],'[1]Mortality Data'!$A$2:$W$201,23,FALSE)</f>
        <v>0.584810300988996</v>
      </c>
      <c r="BU86" s="39" t="e">
        <f>VLOOKUP(all_cause_mort[[#This Row],[Country]],[2]!regions[#Data],3,FALSE)</f>
        <v>#REF!</v>
      </c>
    </row>
    <row r="87" spans="1:73" x14ac:dyDescent="0.35">
      <c r="A87" t="s">
        <v>101</v>
      </c>
      <c r="B87">
        <v>1555880</v>
      </c>
      <c r="C87">
        <v>1596154</v>
      </c>
      <c r="D87">
        <v>1638139</v>
      </c>
      <c r="E87">
        <v>1681495</v>
      </c>
      <c r="F87">
        <v>1725744</v>
      </c>
      <c r="G87">
        <v>1770526</v>
      </c>
      <c r="H87">
        <v>1815698</v>
      </c>
      <c r="I87">
        <v>1861283</v>
      </c>
      <c r="K87" t="s">
        <v>101</v>
      </c>
      <c r="L87">
        <v>36.579000000000001</v>
      </c>
      <c r="M87">
        <f>birthrate[[#This Row],[2016]]/1000</f>
        <v>3.6579E-2</v>
      </c>
      <c r="O87" t="s">
        <v>128</v>
      </c>
      <c r="P87">
        <v>99.9</v>
      </c>
      <c r="Q87">
        <f>facility[[#This Row],[Facility (%)]]/100</f>
        <v>0.99900000000000011</v>
      </c>
      <c r="S87" t="s">
        <v>119</v>
      </c>
      <c r="T87" t="s">
        <v>271</v>
      </c>
      <c r="U87">
        <v>61.8</v>
      </c>
      <c r="V87">
        <f>SBA[[#This Row],[SBA (%)]]/100</f>
        <v>0.61799999999999999</v>
      </c>
      <c r="X87" s="10" t="s">
        <v>137</v>
      </c>
      <c r="Y87" s="10" t="s">
        <v>252</v>
      </c>
      <c r="Z87" s="21">
        <v>7.8E-2</v>
      </c>
      <c r="AA87" s="21">
        <v>6.1400000000000003E-2</v>
      </c>
      <c r="AB87" s="21">
        <v>9.8599999999999993E-2</v>
      </c>
      <c r="AC87" s="22">
        <v>52425</v>
      </c>
      <c r="AD87" s="27">
        <v>1.0510204081632649E-2</v>
      </c>
      <c r="AF87" s="24" t="s">
        <v>115</v>
      </c>
      <c r="AG87" s="24" t="s">
        <v>253</v>
      </c>
      <c r="AH87" s="24"/>
      <c r="AI87" s="25">
        <f>IF(birthdose[[#This Row],[2017]]/100=0, ,birthdose[[#This Row],[2017]]/100)</f>
        <v>0</v>
      </c>
      <c r="AK87" s="24" t="s">
        <v>115</v>
      </c>
      <c r="AL87" s="24" t="s">
        <v>254</v>
      </c>
      <c r="AM87" s="24">
        <v>93</v>
      </c>
      <c r="AN87" s="25">
        <f>IF(fullvax[[#This Row],[2017]]/100=0, ,fullvax[[#This Row],[2017]]/100)</f>
        <v>0.93</v>
      </c>
      <c r="AV87" s="8" t="s">
        <v>127</v>
      </c>
      <c r="AW87" s="11" t="s">
        <v>15</v>
      </c>
      <c r="AX87" s="41">
        <f>VLOOKUP(all_cause_mort[[#This Row],[Country]],[1]!populations[#Data],9,FALSE)*VLOOKUP(all_cause_mort[[#This Row],[Country]],[1]!birthrate[#Data],3,FALSE)</f>
        <v>162389.550108</v>
      </c>
      <c r="AY87">
        <f>VLOOKUP(all_cause_mort[[Country]:[Country]],'[1]Mortality Data'!$A$2:$W$201,2,FALSE)</f>
        <v>5.6507960000000003E-2</v>
      </c>
      <c r="AZ87">
        <f>VLOOKUP(all_cause_mort[[Country]:[Country]],'[1]Mortality Data'!$A$2:$W$201,3,FALSE)</f>
        <v>5.3679430999999996E-3</v>
      </c>
      <c r="BA87">
        <f>VLOOKUP(all_cause_mort[[Country]:[Country]],'[1]Mortality Data'!$A$2:$W$201,4,FALSE)</f>
        <v>1.5302909E-3</v>
      </c>
      <c r="BB87">
        <f>VLOOKUP(all_cause_mort[[Country]:[Country]],'[1]Mortality Data'!$A$2:$W$201,5,FALSE)</f>
        <v>1.0860201000000001E-3</v>
      </c>
      <c r="BC87">
        <f>VLOOKUP(all_cause_mort[[Country]:[Country]],'[1]Mortality Data'!$A$2:$W$201,6,FALSE)</f>
        <v>1.7091764999999999E-3</v>
      </c>
      <c r="BD87">
        <f>VLOOKUP(all_cause_mort[[Country]:[Country]],'[1]Mortality Data'!$A$2:$W$201,7,FALSE)</f>
        <v>2.5201724999999999E-3</v>
      </c>
      <c r="BE87">
        <f>VLOOKUP(all_cause_mort[[Country]:[Country]],'[1]Mortality Data'!$A$2:$W$201,8,FALSE)</f>
        <v>3.0672944000000001E-3</v>
      </c>
      <c r="BF87">
        <f>VLOOKUP(all_cause_mort[[Country]:[Country]],'[1]Mortality Data'!$A$2:$W$201,9,FALSE)</f>
        <v>3.6989191999999998E-3</v>
      </c>
      <c r="BG87">
        <f>VLOOKUP(all_cause_mort[[Country]:[Country]],'[1]Mortality Data'!$A$2:$W$201,10,FALSE)</f>
        <v>4.6183780999999998E-3</v>
      </c>
      <c r="BH87">
        <f>VLOOKUP(all_cause_mort[[Country]:[Country]],'[1]Mortality Data'!$A$2:$W$201,11,FALSE)</f>
        <v>5.8068152E-3</v>
      </c>
      <c r="BI87">
        <f>VLOOKUP(all_cause_mort[[Country]:[Country]],'[1]Mortality Data'!$A$2:$W$201,12,FALSE)</f>
        <v>7.2483950000000004E-3</v>
      </c>
      <c r="BJ87">
        <f>VLOOKUP(all_cause_mort[[Country]:[Country]],'[1]Mortality Data'!$A$2:$W$201,13,FALSE)</f>
        <v>1.0086743E-2</v>
      </c>
      <c r="BK87">
        <f>VLOOKUP(all_cause_mort[[Country]:[Country]],'[1]Mortality Data'!$A$2:$W$201,14,FALSE)</f>
        <v>1.3482156E-2</v>
      </c>
      <c r="BL87">
        <f>VLOOKUP(all_cause_mort[[Country]:[Country]],'[1]Mortality Data'!$A$2:$W$201,15,FALSE)</f>
        <v>2.0323371E-2</v>
      </c>
      <c r="BM87">
        <f>VLOOKUP(all_cause_mort[[Country]:[Country]],'[1]Mortality Data'!$A$2:$W$201,16,FALSE)</f>
        <v>3.2033071000000003E-2</v>
      </c>
      <c r="BN87">
        <f>VLOOKUP(all_cause_mort[[Country]:[Country]],'[1]Mortality Data'!$A$2:$W$201,17,FALSE)</f>
        <v>5.2055210999999997E-2</v>
      </c>
      <c r="BO87">
        <f>VLOOKUP(all_cause_mort[[Country]:[Country]],'[1]Mortality Data'!$A$2:$W$201,18,FALSE)</f>
        <v>8.5776371000000004E-2</v>
      </c>
      <c r="BP87">
        <f>VLOOKUP(all_cause_mort[[Country]:[Country]],'[1]Mortality Data'!$A$2:$W$201,19,FALSE)</f>
        <v>0.14552051999999999</v>
      </c>
      <c r="BQ87">
        <f>VLOOKUP(all_cause_mort[[Country]:[Country]],'[1]Mortality Data'!$A$2:$W$201,20,FALSE)</f>
        <v>0.24555515</v>
      </c>
      <c r="BR87">
        <f>VLOOKUP(all_cause_mort[[Country]:[Country]],'[1]Mortality Data'!$A$2:$W$201,21,FALSE)</f>
        <v>0.41108940999999999</v>
      </c>
      <c r="BS87">
        <f>VLOOKUP(all_cause_mort[[Country]:[Country]],'[1]Mortality Data'!$A$2:$W$201,22,FALSE)</f>
        <v>0.59078889000000001</v>
      </c>
      <c r="BT87">
        <f>VLOOKUP(all_cause_mort[[Country]:[Country]],'[1]Mortality Data'!$A$2:$W$201,23,FALSE)</f>
        <v>0.78073099687090797</v>
      </c>
      <c r="BU87" s="39" t="e">
        <f>VLOOKUP(all_cause_mort[[#This Row],[Country]],[2]!regions[#Data],3,FALSE)</f>
        <v>#REF!</v>
      </c>
    </row>
    <row r="88" spans="1:73" x14ac:dyDescent="0.35">
      <c r="A88" t="s">
        <v>85</v>
      </c>
      <c r="B88">
        <v>951104</v>
      </c>
      <c r="C88">
        <v>994290</v>
      </c>
      <c r="D88">
        <v>1038593</v>
      </c>
      <c r="E88">
        <v>1083746</v>
      </c>
      <c r="F88">
        <v>1129424</v>
      </c>
      <c r="G88">
        <v>1175389</v>
      </c>
      <c r="H88">
        <v>1221490</v>
      </c>
      <c r="I88">
        <v>1267689</v>
      </c>
      <c r="K88" t="s">
        <v>85</v>
      </c>
      <c r="L88">
        <v>34.113999999999997</v>
      </c>
      <c r="M88">
        <f>birthrate[[#This Row],[2016]]/1000</f>
        <v>3.4113999999999998E-2</v>
      </c>
      <c r="O88" t="s">
        <v>130</v>
      </c>
      <c r="P88">
        <v>99.9</v>
      </c>
      <c r="Q88">
        <f>facility[[#This Row],[Facility (%)]]/100</f>
        <v>0.99900000000000011</v>
      </c>
      <c r="S88" t="s">
        <v>120</v>
      </c>
      <c r="T88">
        <v>2010</v>
      </c>
      <c r="U88">
        <v>98.3</v>
      </c>
      <c r="V88">
        <f>SBA[[#This Row],[SBA (%)]]/100</f>
        <v>0.98299999999999998</v>
      </c>
      <c r="X88" s="13" t="s">
        <v>138</v>
      </c>
      <c r="Y88" s="13" t="s">
        <v>256</v>
      </c>
      <c r="Z88" s="26">
        <v>9.2999999999999999E-2</v>
      </c>
      <c r="AA88" s="26">
        <v>8.6999999999999994E-2</v>
      </c>
      <c r="AB88" s="26">
        <v>0.10199999999999999</v>
      </c>
      <c r="AC88">
        <v>4420184</v>
      </c>
      <c r="AD88" s="27">
        <v>4.5918367346938745E-3</v>
      </c>
      <c r="AF88" s="24" t="s">
        <v>116</v>
      </c>
      <c r="AG88" s="24" t="s">
        <v>253</v>
      </c>
      <c r="AH88" s="24"/>
      <c r="AI88" s="25">
        <f>IF(birthdose[[#This Row],[2017]]/100=0, ,birthdose[[#This Row],[2017]]/100)</f>
        <v>0</v>
      </c>
      <c r="AK88" s="24" t="s">
        <v>116</v>
      </c>
      <c r="AL88" s="24" t="s">
        <v>254</v>
      </c>
      <c r="AM88" s="24"/>
      <c r="AN88" s="25">
        <f>IF(fullvax[[#This Row],[2017]]/100=0, ,fullvax[[#This Row],[2017]]/100)</f>
        <v>0</v>
      </c>
      <c r="AV88" s="12" t="s">
        <v>128</v>
      </c>
      <c r="AW88" s="14" t="s">
        <v>7</v>
      </c>
      <c r="AX88" s="41">
        <f>VLOOKUP(all_cause_mort[[#This Row],[Country]],[1]!populations[#Data],9,FALSE)*VLOOKUP(all_cause_mort[[#This Row],[Country]],[1]!birthrate[#Data],3,FALSE)</f>
        <v>125401.44595200001</v>
      </c>
      <c r="AY88">
        <f>VLOOKUP(all_cause_mort[[Country]:[Country]],'[1]Mortality Data'!$A$2:$W$201,2,FALSE)</f>
        <v>1.0633502E-2</v>
      </c>
      <c r="AZ88">
        <f>VLOOKUP(all_cause_mort[[Country]:[Country]],'[1]Mortality Data'!$A$2:$W$201,3,FALSE)</f>
        <v>5.4941444E-4</v>
      </c>
      <c r="BA88">
        <f>VLOOKUP(all_cause_mort[[Country]:[Country]],'[1]Mortality Data'!$A$2:$W$201,4,FALSE)</f>
        <v>3.8662974000000001E-4</v>
      </c>
      <c r="BB88">
        <f>VLOOKUP(all_cause_mort[[Country]:[Country]],'[1]Mortality Data'!$A$2:$W$201,5,FALSE)</f>
        <v>3.9366004E-4</v>
      </c>
      <c r="BC88">
        <f>VLOOKUP(all_cause_mort[[Country]:[Country]],'[1]Mortality Data'!$A$2:$W$201,6,FALSE)</f>
        <v>9.9262403999999995E-4</v>
      </c>
      <c r="BD88">
        <f>VLOOKUP(all_cause_mort[[Country]:[Country]],'[1]Mortality Data'!$A$2:$W$201,7,FALSE)</f>
        <v>1.3446048E-3</v>
      </c>
      <c r="BE88">
        <f>VLOOKUP(all_cause_mort[[Country]:[Country]],'[1]Mortality Data'!$A$2:$W$201,8,FALSE)</f>
        <v>1.4292258E-3</v>
      </c>
      <c r="BF88">
        <f>VLOOKUP(all_cause_mort[[Country]:[Country]],'[1]Mortality Data'!$A$2:$W$201,9,FALSE)</f>
        <v>1.5755864000000001E-3</v>
      </c>
      <c r="BG88">
        <f>VLOOKUP(all_cause_mort[[Country]:[Country]],'[1]Mortality Data'!$A$2:$W$201,10,FALSE)</f>
        <v>1.9796494000000001E-3</v>
      </c>
      <c r="BH88">
        <f>VLOOKUP(all_cause_mort[[Country]:[Country]],'[1]Mortality Data'!$A$2:$W$201,11,FALSE)</f>
        <v>2.7943691000000001E-3</v>
      </c>
      <c r="BI88">
        <f>VLOOKUP(all_cause_mort[[Country]:[Country]],'[1]Mortality Data'!$A$2:$W$201,12,FALSE)</f>
        <v>3.9943310999999999E-3</v>
      </c>
      <c r="BJ88">
        <f>VLOOKUP(all_cause_mort[[Country]:[Country]],'[1]Mortality Data'!$A$2:$W$201,13,FALSE)</f>
        <v>6.3095495999999996E-3</v>
      </c>
      <c r="BK88">
        <f>VLOOKUP(all_cause_mort[[Country]:[Country]],'[1]Mortality Data'!$A$2:$W$201,14,FALSE)</f>
        <v>1.0162084E-2</v>
      </c>
      <c r="BL88">
        <f>VLOOKUP(all_cause_mort[[Country]:[Country]],'[1]Mortality Data'!$A$2:$W$201,15,FALSE)</f>
        <v>1.6242993000000001E-2</v>
      </c>
      <c r="BM88">
        <f>VLOOKUP(all_cause_mort[[Country]:[Country]],'[1]Mortality Data'!$A$2:$W$201,16,FALSE)</f>
        <v>2.6793818E-2</v>
      </c>
      <c r="BN88">
        <f>VLOOKUP(all_cause_mort[[Country]:[Country]],'[1]Mortality Data'!$A$2:$W$201,17,FALSE)</f>
        <v>4.2814637000000003E-2</v>
      </c>
      <c r="BO88">
        <f>VLOOKUP(all_cause_mort[[Country]:[Country]],'[1]Mortality Data'!$A$2:$W$201,18,FALSE)</f>
        <v>7.1553538999999999E-2</v>
      </c>
      <c r="BP88">
        <f>VLOOKUP(all_cause_mort[[Country]:[Country]],'[1]Mortality Data'!$A$2:$W$201,19,FALSE)</f>
        <v>0.12044613999999999</v>
      </c>
      <c r="BQ88">
        <f>VLOOKUP(all_cause_mort[[Country]:[Country]],'[1]Mortality Data'!$A$2:$W$201,20,FALSE)</f>
        <v>0.19366718999999999</v>
      </c>
      <c r="BR88">
        <f>VLOOKUP(all_cause_mort[[Country]:[Country]],'[1]Mortality Data'!$A$2:$W$201,21,FALSE)</f>
        <v>0.29487291999999998</v>
      </c>
      <c r="BS88">
        <f>VLOOKUP(all_cause_mort[[Country]:[Country]],'[1]Mortality Data'!$A$2:$W$201,22,FALSE)</f>
        <v>0.40946238000000001</v>
      </c>
      <c r="BT88">
        <f>VLOOKUP(all_cause_mort[[Country]:[Country]],'[1]Mortality Data'!$A$2:$W$201,23,FALSE)</f>
        <v>0.567231994652591</v>
      </c>
      <c r="BU88" s="39" t="e">
        <f>VLOOKUP(all_cause_mort[[#This Row],[Country]],[2]!regions[#Data],3,FALSE)</f>
        <v>#REF!</v>
      </c>
    </row>
    <row r="89" spans="1:73" x14ac:dyDescent="0.35">
      <c r="A89" t="s">
        <v>97</v>
      </c>
      <c r="B89">
        <v>11121341</v>
      </c>
      <c r="C89">
        <v>11104899</v>
      </c>
      <c r="D89">
        <v>11045011</v>
      </c>
      <c r="E89">
        <v>10965211</v>
      </c>
      <c r="F89">
        <v>10892413</v>
      </c>
      <c r="G89">
        <v>10820883</v>
      </c>
      <c r="H89">
        <v>10775971</v>
      </c>
      <c r="I89">
        <v>10760421</v>
      </c>
      <c r="K89" t="s">
        <v>97</v>
      </c>
      <c r="L89">
        <v>8.6</v>
      </c>
      <c r="M89">
        <f>birthrate[[#This Row],[2016]]/1000</f>
        <v>8.6E-3</v>
      </c>
      <c r="O89" t="s">
        <v>131</v>
      </c>
      <c r="P89">
        <v>37.9</v>
      </c>
      <c r="Q89">
        <f>facility[[#This Row],[Facility (%)]]/100</f>
        <v>0.379</v>
      </c>
      <c r="S89" t="s">
        <v>121</v>
      </c>
      <c r="T89" t="s">
        <v>308</v>
      </c>
      <c r="U89">
        <v>99.9</v>
      </c>
      <c r="V89">
        <f>SBA[[#This Row],[SBA (%)]]/100</f>
        <v>0.99900000000000011</v>
      </c>
      <c r="X89" s="10" t="s">
        <v>140</v>
      </c>
      <c r="Y89" s="10" t="s">
        <v>256</v>
      </c>
      <c r="Z89" s="21">
        <v>1E-3</v>
      </c>
      <c r="AA89" s="21">
        <v>1E-3</v>
      </c>
      <c r="AB89" s="21">
        <v>2E-3</v>
      </c>
      <c r="AC89">
        <v>129163276</v>
      </c>
      <c r="AD89" s="27">
        <v>5.1020408163265311E-4</v>
      </c>
      <c r="AF89" s="24" t="s">
        <v>117</v>
      </c>
      <c r="AG89" s="24" t="s">
        <v>253</v>
      </c>
      <c r="AH89" s="24"/>
      <c r="AI89" s="25">
        <f>IF(birthdose[[#This Row],[2017]]/100=0, ,birthdose[[#This Row],[2017]]/100)</f>
        <v>0</v>
      </c>
      <c r="AK89" s="24" t="s">
        <v>117</v>
      </c>
      <c r="AL89" s="24" t="s">
        <v>254</v>
      </c>
      <c r="AM89" s="24">
        <v>99</v>
      </c>
      <c r="AN89" s="25">
        <f>IF(fullvax[[#This Row],[2017]]/100=0, ,fullvax[[#This Row],[2017]]/100)</f>
        <v>0.99</v>
      </c>
      <c r="AV89" s="8" t="s">
        <v>129</v>
      </c>
      <c r="AW89" s="11" t="s">
        <v>11</v>
      </c>
      <c r="AX89" s="41">
        <f>VLOOKUP(all_cause_mort[[#This Row],[Country]],[1]!populations[#Data],9,FALSE)*VLOOKUP(all_cause_mort[[#This Row],[Country]],[1]!birthrate[#Data],3,FALSE)</f>
        <v>30256.614699999998</v>
      </c>
      <c r="AY89">
        <f>VLOOKUP(all_cause_mort[[Country]:[Country]],'[1]Mortality Data'!$A$2:$W$201,2,FALSE)</f>
        <v>4.0572268999999996E-3</v>
      </c>
      <c r="AZ89">
        <f>VLOOKUP(all_cause_mort[[Country]:[Country]],'[1]Mortality Data'!$A$2:$W$201,3,FALSE)</f>
        <v>2.0967292E-4</v>
      </c>
      <c r="BA89">
        <f>VLOOKUP(all_cause_mort[[Country]:[Country]],'[1]Mortality Data'!$A$2:$W$201,4,FALSE)</f>
        <v>9.2799150999999997E-5</v>
      </c>
      <c r="BB89">
        <f>VLOOKUP(all_cause_mort[[Country]:[Country]],'[1]Mortality Data'!$A$2:$W$201,5,FALSE)</f>
        <v>1.9663063E-4</v>
      </c>
      <c r="BC89">
        <f>VLOOKUP(all_cause_mort[[Country]:[Country]],'[1]Mortality Data'!$A$2:$W$201,6,FALSE)</f>
        <v>4.2034412000000002E-4</v>
      </c>
      <c r="BD89">
        <f>VLOOKUP(all_cause_mort[[Country]:[Country]],'[1]Mortality Data'!$A$2:$W$201,7,FALSE)</f>
        <v>6.6710281000000005E-4</v>
      </c>
      <c r="BE89">
        <f>VLOOKUP(all_cause_mort[[Country]:[Country]],'[1]Mortality Data'!$A$2:$W$201,8,FALSE)</f>
        <v>1.1256278E-3</v>
      </c>
      <c r="BF89">
        <f>VLOOKUP(all_cause_mort[[Country]:[Country]],'[1]Mortality Data'!$A$2:$W$201,9,FALSE)</f>
        <v>1.8405520000000001E-3</v>
      </c>
      <c r="BG89">
        <f>VLOOKUP(all_cause_mort[[Country]:[Country]],'[1]Mortality Data'!$A$2:$W$201,10,FALSE)</f>
        <v>2.6708560000000001E-3</v>
      </c>
      <c r="BH89">
        <f>VLOOKUP(all_cause_mort[[Country]:[Country]],'[1]Mortality Data'!$A$2:$W$201,11,FALSE)</f>
        <v>3.7974453000000001E-3</v>
      </c>
      <c r="BI89">
        <f>VLOOKUP(all_cause_mort[[Country]:[Country]],'[1]Mortality Data'!$A$2:$W$201,12,FALSE)</f>
        <v>5.5226620999999998E-3</v>
      </c>
      <c r="BJ89">
        <f>VLOOKUP(all_cause_mort[[Country]:[Country]],'[1]Mortality Data'!$A$2:$W$201,13,FALSE)</f>
        <v>7.6645621999999998E-3</v>
      </c>
      <c r="BK89">
        <f>VLOOKUP(all_cause_mort[[Country]:[Country]],'[1]Mortality Data'!$A$2:$W$201,14,FALSE)</f>
        <v>1.1045266999999999E-2</v>
      </c>
      <c r="BL89">
        <f>VLOOKUP(all_cause_mort[[Country]:[Country]],'[1]Mortality Data'!$A$2:$W$201,15,FALSE)</f>
        <v>1.6510876000000001E-2</v>
      </c>
      <c r="BM89">
        <f>VLOOKUP(all_cause_mort[[Country]:[Country]],'[1]Mortality Data'!$A$2:$W$201,16,FALSE)</f>
        <v>2.2540457E-2</v>
      </c>
      <c r="BN89">
        <f>VLOOKUP(all_cause_mort[[Country]:[Country]],'[1]Mortality Data'!$A$2:$W$201,17,FALSE)</f>
        <v>3.106018E-2</v>
      </c>
      <c r="BO89">
        <f>VLOOKUP(all_cause_mort[[Country]:[Country]],'[1]Mortality Data'!$A$2:$W$201,18,FALSE)</f>
        <v>4.4658710999999997E-2</v>
      </c>
      <c r="BP89">
        <f>VLOOKUP(all_cause_mort[[Country]:[Country]],'[1]Mortality Data'!$A$2:$W$201,19,FALSE)</f>
        <v>7.5285900000000003E-2</v>
      </c>
      <c r="BQ89">
        <f>VLOOKUP(all_cause_mort[[Country]:[Country]],'[1]Mortality Data'!$A$2:$W$201,20,FALSE)</f>
        <v>9.5332129000000002E-2</v>
      </c>
      <c r="BR89">
        <f>VLOOKUP(all_cause_mort[[Country]:[Country]],'[1]Mortality Data'!$A$2:$W$201,21,FALSE)</f>
        <v>0.13974270999999999</v>
      </c>
      <c r="BS89">
        <f>VLOOKUP(all_cause_mort[[Country]:[Country]],'[1]Mortality Data'!$A$2:$W$201,22,FALSE)</f>
        <v>0.20336660000000001</v>
      </c>
      <c r="BT89">
        <f>VLOOKUP(all_cause_mort[[Country]:[Country]],'[1]Mortality Data'!$A$2:$W$201,23,FALSE)</f>
        <v>0.30661519210821597</v>
      </c>
      <c r="BU89" s="39" t="e">
        <f>VLOOKUP(all_cause_mort[[#This Row],[Country]],[2]!regions[#Data],3,FALSE)</f>
        <v>#REF!</v>
      </c>
    </row>
    <row r="90" spans="1:73" x14ac:dyDescent="0.35">
      <c r="A90" t="s">
        <v>98</v>
      </c>
      <c r="B90">
        <v>104677</v>
      </c>
      <c r="C90">
        <v>105075</v>
      </c>
      <c r="D90">
        <v>105481</v>
      </c>
      <c r="E90">
        <v>105909</v>
      </c>
      <c r="F90">
        <v>106360</v>
      </c>
      <c r="G90">
        <v>106823</v>
      </c>
      <c r="H90">
        <v>107317</v>
      </c>
      <c r="I90">
        <v>107825</v>
      </c>
      <c r="K90" t="s">
        <v>98</v>
      </c>
      <c r="L90">
        <v>18.683</v>
      </c>
      <c r="M90">
        <f>birthrate[[#This Row],[2016]]/1000</f>
        <v>1.8682999999999998E-2</v>
      </c>
      <c r="O90" t="s">
        <v>132</v>
      </c>
      <c r="P90">
        <v>91.4</v>
      </c>
      <c r="Q90">
        <f>facility[[#This Row],[Facility (%)]]/100</f>
        <v>0.91400000000000003</v>
      </c>
      <c r="S90" t="s">
        <v>122</v>
      </c>
      <c r="T90" t="s">
        <v>264</v>
      </c>
      <c r="U90">
        <v>98.4</v>
      </c>
      <c r="V90">
        <f>SBA[[#This Row],[SBA (%)]]/100</f>
        <v>0.9840000000000001</v>
      </c>
      <c r="X90" s="13" t="s">
        <v>141</v>
      </c>
      <c r="Y90" s="13" t="s">
        <v>252</v>
      </c>
      <c r="Z90" s="26">
        <v>3.5000000000000003E-2</v>
      </c>
      <c r="AA90" s="26">
        <v>2.6599999999999999E-2</v>
      </c>
      <c r="AB90" s="26">
        <v>4.5900000000000003E-2</v>
      </c>
      <c r="AC90" s="22">
        <v>103616</v>
      </c>
      <c r="AD90" s="27">
        <v>5.5612244897959183E-3</v>
      </c>
      <c r="AF90" s="24" t="s">
        <v>118</v>
      </c>
      <c r="AG90" s="24" t="s">
        <v>253</v>
      </c>
      <c r="AH90" s="24">
        <v>90</v>
      </c>
      <c r="AI90" s="25">
        <f>IF(birthdose[[#This Row],[2017]]/100=0, ,birthdose[[#This Row],[2017]]/100)</f>
        <v>0.9</v>
      </c>
      <c r="AK90" s="24" t="s">
        <v>118</v>
      </c>
      <c r="AL90" s="24" t="s">
        <v>254</v>
      </c>
      <c r="AM90" s="24">
        <v>99</v>
      </c>
      <c r="AN90" s="25">
        <f>IF(fullvax[[#This Row],[2017]]/100=0, ,fullvax[[#This Row],[2017]]/100)</f>
        <v>0.99</v>
      </c>
      <c r="AV90" s="8" t="s">
        <v>131</v>
      </c>
      <c r="AW90" s="11" t="s">
        <v>15</v>
      </c>
      <c r="AX90" s="41">
        <f>VLOOKUP(all_cause_mort[[#This Row],[Country]],[1]!populations[#Data],9,FALSE)*VLOOKUP(all_cause_mort[[#This Row],[Country]],[1]!birthrate[#Data],3,FALSE)</f>
        <v>847547.31477499998</v>
      </c>
      <c r="AY90">
        <f>VLOOKUP(all_cause_mort[[Country]:[Country]],'[1]Mortality Data'!$A$2:$W$201,2,FALSE)</f>
        <v>2.9794632000000001E-2</v>
      </c>
      <c r="AZ90">
        <f>VLOOKUP(all_cause_mort[[Country]:[Country]],'[1]Mortality Data'!$A$2:$W$201,3,FALSE)</f>
        <v>3.6771850999999999E-3</v>
      </c>
      <c r="BA90">
        <f>VLOOKUP(all_cause_mort[[Country]:[Country]],'[1]Mortality Data'!$A$2:$W$201,4,FALSE)</f>
        <v>1.6905665000000001E-3</v>
      </c>
      <c r="BB90">
        <f>VLOOKUP(all_cause_mort[[Country]:[Country]],'[1]Mortality Data'!$A$2:$W$201,5,FALSE)</f>
        <v>1.3279164000000001E-3</v>
      </c>
      <c r="BC90">
        <f>VLOOKUP(all_cause_mort[[Country]:[Country]],'[1]Mortality Data'!$A$2:$W$201,6,FALSE)</f>
        <v>1.848737E-3</v>
      </c>
      <c r="BD90">
        <f>VLOOKUP(all_cause_mort[[Country]:[Country]],'[1]Mortality Data'!$A$2:$W$201,7,FALSE)</f>
        <v>2.1408898999999999E-3</v>
      </c>
      <c r="BE90">
        <f>VLOOKUP(all_cause_mort[[Country]:[Country]],'[1]Mortality Data'!$A$2:$W$201,8,FALSE)</f>
        <v>2.3733652000000002E-3</v>
      </c>
      <c r="BF90">
        <f>VLOOKUP(all_cause_mort[[Country]:[Country]],'[1]Mortality Data'!$A$2:$W$201,9,FALSE)</f>
        <v>3.0687179999999998E-3</v>
      </c>
      <c r="BG90">
        <f>VLOOKUP(all_cause_mort[[Country]:[Country]],'[1]Mortality Data'!$A$2:$W$201,10,FALSE)</f>
        <v>3.9530136999999998E-3</v>
      </c>
      <c r="BH90">
        <f>VLOOKUP(all_cause_mort[[Country]:[Country]],'[1]Mortality Data'!$A$2:$W$201,11,FALSE)</f>
        <v>5.1181643000000002E-3</v>
      </c>
      <c r="BI90">
        <f>VLOOKUP(all_cause_mort[[Country]:[Country]],'[1]Mortality Data'!$A$2:$W$201,12,FALSE)</f>
        <v>6.7688907999999999E-3</v>
      </c>
      <c r="BJ90">
        <f>VLOOKUP(all_cause_mort[[Country]:[Country]],'[1]Mortality Data'!$A$2:$W$201,13,FALSE)</f>
        <v>9.1024993000000005E-3</v>
      </c>
      <c r="BK90">
        <f>VLOOKUP(all_cause_mort[[Country]:[Country]],'[1]Mortality Data'!$A$2:$W$201,14,FALSE)</f>
        <v>1.2922749000000001E-2</v>
      </c>
      <c r="BL90">
        <f>VLOOKUP(all_cause_mort[[Country]:[Country]],'[1]Mortality Data'!$A$2:$W$201,15,FALSE)</f>
        <v>2.0065366000000001E-2</v>
      </c>
      <c r="BM90">
        <f>VLOOKUP(all_cause_mort[[Country]:[Country]],'[1]Mortality Data'!$A$2:$W$201,16,FALSE)</f>
        <v>3.3301007000000001E-2</v>
      </c>
      <c r="BN90">
        <f>VLOOKUP(all_cause_mort[[Country]:[Country]],'[1]Mortality Data'!$A$2:$W$201,17,FALSE)</f>
        <v>5.3231340000000002E-2</v>
      </c>
      <c r="BO90">
        <f>VLOOKUP(all_cause_mort[[Country]:[Country]],'[1]Mortality Data'!$A$2:$W$201,18,FALSE)</f>
        <v>8.2747205000000004E-2</v>
      </c>
      <c r="BP90">
        <f>VLOOKUP(all_cause_mort[[Country]:[Country]],'[1]Mortality Data'!$A$2:$W$201,19,FALSE)</f>
        <v>0.12599365000000001</v>
      </c>
      <c r="BQ90">
        <f>VLOOKUP(all_cause_mort[[Country]:[Country]],'[1]Mortality Data'!$A$2:$W$201,20,FALSE)</f>
        <v>0.18650884000000001</v>
      </c>
      <c r="BR90">
        <f>VLOOKUP(all_cause_mort[[Country]:[Country]],'[1]Mortality Data'!$A$2:$W$201,21,FALSE)</f>
        <v>0.26628594999999999</v>
      </c>
      <c r="BS90">
        <f>VLOOKUP(all_cause_mort[[Country]:[Country]],'[1]Mortality Data'!$A$2:$W$201,22,FALSE)</f>
        <v>0.36397926000000003</v>
      </c>
      <c r="BT90">
        <f>VLOOKUP(all_cause_mort[[Country]:[Country]],'[1]Mortality Data'!$A$2:$W$201,23,FALSE)</f>
        <v>0.46469189649359799</v>
      </c>
      <c r="BU90" s="39" t="e">
        <f>VLOOKUP(all_cause_mort[[#This Row],[Country]],[2]!regions[#Data],3,FALSE)</f>
        <v>#REF!</v>
      </c>
    </row>
    <row r="91" spans="1:73" x14ac:dyDescent="0.35">
      <c r="A91" t="s">
        <v>309</v>
      </c>
      <c r="B91">
        <v>56905</v>
      </c>
      <c r="C91">
        <v>56890</v>
      </c>
      <c r="D91">
        <v>56810</v>
      </c>
      <c r="E91">
        <v>56483</v>
      </c>
      <c r="F91">
        <v>56295</v>
      </c>
      <c r="G91">
        <v>56114</v>
      </c>
      <c r="H91">
        <v>56186</v>
      </c>
      <c r="I91">
        <v>56171</v>
      </c>
      <c r="K91" t="s">
        <v>309</v>
      </c>
      <c r="L91">
        <v>14.8</v>
      </c>
      <c r="M91">
        <f>birthrate[[#This Row],[2016]]/1000</f>
        <v>1.4800000000000001E-2</v>
      </c>
      <c r="O91" t="s">
        <v>133</v>
      </c>
      <c r="P91">
        <v>98.9</v>
      </c>
      <c r="Q91">
        <f>facility[[#This Row],[Facility (%)]]/100</f>
        <v>0.9890000000000001</v>
      </c>
      <c r="S91" t="s">
        <v>123</v>
      </c>
      <c r="T91" t="s">
        <v>310</v>
      </c>
      <c r="U91">
        <v>40.1</v>
      </c>
      <c r="V91">
        <f>SBA[[#This Row],[SBA (%)]]/100</f>
        <v>0.40100000000000002</v>
      </c>
      <c r="X91" s="13" t="s">
        <v>143</v>
      </c>
      <c r="Y91" s="13" t="s">
        <v>256</v>
      </c>
      <c r="Z91" s="26">
        <v>4.1000000000000002E-2</v>
      </c>
      <c r="AA91" s="26">
        <v>3.1E-2</v>
      </c>
      <c r="AB91" s="26">
        <v>4.8000000000000001E-2</v>
      </c>
      <c r="AC91">
        <v>3075647</v>
      </c>
      <c r="AD91" s="27">
        <v>3.5714285714285713E-3</v>
      </c>
      <c r="AF91" s="24" t="s">
        <v>119</v>
      </c>
      <c r="AG91" s="24" t="s">
        <v>253</v>
      </c>
      <c r="AH91" s="24"/>
      <c r="AI91" s="25">
        <f>IF(birthdose[[#This Row],[2017]]/100=0, ,birthdose[[#This Row],[2017]]/100)</f>
        <v>0</v>
      </c>
      <c r="AK91" s="24" t="s">
        <v>119</v>
      </c>
      <c r="AL91" s="24" t="s">
        <v>254</v>
      </c>
      <c r="AM91" s="24">
        <v>82</v>
      </c>
      <c r="AN91" s="25">
        <f>IF(fullvax[[#This Row],[2017]]/100=0, ,fullvax[[#This Row],[2017]]/100)</f>
        <v>0.82</v>
      </c>
      <c r="AV91" s="12" t="s">
        <v>132</v>
      </c>
      <c r="AW91" s="14" t="s">
        <v>15</v>
      </c>
      <c r="AX91" s="41">
        <f>VLOOKUP(all_cause_mort[[#This Row],[Country]],[1]!populations[#Data],9,FALSE)*VLOOKUP(all_cause_mort[[#This Row],[Country]],[1]!birthrate[#Data],3,FALSE)</f>
        <v>683505.70521599997</v>
      </c>
      <c r="AY91">
        <f>VLOOKUP(all_cause_mort[[Country]:[Country]],'[1]Mortality Data'!$A$2:$W$201,2,FALSE)</f>
        <v>4.2811245999999997E-2</v>
      </c>
      <c r="AZ91">
        <f>VLOOKUP(all_cause_mort[[Country]:[Country]],'[1]Mortality Data'!$A$2:$W$201,3,FALSE)</f>
        <v>3.7157572000000002E-3</v>
      </c>
      <c r="BA91">
        <f>VLOOKUP(all_cause_mort[[Country]:[Country]],'[1]Mortality Data'!$A$2:$W$201,4,FALSE)</f>
        <v>1.2508653E-3</v>
      </c>
      <c r="BB91">
        <f>VLOOKUP(all_cause_mort[[Country]:[Country]],'[1]Mortality Data'!$A$2:$W$201,5,FALSE)</f>
        <v>9.7496102000000002E-4</v>
      </c>
      <c r="BC91">
        <f>VLOOKUP(all_cause_mort[[Country]:[Country]],'[1]Mortality Data'!$A$2:$W$201,6,FALSE)</f>
        <v>1.6053027999999999E-3</v>
      </c>
      <c r="BD91">
        <f>VLOOKUP(all_cause_mort[[Country]:[Country]],'[1]Mortality Data'!$A$2:$W$201,7,FALSE)</f>
        <v>2.5425773E-3</v>
      </c>
      <c r="BE91">
        <f>VLOOKUP(all_cause_mort[[Country]:[Country]],'[1]Mortality Data'!$A$2:$W$201,8,FALSE)</f>
        <v>3.5004199000000001E-3</v>
      </c>
      <c r="BF91">
        <f>VLOOKUP(all_cause_mort[[Country]:[Country]],'[1]Mortality Data'!$A$2:$W$201,9,FALSE)</f>
        <v>4.5757287000000001E-3</v>
      </c>
      <c r="BG91">
        <f>VLOOKUP(all_cause_mort[[Country]:[Country]],'[1]Mortality Data'!$A$2:$W$201,10,FALSE)</f>
        <v>6.1272332999999998E-3</v>
      </c>
      <c r="BH91">
        <f>VLOOKUP(all_cause_mort[[Country]:[Country]],'[1]Mortality Data'!$A$2:$W$201,11,FALSE)</f>
        <v>7.6369424E-3</v>
      </c>
      <c r="BI91">
        <f>VLOOKUP(all_cause_mort[[Country]:[Country]],'[1]Mortality Data'!$A$2:$W$201,12,FALSE)</f>
        <v>9.4454185000000003E-3</v>
      </c>
      <c r="BJ91">
        <f>VLOOKUP(all_cause_mort[[Country]:[Country]],'[1]Mortality Data'!$A$2:$W$201,13,FALSE)</f>
        <v>1.2465039000000001E-2</v>
      </c>
      <c r="BK91">
        <f>VLOOKUP(all_cause_mort[[Country]:[Country]],'[1]Mortality Data'!$A$2:$W$201,14,FALSE)</f>
        <v>1.6058030000000001E-2</v>
      </c>
      <c r="BL91">
        <f>VLOOKUP(all_cause_mort[[Country]:[Country]],'[1]Mortality Data'!$A$2:$W$201,15,FALSE)</f>
        <v>2.2996717E-2</v>
      </c>
      <c r="BM91">
        <f>VLOOKUP(all_cause_mort[[Country]:[Country]],'[1]Mortality Data'!$A$2:$W$201,16,FALSE)</f>
        <v>3.4665253E-2</v>
      </c>
      <c r="BN91">
        <f>VLOOKUP(all_cause_mort[[Country]:[Country]],'[1]Mortality Data'!$A$2:$W$201,17,FALSE)</f>
        <v>5.4034497000000001E-2</v>
      </c>
      <c r="BO91">
        <f>VLOOKUP(all_cause_mort[[Country]:[Country]],'[1]Mortality Data'!$A$2:$W$201,18,FALSE)</f>
        <v>8.6188047000000004E-2</v>
      </c>
      <c r="BP91">
        <f>VLOOKUP(all_cause_mort[[Country]:[Country]],'[1]Mortality Data'!$A$2:$W$201,19,FALSE)</f>
        <v>0.14431994000000001</v>
      </c>
      <c r="BQ91">
        <f>VLOOKUP(all_cause_mort[[Country]:[Country]],'[1]Mortality Data'!$A$2:$W$201,20,FALSE)</f>
        <v>0.24254856999999999</v>
      </c>
      <c r="BR91">
        <f>VLOOKUP(all_cause_mort[[Country]:[Country]],'[1]Mortality Data'!$A$2:$W$201,21,FALSE)</f>
        <v>0.40175656999999998</v>
      </c>
      <c r="BS91">
        <f>VLOOKUP(all_cause_mort[[Country]:[Country]],'[1]Mortality Data'!$A$2:$W$201,22,FALSE)</f>
        <v>0.57511011000000001</v>
      </c>
      <c r="BT91">
        <f>VLOOKUP(all_cause_mort[[Country]:[Country]],'[1]Mortality Data'!$A$2:$W$201,23,FALSE)</f>
        <v>0.75913958512110702</v>
      </c>
      <c r="BU91" s="39" t="e">
        <f>VLOOKUP(all_cause_mort[[#This Row],[Country]],[2]!regions[#Data],3,FALSE)</f>
        <v>#REF!</v>
      </c>
    </row>
    <row r="92" spans="1:73" x14ac:dyDescent="0.35">
      <c r="A92" t="s">
        <v>99</v>
      </c>
      <c r="B92">
        <v>14630417</v>
      </c>
      <c r="C92">
        <v>14948919</v>
      </c>
      <c r="D92">
        <v>15271056</v>
      </c>
      <c r="E92">
        <v>15596214</v>
      </c>
      <c r="F92">
        <v>15923559</v>
      </c>
      <c r="G92">
        <v>16252429</v>
      </c>
      <c r="H92">
        <v>16582469</v>
      </c>
      <c r="I92">
        <v>16913503</v>
      </c>
      <c r="K92" t="s">
        <v>99</v>
      </c>
      <c r="L92">
        <v>25.273</v>
      </c>
      <c r="M92">
        <f>birthrate[[#This Row],[2016]]/1000</f>
        <v>2.5273E-2</v>
      </c>
      <c r="O92" t="s">
        <v>134</v>
      </c>
      <c r="P92">
        <v>95.1</v>
      </c>
      <c r="Q92">
        <f>facility[[#This Row],[Facility (%)]]/100</f>
        <v>0.95099999999999996</v>
      </c>
      <c r="S92" t="s">
        <v>124</v>
      </c>
      <c r="T92">
        <v>2016</v>
      </c>
      <c r="U92">
        <v>99.9</v>
      </c>
      <c r="V92">
        <f>SBA[[#This Row],[SBA (%)]]/100</f>
        <v>0.99900000000000011</v>
      </c>
      <c r="X92" s="10" t="s">
        <v>145</v>
      </c>
      <c r="Y92" s="10" t="s">
        <v>256</v>
      </c>
      <c r="Z92" s="21">
        <v>1.0999999999999999E-2</v>
      </c>
      <c r="AA92" s="21">
        <v>8.0000000000000002E-3</v>
      </c>
      <c r="AB92" s="21">
        <v>1.2E-2</v>
      </c>
      <c r="AC92">
        <v>35739580</v>
      </c>
      <c r="AD92" s="27">
        <v>5.1020408163265354E-4</v>
      </c>
      <c r="AF92" s="24" t="s">
        <v>120</v>
      </c>
      <c r="AG92" s="24" t="s">
        <v>253</v>
      </c>
      <c r="AH92" s="24">
        <v>89</v>
      </c>
      <c r="AI92" s="25">
        <f>IF(birthdose[[#This Row],[2017]]/100=0, ,birthdose[[#This Row],[2017]]/100)</f>
        <v>0.89</v>
      </c>
      <c r="AK92" s="24" t="s">
        <v>120</v>
      </c>
      <c r="AL92" s="24" t="s">
        <v>254</v>
      </c>
      <c r="AM92" s="24">
        <v>90</v>
      </c>
      <c r="AN92" s="25">
        <f>IF(fullvax[[#This Row],[2017]]/100=0, ,fullvax[[#This Row],[2017]]/100)</f>
        <v>0.9</v>
      </c>
      <c r="AV92" s="8" t="s">
        <v>133</v>
      </c>
      <c r="AW92" s="11" t="s">
        <v>58</v>
      </c>
      <c r="AX92" s="41">
        <f>VLOOKUP(all_cause_mort[[#This Row],[Country]],[1]!populations[#Data],9,FALSE)*VLOOKUP(all_cause_mort[[#This Row],[Country]],[1]!birthrate[#Data],3,FALSE)</f>
        <v>539256.94972800009</v>
      </c>
      <c r="AY92">
        <f>VLOOKUP(all_cause_mort[[Country]:[Country]],'[1]Mortality Data'!$A$2:$W$201,2,FALSE)</f>
        <v>5.9307283999999998E-3</v>
      </c>
      <c r="AZ92">
        <f>VLOOKUP(all_cause_mort[[Country]:[Country]],'[1]Mortality Data'!$A$2:$W$201,3,FALSE)</f>
        <v>2.6927302000000002E-4</v>
      </c>
      <c r="BA92">
        <f>VLOOKUP(all_cause_mort[[Country]:[Country]],'[1]Mortality Data'!$A$2:$W$201,4,FALSE)</f>
        <v>1.7408437000000001E-4</v>
      </c>
      <c r="BB92">
        <f>VLOOKUP(all_cause_mort[[Country]:[Country]],'[1]Mortality Data'!$A$2:$W$201,5,FALSE)</f>
        <v>2.4167024E-4</v>
      </c>
      <c r="BC92">
        <f>VLOOKUP(all_cause_mort[[Country]:[Country]],'[1]Mortality Data'!$A$2:$W$201,6,FALSE)</f>
        <v>5.6535991000000003E-4</v>
      </c>
      <c r="BD92">
        <f>VLOOKUP(all_cause_mort[[Country]:[Country]],'[1]Mortality Data'!$A$2:$W$201,7,FALSE)</f>
        <v>5.9290065000000005E-4</v>
      </c>
      <c r="BE92">
        <f>VLOOKUP(all_cause_mort[[Country]:[Country]],'[1]Mortality Data'!$A$2:$W$201,8,FALSE)</f>
        <v>6.2334768999999996E-4</v>
      </c>
      <c r="BF92">
        <f>VLOOKUP(all_cause_mort[[Country]:[Country]],'[1]Mortality Data'!$A$2:$W$201,9,FALSE)</f>
        <v>1.0789250999999999E-3</v>
      </c>
      <c r="BG92">
        <f>VLOOKUP(all_cause_mort[[Country]:[Country]],'[1]Mortality Data'!$A$2:$W$201,10,FALSE)</f>
        <v>1.6083642E-3</v>
      </c>
      <c r="BH92">
        <f>VLOOKUP(all_cause_mort[[Country]:[Country]],'[1]Mortality Data'!$A$2:$W$201,11,FALSE)</f>
        <v>2.3934461000000001E-3</v>
      </c>
      <c r="BI92">
        <f>VLOOKUP(all_cause_mort[[Country]:[Country]],'[1]Mortality Data'!$A$2:$W$201,12,FALSE)</f>
        <v>4.1970050999999998E-3</v>
      </c>
      <c r="BJ92">
        <f>VLOOKUP(all_cause_mort[[Country]:[Country]],'[1]Mortality Data'!$A$2:$W$201,13,FALSE)</f>
        <v>6.3957772999999997E-3</v>
      </c>
      <c r="BK92">
        <f>VLOOKUP(all_cause_mort[[Country]:[Country]],'[1]Mortality Data'!$A$2:$W$201,14,FALSE)</f>
        <v>9.3744764999999994E-3</v>
      </c>
      <c r="BL92">
        <f>VLOOKUP(all_cause_mort[[Country]:[Country]],'[1]Mortality Data'!$A$2:$W$201,15,FALSE)</f>
        <v>1.3013995E-2</v>
      </c>
      <c r="BM92">
        <f>VLOOKUP(all_cause_mort[[Country]:[Country]],'[1]Mortality Data'!$A$2:$W$201,16,FALSE)</f>
        <v>2.1280139E-2</v>
      </c>
      <c r="BN92">
        <f>VLOOKUP(all_cause_mort[[Country]:[Country]],'[1]Mortality Data'!$A$2:$W$201,17,FALSE)</f>
        <v>3.7078991999999998E-2</v>
      </c>
      <c r="BO92">
        <f>VLOOKUP(all_cause_mort[[Country]:[Country]],'[1]Mortality Data'!$A$2:$W$201,18,FALSE)</f>
        <v>5.4851868999999998E-2</v>
      </c>
      <c r="BP92">
        <f>VLOOKUP(all_cause_mort[[Country]:[Country]],'[1]Mortality Data'!$A$2:$W$201,19,FALSE)</f>
        <v>8.5358191E-2</v>
      </c>
      <c r="BQ92">
        <f>VLOOKUP(all_cause_mort[[Country]:[Country]],'[1]Mortality Data'!$A$2:$W$201,20,FALSE)</f>
        <v>0.12818539000000001</v>
      </c>
      <c r="BR92">
        <f>VLOOKUP(all_cause_mort[[Country]:[Country]],'[1]Mortality Data'!$A$2:$W$201,21,FALSE)</f>
        <v>0.18209918999999999</v>
      </c>
      <c r="BS92">
        <f>VLOOKUP(all_cause_mort[[Country]:[Country]],'[1]Mortality Data'!$A$2:$W$201,22,FALSE)</f>
        <v>0.23688722000000001</v>
      </c>
      <c r="BT92">
        <f>VLOOKUP(all_cause_mort[[Country]:[Country]],'[1]Mortality Data'!$A$2:$W$201,23,FALSE)</f>
        <v>0.30697249026122098</v>
      </c>
      <c r="BU92" s="39" t="e">
        <f>VLOOKUP(all_cause_mort[[#This Row],[Country]],[2]!regions[#Data],3,FALSE)</f>
        <v>#REF!</v>
      </c>
    </row>
    <row r="93" spans="1:73" x14ac:dyDescent="0.35">
      <c r="A93" t="s">
        <v>311</v>
      </c>
      <c r="B93">
        <v>159444</v>
      </c>
      <c r="C93">
        <v>159678</v>
      </c>
      <c r="D93">
        <v>159973</v>
      </c>
      <c r="E93">
        <v>160375</v>
      </c>
      <c r="F93">
        <v>160967</v>
      </c>
      <c r="G93">
        <v>161797</v>
      </c>
      <c r="H93">
        <v>162896</v>
      </c>
      <c r="I93">
        <v>164229</v>
      </c>
      <c r="K93" t="s">
        <v>311</v>
      </c>
      <c r="L93">
        <v>16.78</v>
      </c>
      <c r="M93">
        <f>birthrate[[#This Row],[2016]]/1000</f>
        <v>1.678E-2</v>
      </c>
      <c r="O93" t="s">
        <v>135</v>
      </c>
      <c r="P93">
        <v>64.5</v>
      </c>
      <c r="Q93">
        <f>facility[[#This Row],[Facility (%)]]/100</f>
        <v>0.64500000000000002</v>
      </c>
      <c r="S93" t="s">
        <v>126</v>
      </c>
      <c r="T93" t="s">
        <v>271</v>
      </c>
      <c r="U93">
        <v>77.900000000000006</v>
      </c>
      <c r="V93">
        <f>SBA[[#This Row],[SBA (%)]]/100</f>
        <v>0.77900000000000003</v>
      </c>
      <c r="X93" s="13" t="s">
        <v>146</v>
      </c>
      <c r="Y93" s="13" t="s">
        <v>256</v>
      </c>
      <c r="Z93" s="26">
        <v>7.4999999999999997E-2</v>
      </c>
      <c r="AA93" s="26">
        <v>5.6000000000000001E-2</v>
      </c>
      <c r="AB93" s="26">
        <v>8.6999999999999994E-2</v>
      </c>
      <c r="AC93">
        <v>29668834</v>
      </c>
      <c r="AD93" s="27">
        <v>6.1224489795918356E-3</v>
      </c>
      <c r="AF93" s="24" t="s">
        <v>121</v>
      </c>
      <c r="AG93" s="24" t="s">
        <v>253</v>
      </c>
      <c r="AH93" s="24">
        <v>99</v>
      </c>
      <c r="AI93" s="25">
        <f>IF(birthdose[[#This Row],[2017]]/100=0, ,birthdose[[#This Row],[2017]]/100)</f>
        <v>0.99</v>
      </c>
      <c r="AK93" s="24" t="s">
        <v>121</v>
      </c>
      <c r="AL93" s="24" t="s">
        <v>254</v>
      </c>
      <c r="AM93" s="24">
        <v>99</v>
      </c>
      <c r="AN93" s="25">
        <f>IF(fullvax[[#This Row],[2017]]/100=0, ,fullvax[[#This Row],[2017]]/100)</f>
        <v>0.99</v>
      </c>
      <c r="AV93" s="12" t="s">
        <v>134</v>
      </c>
      <c r="AW93" s="14" t="s">
        <v>37</v>
      </c>
      <c r="AX93" s="41">
        <f>VLOOKUP(all_cause_mort[[#This Row],[Country]],[1]!populations[#Data],9,FALSE)*VLOOKUP(all_cause_mort[[#This Row],[Country]],[1]!birthrate[#Data],3,FALSE)</f>
        <v>7971.7490999999991</v>
      </c>
      <c r="AY93">
        <f>VLOOKUP(all_cause_mort[[Country]:[Country]],'[1]Mortality Data'!$A$2:$W$201,2,FALSE)</f>
        <v>6.8079344999999996E-3</v>
      </c>
      <c r="AZ93">
        <f>VLOOKUP(all_cause_mort[[Country]:[Country]],'[1]Mortality Data'!$A$2:$W$201,3,FALSE)</f>
        <v>2.914374E-4</v>
      </c>
      <c r="BA93">
        <f>VLOOKUP(all_cause_mort[[Country]:[Country]],'[1]Mortality Data'!$A$2:$W$201,4,FALSE)</f>
        <v>2.5276326999999998E-4</v>
      </c>
      <c r="BB93">
        <f>VLOOKUP(all_cause_mort[[Country]:[Country]],'[1]Mortality Data'!$A$2:$W$201,5,FALSE)</f>
        <v>3.3945421000000002E-4</v>
      </c>
      <c r="BC93">
        <f>VLOOKUP(all_cause_mort[[Country]:[Country]],'[1]Mortality Data'!$A$2:$W$201,6,FALSE)</f>
        <v>3.4664420000000002E-4</v>
      </c>
      <c r="BD93">
        <f>VLOOKUP(all_cause_mort[[Country]:[Country]],'[1]Mortality Data'!$A$2:$W$201,7,FALSE)</f>
        <v>5.0744178E-4</v>
      </c>
      <c r="BE93">
        <f>VLOOKUP(all_cause_mort[[Country]:[Country]],'[1]Mortality Data'!$A$2:$W$201,8,FALSE)</f>
        <v>4.7114983000000002E-4</v>
      </c>
      <c r="BF93">
        <f>VLOOKUP(all_cause_mort[[Country]:[Country]],'[1]Mortality Data'!$A$2:$W$201,9,FALSE)</f>
        <v>5.2682086999999999E-4</v>
      </c>
      <c r="BG93">
        <f>VLOOKUP(all_cause_mort[[Country]:[Country]],'[1]Mortality Data'!$A$2:$W$201,10,FALSE)</f>
        <v>5.8680513000000005E-4</v>
      </c>
      <c r="BH93">
        <f>VLOOKUP(all_cause_mort[[Country]:[Country]],'[1]Mortality Data'!$A$2:$W$201,11,FALSE)</f>
        <v>9.3597839000000003E-4</v>
      </c>
      <c r="BI93">
        <f>VLOOKUP(all_cause_mort[[Country]:[Country]],'[1]Mortality Data'!$A$2:$W$201,12,FALSE)</f>
        <v>1.651418E-3</v>
      </c>
      <c r="BJ93">
        <f>VLOOKUP(all_cause_mort[[Country]:[Country]],'[1]Mortality Data'!$A$2:$W$201,13,FALSE)</f>
        <v>2.4051560999999999E-3</v>
      </c>
      <c r="BK93">
        <f>VLOOKUP(all_cause_mort[[Country]:[Country]],'[1]Mortality Data'!$A$2:$W$201,14,FALSE)</f>
        <v>4.6543225000000004E-3</v>
      </c>
      <c r="BL93">
        <f>VLOOKUP(all_cause_mort[[Country]:[Country]],'[1]Mortality Data'!$A$2:$W$201,15,FALSE)</f>
        <v>8.7700704999999993E-3</v>
      </c>
      <c r="BM93">
        <f>VLOOKUP(all_cause_mort[[Country]:[Country]],'[1]Mortality Data'!$A$2:$W$201,16,FALSE)</f>
        <v>1.6718212999999999E-2</v>
      </c>
      <c r="BN93">
        <f>VLOOKUP(all_cause_mort[[Country]:[Country]],'[1]Mortality Data'!$A$2:$W$201,17,FALSE)</f>
        <v>3.1887067999999998E-2</v>
      </c>
      <c r="BO93">
        <f>VLOOKUP(all_cause_mort[[Country]:[Country]],'[1]Mortality Data'!$A$2:$W$201,18,FALSE)</f>
        <v>6.1026348000000001E-2</v>
      </c>
      <c r="BP93">
        <f>VLOOKUP(all_cause_mort[[Country]:[Country]],'[1]Mortality Data'!$A$2:$W$201,19,FALSE)</f>
        <v>8.8699718999999996E-2</v>
      </c>
      <c r="BQ93">
        <f>VLOOKUP(all_cause_mort[[Country]:[Country]],'[1]Mortality Data'!$A$2:$W$201,20,FALSE)</f>
        <v>0.13225489000000001</v>
      </c>
      <c r="BR93">
        <f>VLOOKUP(all_cause_mort[[Country]:[Country]],'[1]Mortality Data'!$A$2:$W$201,21,FALSE)</f>
        <v>0.18909703</v>
      </c>
      <c r="BS93">
        <f>VLOOKUP(all_cause_mort[[Country]:[Country]],'[1]Mortality Data'!$A$2:$W$201,22,FALSE)</f>
        <v>0.25758950000000003</v>
      </c>
      <c r="BT93">
        <f>VLOOKUP(all_cause_mort[[Country]:[Country]],'[1]Mortality Data'!$A$2:$W$201,23,FALSE)</f>
        <v>0.36025341377936199</v>
      </c>
      <c r="BU93" s="39" t="e">
        <f>VLOOKUP(all_cause_mort[[#This Row],[Country]],[2]!regions[#Data],3,FALSE)</f>
        <v>#REF!</v>
      </c>
    </row>
    <row r="94" spans="1:73" x14ac:dyDescent="0.35">
      <c r="A94" t="s">
        <v>102</v>
      </c>
      <c r="B94">
        <v>746556</v>
      </c>
      <c r="C94">
        <v>749100</v>
      </c>
      <c r="D94">
        <v>753091</v>
      </c>
      <c r="E94">
        <v>758081</v>
      </c>
      <c r="F94">
        <v>763393</v>
      </c>
      <c r="G94">
        <v>768514</v>
      </c>
      <c r="H94">
        <v>773303</v>
      </c>
      <c r="I94">
        <v>777859</v>
      </c>
      <c r="K94" t="s">
        <v>102</v>
      </c>
      <c r="L94">
        <v>20.576000000000001</v>
      </c>
      <c r="M94">
        <f>birthrate[[#This Row],[2016]]/1000</f>
        <v>2.0576000000000001E-2</v>
      </c>
      <c r="O94" t="s">
        <v>136</v>
      </c>
      <c r="P94">
        <v>99.9</v>
      </c>
      <c r="Q94">
        <f>facility[[#This Row],[Facility (%)]]/100</f>
        <v>0.99900000000000011</v>
      </c>
      <c r="S94" t="s">
        <v>127</v>
      </c>
      <c r="T94" t="s">
        <v>293</v>
      </c>
      <c r="U94">
        <v>61.1</v>
      </c>
      <c r="V94">
        <f>SBA[[#This Row],[SBA (%)]]/100</f>
        <v>0.61099999999999999</v>
      </c>
      <c r="X94" s="10" t="s">
        <v>147</v>
      </c>
      <c r="Y94" s="10" t="s">
        <v>256</v>
      </c>
      <c r="Z94" s="21">
        <v>8.3000000000000004E-2</v>
      </c>
      <c r="AA94" s="21">
        <v>4.5999999999999999E-2</v>
      </c>
      <c r="AB94" s="21">
        <v>9.4E-2</v>
      </c>
      <c r="AC94">
        <v>53370609</v>
      </c>
      <c r="AD94" s="27">
        <v>5.6122448979591816E-3</v>
      </c>
      <c r="AF94" s="24" t="s">
        <v>122</v>
      </c>
      <c r="AG94" s="24" t="s">
        <v>253</v>
      </c>
      <c r="AH94" s="24">
        <v>97</v>
      </c>
      <c r="AI94" s="25">
        <f>IF(birthdose[[#This Row],[2017]]/100=0, ,birthdose[[#This Row],[2017]]/100)</f>
        <v>0.97</v>
      </c>
      <c r="AK94" s="24" t="s">
        <v>122</v>
      </c>
      <c r="AL94" s="24" t="s">
        <v>254</v>
      </c>
      <c r="AM94" s="24">
        <v>92</v>
      </c>
      <c r="AN94" s="25">
        <f>IF(fullvax[[#This Row],[2017]]/100=0, ,fullvax[[#This Row],[2017]]/100)</f>
        <v>0.92</v>
      </c>
      <c r="AV94" s="8" t="s">
        <v>135</v>
      </c>
      <c r="AW94" s="11" t="s">
        <v>15</v>
      </c>
      <c r="AX94" s="41">
        <f>VLOOKUP(all_cause_mort[[#This Row],[Country]],[1]!populations[#Data],9,FALSE)*VLOOKUP(all_cause_mort[[#This Row],[Country]],[1]!birthrate[#Data],3,FALSE)</f>
        <v>790518.77532000002</v>
      </c>
      <c r="AY94">
        <f>VLOOKUP(all_cause_mort[[Country]:[Country]],'[1]Mortality Data'!$A$2:$W$201,2,FALSE)</f>
        <v>6.9285285000000002E-2</v>
      </c>
      <c r="AZ94">
        <f>VLOOKUP(all_cause_mort[[Country]:[Country]],'[1]Mortality Data'!$A$2:$W$201,3,FALSE)</f>
        <v>1.0904367E-2</v>
      </c>
      <c r="BA94">
        <f>VLOOKUP(all_cause_mort[[Country]:[Country]],'[1]Mortality Data'!$A$2:$W$201,4,FALSE)</f>
        <v>3.5006729000000001E-3</v>
      </c>
      <c r="BB94">
        <f>VLOOKUP(all_cause_mort[[Country]:[Country]],'[1]Mortality Data'!$A$2:$W$201,5,FALSE)</f>
        <v>1.9752348E-3</v>
      </c>
      <c r="BC94">
        <f>VLOOKUP(all_cause_mort[[Country]:[Country]],'[1]Mortality Data'!$A$2:$W$201,6,FALSE)</f>
        <v>2.9901288000000002E-3</v>
      </c>
      <c r="BD94">
        <f>VLOOKUP(all_cause_mort[[Country]:[Country]],'[1]Mortality Data'!$A$2:$W$201,7,FALSE)</f>
        <v>3.8600000000000001E-3</v>
      </c>
      <c r="BE94">
        <f>VLOOKUP(all_cause_mort[[Country]:[Country]],'[1]Mortality Data'!$A$2:$W$201,8,FALSE)</f>
        <v>4.3399657000000001E-3</v>
      </c>
      <c r="BF94">
        <f>VLOOKUP(all_cause_mort[[Country]:[Country]],'[1]Mortality Data'!$A$2:$W$201,9,FALSE)</f>
        <v>4.6100070999999998E-3</v>
      </c>
      <c r="BG94">
        <f>VLOOKUP(all_cause_mort[[Country]:[Country]],'[1]Mortality Data'!$A$2:$W$201,10,FALSE)</f>
        <v>5.1801305000000004E-3</v>
      </c>
      <c r="BH94">
        <f>VLOOKUP(all_cause_mort[[Country]:[Country]],'[1]Mortality Data'!$A$2:$W$201,11,FALSE)</f>
        <v>6.1710510999999999E-3</v>
      </c>
      <c r="BI94">
        <f>VLOOKUP(all_cause_mort[[Country]:[Country]],'[1]Mortality Data'!$A$2:$W$201,12,FALSE)</f>
        <v>7.2301713000000002E-3</v>
      </c>
      <c r="BJ94">
        <f>VLOOKUP(all_cause_mort[[Country]:[Country]],'[1]Mortality Data'!$A$2:$W$201,13,FALSE)</f>
        <v>1.0255790000000001E-2</v>
      </c>
      <c r="BK94">
        <f>VLOOKUP(all_cause_mort[[Country]:[Country]],'[1]Mortality Data'!$A$2:$W$201,14,FALSE)</f>
        <v>1.4802391E-2</v>
      </c>
      <c r="BL94">
        <f>VLOOKUP(all_cause_mort[[Country]:[Country]],'[1]Mortality Data'!$A$2:$W$201,15,FALSE)</f>
        <v>2.3630588000000001E-2</v>
      </c>
      <c r="BM94">
        <f>VLOOKUP(all_cause_mort[[Country]:[Country]],'[1]Mortality Data'!$A$2:$W$201,16,FALSE)</f>
        <v>3.7708633999999998E-2</v>
      </c>
      <c r="BN94">
        <f>VLOOKUP(all_cause_mort[[Country]:[Country]],'[1]Mortality Data'!$A$2:$W$201,17,FALSE)</f>
        <v>6.4090099999999997E-2</v>
      </c>
      <c r="BO94">
        <f>VLOOKUP(all_cause_mort[[Country]:[Country]],'[1]Mortality Data'!$A$2:$W$201,18,FALSE)</f>
        <v>0.10855007</v>
      </c>
      <c r="BP94">
        <f>VLOOKUP(all_cause_mort[[Country]:[Country]],'[1]Mortality Data'!$A$2:$W$201,19,FALSE)</f>
        <v>0.18044673</v>
      </c>
      <c r="BQ94">
        <f>VLOOKUP(all_cause_mort[[Country]:[Country]],'[1]Mortality Data'!$A$2:$W$201,20,FALSE)</f>
        <v>0.28201369999999998</v>
      </c>
      <c r="BR94">
        <f>VLOOKUP(all_cause_mort[[Country]:[Country]],'[1]Mortality Data'!$A$2:$W$201,21,FALSE)</f>
        <v>0.41225268999999998</v>
      </c>
      <c r="BS94">
        <f>VLOOKUP(all_cause_mort[[Country]:[Country]],'[1]Mortality Data'!$A$2:$W$201,22,FALSE)</f>
        <v>0.57833018999999997</v>
      </c>
      <c r="BT94">
        <f>VLOOKUP(all_cause_mort[[Country]:[Country]],'[1]Mortality Data'!$A$2:$W$201,23,FALSE)</f>
        <v>0.725519976539586</v>
      </c>
      <c r="BU94" s="39" t="e">
        <f>VLOOKUP(all_cause_mort[[#This Row],[Country]],[2]!regions[#Data],3,FALSE)</f>
        <v>#REF!</v>
      </c>
    </row>
    <row r="95" spans="1:73" x14ac:dyDescent="0.35">
      <c r="A95" t="s">
        <v>312</v>
      </c>
      <c r="B95">
        <v>1198787232</v>
      </c>
      <c r="C95">
        <v>1204631343</v>
      </c>
      <c r="D95">
        <v>1212058100</v>
      </c>
      <c r="E95">
        <v>1219556921</v>
      </c>
      <c r="F95">
        <v>1227211897</v>
      </c>
      <c r="G95">
        <v>1234714041</v>
      </c>
      <c r="H95">
        <v>1242137612</v>
      </c>
      <c r="I95">
        <v>1249066228</v>
      </c>
      <c r="K95" t="s">
        <v>312</v>
      </c>
      <c r="L95">
        <v>11.112532851549172</v>
      </c>
      <c r="M95">
        <f>birthrate[[#This Row],[2016]]/1000</f>
        <v>1.1112532851549173E-2</v>
      </c>
      <c r="O95" t="s">
        <v>137</v>
      </c>
      <c r="P95">
        <v>85.1</v>
      </c>
      <c r="Q95">
        <f>facility[[#This Row],[Facility (%)]]/100</f>
        <v>0.85099999999999998</v>
      </c>
      <c r="S95" t="s">
        <v>128</v>
      </c>
      <c r="T95">
        <v>2013</v>
      </c>
      <c r="U95">
        <v>99.9</v>
      </c>
      <c r="V95">
        <f>SBA[[#This Row],[SBA (%)]]/100</f>
        <v>0.99900000000000011</v>
      </c>
      <c r="X95" s="10" t="s">
        <v>148</v>
      </c>
      <c r="Y95" s="10" t="s">
        <v>252</v>
      </c>
      <c r="Z95" s="21">
        <v>8.6099999999999996E-2</v>
      </c>
      <c r="AA95" s="21">
        <v>8.1000000000000003E-2</v>
      </c>
      <c r="AB95" s="21">
        <v>9.1600000000000001E-2</v>
      </c>
      <c r="AC95" s="22">
        <v>2173170</v>
      </c>
      <c r="AD95" s="27">
        <v>2.8061224489795943E-3</v>
      </c>
      <c r="AF95" s="29" t="s">
        <v>123</v>
      </c>
      <c r="AG95" s="24" t="s">
        <v>253</v>
      </c>
      <c r="AH95" s="24">
        <v>55</v>
      </c>
      <c r="AI95" s="25">
        <f>IF(birthdose[[#This Row],[2017]]/100=0, ,birthdose[[#This Row],[2017]]/100)</f>
        <v>0.55000000000000004</v>
      </c>
      <c r="AK95" s="29" t="s">
        <v>123</v>
      </c>
      <c r="AL95" s="24" t="s">
        <v>254</v>
      </c>
      <c r="AM95" s="24">
        <v>85</v>
      </c>
      <c r="AN95" s="25">
        <f>IF(fullvax[[#This Row],[2017]]/100=0, ,fullvax[[#This Row],[2017]]/100)</f>
        <v>0.85</v>
      </c>
      <c r="AV95" s="8" t="s">
        <v>137</v>
      </c>
      <c r="AW95" s="11" t="s">
        <v>58</v>
      </c>
      <c r="AX95" s="41">
        <f>VLOOKUP(all_cause_mort[[#This Row],[Country]],[1]!populations[#Data],9,FALSE)*VLOOKUP(all_cause_mort[[#This Row],[Country]],[1]!birthrate[#Data],3,FALSE)</f>
        <v>1296.2987999999998</v>
      </c>
      <c r="BU95" s="39" t="e">
        <f>VLOOKUP(all_cause_mort[[#This Row],[Country]],[2]!regions[#Data],3,FALSE)</f>
        <v>#REF!</v>
      </c>
    </row>
    <row r="96" spans="1:73" x14ac:dyDescent="0.35">
      <c r="A96" t="s">
        <v>313</v>
      </c>
      <c r="B96">
        <v>7024200</v>
      </c>
      <c r="C96">
        <v>7071600</v>
      </c>
      <c r="D96">
        <v>7150100</v>
      </c>
      <c r="E96">
        <v>7178900</v>
      </c>
      <c r="F96">
        <v>7229500</v>
      </c>
      <c r="G96">
        <v>7291300</v>
      </c>
      <c r="H96">
        <v>7336600</v>
      </c>
      <c r="I96">
        <v>7391700</v>
      </c>
      <c r="K96" t="s">
        <v>313</v>
      </c>
      <c r="L96">
        <v>8.3000000000000007</v>
      </c>
      <c r="M96">
        <f>birthrate[[#This Row],[2016]]/1000</f>
        <v>8.3000000000000001E-3</v>
      </c>
      <c r="O96" t="s">
        <v>138</v>
      </c>
      <c r="P96">
        <v>69.3</v>
      </c>
      <c r="Q96">
        <f>facility[[#This Row],[Facility (%)]]/100</f>
        <v>0.69299999999999995</v>
      </c>
      <c r="S96" t="s">
        <v>129</v>
      </c>
      <c r="T96">
        <v>2014</v>
      </c>
      <c r="U96">
        <v>99.99</v>
      </c>
      <c r="V96">
        <f>SBA[[#This Row],[SBA (%)]]/100</f>
        <v>0.9998999999999999</v>
      </c>
      <c r="X96" s="13" t="s">
        <v>150</v>
      </c>
      <c r="Y96" s="13" t="s">
        <v>252</v>
      </c>
      <c r="Z96" s="26">
        <v>8.2000000000000007E-3</v>
      </c>
      <c r="AA96" s="26">
        <v>8.0000000000000002E-3</v>
      </c>
      <c r="AB96" s="26">
        <v>8.3999999999999995E-3</v>
      </c>
      <c r="AC96" s="22">
        <v>27023137</v>
      </c>
      <c r="AD96" s="27">
        <v>1.0204081632652999E-4</v>
      </c>
      <c r="AF96" s="24" t="s">
        <v>124</v>
      </c>
      <c r="AG96" s="24" t="s">
        <v>253</v>
      </c>
      <c r="AH96" s="24"/>
      <c r="AI96" s="25">
        <f>IF(birthdose[[#This Row],[2017]]/100=0, ,birthdose[[#This Row],[2017]]/100)</f>
        <v>0</v>
      </c>
      <c r="AK96" s="24" t="s">
        <v>124</v>
      </c>
      <c r="AL96" s="24" t="s">
        <v>254</v>
      </c>
      <c r="AM96" s="24">
        <v>98</v>
      </c>
      <c r="AN96" s="25">
        <f>IF(fullvax[[#This Row],[2017]]/100=0, ,fullvax[[#This Row],[2017]]/100)</f>
        <v>0.98</v>
      </c>
      <c r="AV96" s="12" t="s">
        <v>138</v>
      </c>
      <c r="AW96" s="14" t="s">
        <v>15</v>
      </c>
      <c r="AX96" s="41">
        <f>VLOOKUP(all_cause_mort[[#This Row],[Country]],[1]!populations[#Data],9,FALSE)*VLOOKUP(all_cause_mort[[#This Row],[Country]],[1]!birthrate[#Data],3,FALSE)</f>
        <v>150971.38451999999</v>
      </c>
      <c r="AY96">
        <f>VLOOKUP(all_cause_mort[[Country]:[Country]],'[1]Mortality Data'!$A$2:$W$201,2,FALSE)</f>
        <v>5.5841769999999999E-2</v>
      </c>
      <c r="AZ96">
        <f>VLOOKUP(all_cause_mort[[Country]:[Country]],'[1]Mortality Data'!$A$2:$W$201,3,FALSE)</f>
        <v>6.8215636000000003E-3</v>
      </c>
      <c r="BA96">
        <f>VLOOKUP(all_cause_mort[[Country]:[Country]],'[1]Mortality Data'!$A$2:$W$201,4,FALSE)</f>
        <v>1.0882108999999999E-3</v>
      </c>
      <c r="BB96">
        <f>VLOOKUP(all_cause_mort[[Country]:[Country]],'[1]Mortality Data'!$A$2:$W$201,5,FALSE)</f>
        <v>8.5811024000000005E-4</v>
      </c>
      <c r="BC96">
        <f>VLOOKUP(all_cause_mort[[Country]:[Country]],'[1]Mortality Data'!$A$2:$W$201,6,FALSE)</f>
        <v>1.4149504E-3</v>
      </c>
      <c r="BD96">
        <f>VLOOKUP(all_cause_mort[[Country]:[Country]],'[1]Mortality Data'!$A$2:$W$201,7,FALSE)</f>
        <v>1.9838843000000001E-3</v>
      </c>
      <c r="BE96">
        <f>VLOOKUP(all_cause_mort[[Country]:[Country]],'[1]Mortality Data'!$A$2:$W$201,8,FALSE)</f>
        <v>2.1537700000000002E-3</v>
      </c>
      <c r="BF96">
        <f>VLOOKUP(all_cause_mort[[Country]:[Country]],'[1]Mortality Data'!$A$2:$W$201,9,FALSE)</f>
        <v>2.473065E-3</v>
      </c>
      <c r="BG96">
        <f>VLOOKUP(all_cause_mort[[Country]:[Country]],'[1]Mortality Data'!$A$2:$W$201,10,FALSE)</f>
        <v>3.1135453000000002E-3</v>
      </c>
      <c r="BH96">
        <f>VLOOKUP(all_cause_mort[[Country]:[Country]],'[1]Mortality Data'!$A$2:$W$201,11,FALSE)</f>
        <v>4.2108652999999999E-3</v>
      </c>
      <c r="BI96">
        <f>VLOOKUP(all_cause_mort[[Country]:[Country]],'[1]Mortality Data'!$A$2:$W$201,12,FALSE)</f>
        <v>6.0922872000000001E-3</v>
      </c>
      <c r="BJ96">
        <f>VLOOKUP(all_cause_mort[[Country]:[Country]],'[1]Mortality Data'!$A$2:$W$201,13,FALSE)</f>
        <v>9.0769808000000004E-3</v>
      </c>
      <c r="BK96">
        <f>VLOOKUP(all_cause_mort[[Country]:[Country]],'[1]Mortality Data'!$A$2:$W$201,14,FALSE)</f>
        <v>1.3741487E-2</v>
      </c>
      <c r="BL96">
        <f>VLOOKUP(all_cause_mort[[Country]:[Country]],'[1]Mortality Data'!$A$2:$W$201,15,FALSE)</f>
        <v>2.1278012999999998E-2</v>
      </c>
      <c r="BM96">
        <f>VLOOKUP(all_cause_mort[[Country]:[Country]],'[1]Mortality Data'!$A$2:$W$201,16,FALSE)</f>
        <v>3.3399090999999999E-2</v>
      </c>
      <c r="BN96">
        <f>VLOOKUP(all_cause_mort[[Country]:[Country]],'[1]Mortality Data'!$A$2:$W$201,17,FALSE)</f>
        <v>5.3755099000000001E-2</v>
      </c>
      <c r="BO96">
        <f>VLOOKUP(all_cause_mort[[Country]:[Country]],'[1]Mortality Data'!$A$2:$W$201,18,FALSE)</f>
        <v>8.6954587E-2</v>
      </c>
      <c r="BP96">
        <f>VLOOKUP(all_cause_mort[[Country]:[Country]],'[1]Mortality Data'!$A$2:$W$201,19,FALSE)</f>
        <v>0.14060258</v>
      </c>
      <c r="BQ96">
        <f>VLOOKUP(all_cause_mort[[Country]:[Country]],'[1]Mortality Data'!$A$2:$W$201,20,FALSE)</f>
        <v>0.21882815999999999</v>
      </c>
      <c r="BR96">
        <f>VLOOKUP(all_cause_mort[[Country]:[Country]],'[1]Mortality Data'!$A$2:$W$201,21,FALSE)</f>
        <v>0.31982532000000002</v>
      </c>
      <c r="BS96">
        <f>VLOOKUP(all_cause_mort[[Country]:[Country]],'[1]Mortality Data'!$A$2:$W$201,22,FALSE)</f>
        <v>0.43420660999999999</v>
      </c>
      <c r="BT96">
        <f>VLOOKUP(all_cause_mort[[Country]:[Country]],'[1]Mortality Data'!$A$2:$W$201,23,FALSE)</f>
        <v>0.57568585053410704</v>
      </c>
      <c r="BU96" s="39" t="e">
        <f>VLOOKUP(all_cause_mort[[#This Row],[Country]],[2]!regions[#Data],3,FALSE)</f>
        <v>#REF!</v>
      </c>
    </row>
    <row r="97" spans="1:73" x14ac:dyDescent="0.35">
      <c r="A97" t="s">
        <v>104</v>
      </c>
      <c r="B97">
        <v>8194778</v>
      </c>
      <c r="C97">
        <v>8351600</v>
      </c>
      <c r="D97">
        <v>8505646</v>
      </c>
      <c r="E97">
        <v>8657785</v>
      </c>
      <c r="F97">
        <v>8809216</v>
      </c>
      <c r="G97">
        <v>8960829</v>
      </c>
      <c r="H97">
        <v>9112867</v>
      </c>
      <c r="I97">
        <v>9265067</v>
      </c>
      <c r="K97" t="s">
        <v>104</v>
      </c>
      <c r="L97">
        <v>21.715</v>
      </c>
      <c r="M97">
        <f>birthrate[[#This Row],[2016]]/1000</f>
        <v>2.1714999999999998E-2</v>
      </c>
      <c r="O97" t="s">
        <v>139</v>
      </c>
      <c r="P97">
        <v>98.4</v>
      </c>
      <c r="Q97">
        <f>facility[[#This Row],[Facility (%)]]/100</f>
        <v>0.9840000000000001</v>
      </c>
      <c r="S97" t="s">
        <v>130</v>
      </c>
      <c r="T97">
        <v>2009</v>
      </c>
      <c r="U97">
        <v>99.9</v>
      </c>
      <c r="V97">
        <f>SBA[[#This Row],[SBA (%)]]/100</f>
        <v>0.99900000000000011</v>
      </c>
      <c r="X97" s="10" t="s">
        <v>151</v>
      </c>
      <c r="Y97" s="13" t="s">
        <v>256</v>
      </c>
      <c r="Z97" s="26">
        <v>3.0000000000000001E-3</v>
      </c>
      <c r="AA97" s="26">
        <v>1E-3</v>
      </c>
      <c r="AB97" s="26">
        <v>4.0000000000000001E-3</v>
      </c>
      <c r="AC97">
        <v>17132854</v>
      </c>
      <c r="AD97" s="27">
        <v>5.1020408163265311E-4</v>
      </c>
      <c r="AF97" s="24" t="s">
        <v>125</v>
      </c>
      <c r="AG97" s="24" t="s">
        <v>253</v>
      </c>
      <c r="AH97" s="24">
        <v>80</v>
      </c>
      <c r="AI97" s="25">
        <f>IF(birthdose[[#This Row],[2017]]/100=0, ,birthdose[[#This Row],[2017]]/100)</f>
        <v>0.8</v>
      </c>
      <c r="AK97" s="24" t="s">
        <v>125</v>
      </c>
      <c r="AL97" s="24" t="s">
        <v>254</v>
      </c>
      <c r="AM97" s="24">
        <v>78</v>
      </c>
      <c r="AN97" s="25">
        <f>IF(fullvax[[#This Row],[2017]]/100=0, ,fullvax[[#This Row],[2017]]/100)</f>
        <v>0.78</v>
      </c>
      <c r="AV97" s="8" t="s">
        <v>139</v>
      </c>
      <c r="AW97" s="11" t="s">
        <v>15</v>
      </c>
      <c r="AX97" s="41">
        <f>VLOOKUP(all_cause_mort[[#This Row],[Country]],[1]!populations[#Data],9,FALSE)*VLOOKUP(all_cause_mort[[#This Row],[Country]],[1]!birthrate[#Data],3,FALSE)</f>
        <v>13151.975199999999</v>
      </c>
      <c r="AY97">
        <f>VLOOKUP(all_cause_mort[[Country]:[Country]],'[1]Mortality Data'!$A$2:$W$201,2,FALSE)</f>
        <v>1.1336888E-2</v>
      </c>
      <c r="AZ97">
        <f>VLOOKUP(all_cause_mort[[Country]:[Country]],'[1]Mortality Data'!$A$2:$W$201,3,FALSE)</f>
        <v>4.9611152000000002E-4</v>
      </c>
      <c r="BA97">
        <f>VLOOKUP(all_cause_mort[[Country]:[Country]],'[1]Mortality Data'!$A$2:$W$201,4,FALSE)</f>
        <v>1.4389277E-4</v>
      </c>
      <c r="BB97">
        <f>VLOOKUP(all_cause_mort[[Country]:[Country]],'[1]Mortality Data'!$A$2:$W$201,5,FALSE)</f>
        <v>1.9383382E-4</v>
      </c>
      <c r="BC97">
        <f>VLOOKUP(all_cause_mort[[Country]:[Country]],'[1]Mortality Data'!$A$2:$W$201,6,FALSE)</f>
        <v>5.5170328999999999E-4</v>
      </c>
      <c r="BD97">
        <f>VLOOKUP(all_cause_mort[[Country]:[Country]],'[1]Mortality Data'!$A$2:$W$201,7,FALSE)</f>
        <v>8.8551337999999999E-4</v>
      </c>
      <c r="BE97">
        <f>VLOOKUP(all_cause_mort[[Country]:[Country]],'[1]Mortality Data'!$A$2:$W$201,8,FALSE)</f>
        <v>1.2200583000000001E-3</v>
      </c>
      <c r="BF97">
        <f>VLOOKUP(all_cause_mort[[Country]:[Country]],'[1]Mortality Data'!$A$2:$W$201,9,FALSE)</f>
        <v>1.5156658999999999E-3</v>
      </c>
      <c r="BG97">
        <f>VLOOKUP(all_cause_mort[[Country]:[Country]],'[1]Mortality Data'!$A$2:$W$201,10,FALSE)</f>
        <v>2.2372070000000002E-3</v>
      </c>
      <c r="BH97">
        <f>VLOOKUP(all_cause_mort[[Country]:[Country]],'[1]Mortality Data'!$A$2:$W$201,11,FALSE)</f>
        <v>3.2061462000000001E-3</v>
      </c>
      <c r="BI97">
        <f>VLOOKUP(all_cause_mort[[Country]:[Country]],'[1]Mortality Data'!$A$2:$W$201,12,FALSE)</f>
        <v>4.6792090000000001E-3</v>
      </c>
      <c r="BJ97">
        <f>VLOOKUP(all_cause_mort[[Country]:[Country]],'[1]Mortality Data'!$A$2:$W$201,13,FALSE)</f>
        <v>6.9471380999999999E-3</v>
      </c>
      <c r="BK97">
        <f>VLOOKUP(all_cause_mort[[Country]:[Country]],'[1]Mortality Data'!$A$2:$W$201,14,FALSE)</f>
        <v>9.7278098000000007E-3</v>
      </c>
      <c r="BL97">
        <f>VLOOKUP(all_cause_mort[[Country]:[Country]],'[1]Mortality Data'!$A$2:$W$201,15,FALSE)</f>
        <v>1.5282791E-2</v>
      </c>
      <c r="BM97">
        <f>VLOOKUP(all_cause_mort[[Country]:[Country]],'[1]Mortality Data'!$A$2:$W$201,16,FALSE)</f>
        <v>2.2240790999999999E-2</v>
      </c>
      <c r="BN97">
        <f>VLOOKUP(all_cause_mort[[Country]:[Country]],'[1]Mortality Data'!$A$2:$W$201,17,FALSE)</f>
        <v>3.4568253E-2</v>
      </c>
      <c r="BO97">
        <f>VLOOKUP(all_cause_mort[[Country]:[Country]],'[1]Mortality Data'!$A$2:$W$201,18,FALSE)</f>
        <v>5.0770963000000002E-2</v>
      </c>
      <c r="BP97">
        <f>VLOOKUP(all_cause_mort[[Country]:[Country]],'[1]Mortality Data'!$A$2:$W$201,19,FALSE)</f>
        <v>8.1172785999999997E-2</v>
      </c>
      <c r="BQ97">
        <f>VLOOKUP(all_cause_mort[[Country]:[Country]],'[1]Mortality Data'!$A$2:$W$201,20,FALSE)</f>
        <v>0.12537619</v>
      </c>
      <c r="BR97">
        <f>VLOOKUP(all_cause_mort[[Country]:[Country]],'[1]Mortality Data'!$A$2:$W$201,21,FALSE)</f>
        <v>0.18351693999999999</v>
      </c>
      <c r="BS97">
        <f>VLOOKUP(all_cause_mort[[Country]:[Country]],'[1]Mortality Data'!$A$2:$W$201,22,FALSE)</f>
        <v>0.25691184</v>
      </c>
      <c r="BT97">
        <f>VLOOKUP(all_cause_mort[[Country]:[Country]],'[1]Mortality Data'!$A$2:$W$201,23,FALSE)</f>
        <v>0.36155735624777802</v>
      </c>
      <c r="BU97" s="39" t="e">
        <f>VLOOKUP(all_cause_mort[[#This Row],[Country]],[2]!regions[#Data],3,FALSE)</f>
        <v>#REF!</v>
      </c>
    </row>
    <row r="98" spans="1:73" x14ac:dyDescent="0.35">
      <c r="A98" t="s">
        <v>314</v>
      </c>
      <c r="B98">
        <v>630127436</v>
      </c>
      <c r="C98">
        <v>648053253</v>
      </c>
      <c r="D98">
        <v>666488623</v>
      </c>
      <c r="E98">
        <v>685401960</v>
      </c>
      <c r="F98">
        <v>704745420</v>
      </c>
      <c r="G98">
        <v>724482652</v>
      </c>
      <c r="H98">
        <v>744602976</v>
      </c>
      <c r="I98">
        <v>765112280</v>
      </c>
      <c r="K98" t="s">
        <v>314</v>
      </c>
      <c r="L98">
        <v>36.330830936012802</v>
      </c>
      <c r="M98">
        <f>birthrate[[#This Row],[2016]]/1000</f>
        <v>3.6330830936012803E-2</v>
      </c>
      <c r="O98" t="s">
        <v>140</v>
      </c>
      <c r="P98">
        <v>96.9</v>
      </c>
      <c r="Q98">
        <f>facility[[#This Row],[Facility (%)]]/100</f>
        <v>0.96900000000000008</v>
      </c>
      <c r="S98" t="s">
        <v>131</v>
      </c>
      <c r="T98" t="s">
        <v>315</v>
      </c>
      <c r="U98">
        <v>44.3</v>
      </c>
      <c r="V98">
        <f>SBA[[#This Row],[SBA (%)]]/100</f>
        <v>0.44299999999999995</v>
      </c>
      <c r="X98" s="10" t="s">
        <v>152</v>
      </c>
      <c r="Y98" s="10" t="s">
        <v>256</v>
      </c>
      <c r="Z98" s="21">
        <v>0.02</v>
      </c>
      <c r="AA98" s="21">
        <v>1.4E-2</v>
      </c>
      <c r="AB98" s="21">
        <v>3.4000000000000002E-2</v>
      </c>
      <c r="AC98">
        <v>4793900</v>
      </c>
      <c r="AD98" s="27">
        <v>7.1428571428571444E-3</v>
      </c>
      <c r="AF98" s="24" t="s">
        <v>126</v>
      </c>
      <c r="AG98" s="24" t="s">
        <v>253</v>
      </c>
      <c r="AH98" s="24"/>
      <c r="AI98" s="25">
        <f>IF(birthdose[[#This Row],[2017]]/100=0, ,birthdose[[#This Row],[2017]]/100)</f>
        <v>0</v>
      </c>
      <c r="AK98" s="24" t="s">
        <v>126</v>
      </c>
      <c r="AL98" s="24" t="s">
        <v>254</v>
      </c>
      <c r="AM98" s="24">
        <v>93</v>
      </c>
      <c r="AN98" s="25">
        <f>IF(fullvax[[#This Row],[2017]]/100=0, ,fullvax[[#This Row],[2017]]/100)</f>
        <v>0.93</v>
      </c>
      <c r="AV98" s="12" t="s">
        <v>140</v>
      </c>
      <c r="AW98" s="14" t="s">
        <v>23</v>
      </c>
      <c r="AX98" s="41">
        <f>VLOOKUP(all_cause_mort[[#This Row],[Country]],[1]!populations[#Data],9,FALSE)*VLOOKUP(all_cause_mort[[#This Row],[Country]],[1]!birthrate[#Data],3,FALSE)</f>
        <v>2347284.2147479998</v>
      </c>
      <c r="AY98">
        <f>VLOOKUP(all_cause_mort[[Country]:[Country]],'[1]Mortality Data'!$A$2:$W$201,2,FALSE)</f>
        <v>1.3675331000000001E-2</v>
      </c>
      <c r="AZ98">
        <f>VLOOKUP(all_cause_mort[[Country]:[Country]],'[1]Mortality Data'!$A$2:$W$201,3,FALSE)</f>
        <v>5.2116757000000001E-4</v>
      </c>
      <c r="BA98">
        <f>VLOOKUP(all_cause_mort[[Country]:[Country]],'[1]Mortality Data'!$A$2:$W$201,4,FALSE)</f>
        <v>2.5528668999999998E-4</v>
      </c>
      <c r="BB98">
        <f>VLOOKUP(all_cause_mort[[Country]:[Country]],'[1]Mortality Data'!$A$2:$W$201,5,FALSE)</f>
        <v>3.6268306999999997E-4</v>
      </c>
      <c r="BC98">
        <f>VLOOKUP(all_cause_mort[[Country]:[Country]],'[1]Mortality Data'!$A$2:$W$201,6,FALSE)</f>
        <v>7.6787160000000004E-4</v>
      </c>
      <c r="BD98">
        <f>VLOOKUP(all_cause_mort[[Country]:[Country]],'[1]Mortality Data'!$A$2:$W$201,7,FALSE)</f>
        <v>1.2519237000000001E-3</v>
      </c>
      <c r="BE98">
        <f>VLOOKUP(all_cause_mort[[Country]:[Country]],'[1]Mortality Data'!$A$2:$W$201,8,FALSE)</f>
        <v>1.5734901999999999E-3</v>
      </c>
      <c r="BF98">
        <f>VLOOKUP(all_cause_mort[[Country]:[Country]],'[1]Mortality Data'!$A$2:$W$201,9,FALSE)</f>
        <v>1.8138586E-3</v>
      </c>
      <c r="BG98">
        <f>VLOOKUP(all_cause_mort[[Country]:[Country]],'[1]Mortality Data'!$A$2:$W$201,10,FALSE)</f>
        <v>2.1983553E-3</v>
      </c>
      <c r="BH98">
        <f>VLOOKUP(all_cause_mort[[Country]:[Country]],'[1]Mortality Data'!$A$2:$W$201,11,FALSE)</f>
        <v>2.9210206000000001E-3</v>
      </c>
      <c r="BI98">
        <f>VLOOKUP(all_cause_mort[[Country]:[Country]],'[1]Mortality Data'!$A$2:$W$201,12,FALSE)</f>
        <v>4.1629763000000002E-3</v>
      </c>
      <c r="BJ98">
        <f>VLOOKUP(all_cause_mort[[Country]:[Country]],'[1]Mortality Data'!$A$2:$W$201,13,FALSE)</f>
        <v>6.1664082E-3</v>
      </c>
      <c r="BK98">
        <f>VLOOKUP(all_cause_mort[[Country]:[Country]],'[1]Mortality Data'!$A$2:$W$201,14,FALSE)</f>
        <v>9.2869411999999991E-3</v>
      </c>
      <c r="BL98">
        <f>VLOOKUP(all_cause_mort[[Country]:[Country]],'[1]Mortality Data'!$A$2:$W$201,15,FALSE)</f>
        <v>1.4052927999999999E-2</v>
      </c>
      <c r="BM98">
        <f>VLOOKUP(all_cause_mort[[Country]:[Country]],'[1]Mortality Data'!$A$2:$W$201,16,FALSE)</f>
        <v>2.1315153999999999E-2</v>
      </c>
      <c r="BN98">
        <f>VLOOKUP(all_cause_mort[[Country]:[Country]],'[1]Mortality Data'!$A$2:$W$201,17,FALSE)</f>
        <v>3.2311217000000003E-2</v>
      </c>
      <c r="BO98">
        <f>VLOOKUP(all_cause_mort[[Country]:[Country]],'[1]Mortality Data'!$A$2:$W$201,18,FALSE)</f>
        <v>4.8808923999999997E-2</v>
      </c>
      <c r="BP98">
        <f>VLOOKUP(all_cause_mort[[Country]:[Country]],'[1]Mortality Data'!$A$2:$W$201,19,FALSE)</f>
        <v>7.3397570999999995E-2</v>
      </c>
      <c r="BQ98">
        <f>VLOOKUP(all_cause_mort[[Country]:[Country]],'[1]Mortality Data'!$A$2:$W$201,20,FALSE)</f>
        <v>0.11072121</v>
      </c>
      <c r="BR98">
        <f>VLOOKUP(all_cause_mort[[Country]:[Country]],'[1]Mortality Data'!$A$2:$W$201,21,FALSE)</f>
        <v>0.16984748</v>
      </c>
      <c r="BS98">
        <f>VLOOKUP(all_cause_mort[[Country]:[Country]],'[1]Mortality Data'!$A$2:$W$201,22,FALSE)</f>
        <v>0.26417943999999999</v>
      </c>
      <c r="BT98">
        <f>VLOOKUP(all_cause_mort[[Country]:[Country]],'[1]Mortality Data'!$A$2:$W$201,23,FALSE)</f>
        <v>0.43174158987890598</v>
      </c>
      <c r="BU98" s="39" t="e">
        <f>VLOOKUP(all_cause_mort[[#This Row],[Country]],[2]!regions[#Data],3,FALSE)</f>
        <v>#REF!</v>
      </c>
    </row>
    <row r="99" spans="1:73" x14ac:dyDescent="0.35">
      <c r="A99" t="s">
        <v>72</v>
      </c>
      <c r="B99">
        <v>4417781</v>
      </c>
      <c r="C99">
        <v>4280622</v>
      </c>
      <c r="D99">
        <v>4267558</v>
      </c>
      <c r="E99">
        <v>4255689</v>
      </c>
      <c r="F99">
        <v>4238389</v>
      </c>
      <c r="G99">
        <v>4203604</v>
      </c>
      <c r="H99">
        <v>4174349</v>
      </c>
      <c r="I99">
        <v>4125700</v>
      </c>
      <c r="K99" t="s">
        <v>72</v>
      </c>
      <c r="L99">
        <v>9</v>
      </c>
      <c r="M99">
        <f>birthrate[[#This Row],[2016]]/1000</f>
        <v>8.9999999999999993E-3</v>
      </c>
      <c r="O99" t="s">
        <v>141</v>
      </c>
      <c r="P99">
        <v>87</v>
      </c>
      <c r="Q99">
        <f>facility[[#This Row],[Facility (%)]]/100</f>
        <v>0.87</v>
      </c>
      <c r="S99" t="s">
        <v>132</v>
      </c>
      <c r="T99" t="s">
        <v>260</v>
      </c>
      <c r="U99">
        <v>89.8</v>
      </c>
      <c r="V99">
        <f>SBA[[#This Row],[SBA (%)]]/100</f>
        <v>0.89800000000000002</v>
      </c>
      <c r="X99" s="13" t="s">
        <v>153</v>
      </c>
      <c r="Y99" s="13" t="s">
        <v>256</v>
      </c>
      <c r="Z99" s="26">
        <v>8.0000000000000002E-3</v>
      </c>
      <c r="AA99" s="26">
        <v>4.0000000000000001E-3</v>
      </c>
      <c r="AB99" s="26">
        <v>8.9999999999999993E-3</v>
      </c>
      <c r="AC99">
        <v>6217581</v>
      </c>
      <c r="AD99" s="27">
        <v>5.1020408163265267E-4</v>
      </c>
      <c r="AF99" s="24" t="s">
        <v>127</v>
      </c>
      <c r="AG99" s="24" t="s">
        <v>253</v>
      </c>
      <c r="AH99" s="24"/>
      <c r="AI99" s="25">
        <f>IF(birthdose[[#This Row],[2017]]/100=0, ,birthdose[[#This Row],[2017]]/100)</f>
        <v>0</v>
      </c>
      <c r="AK99" s="24" t="s">
        <v>127</v>
      </c>
      <c r="AL99" s="24" t="s">
        <v>254</v>
      </c>
      <c r="AM99" s="24">
        <v>86</v>
      </c>
      <c r="AN99" s="25">
        <f>IF(fullvax[[#This Row],[2017]]/100=0, ,fullvax[[#This Row],[2017]]/100)</f>
        <v>0.86</v>
      </c>
      <c r="AV99" s="8" t="s">
        <v>141</v>
      </c>
      <c r="AW99" s="11" t="s">
        <v>58</v>
      </c>
      <c r="AX99" s="41">
        <f>VLOOKUP(all_cause_mort[[#This Row],[Country]],[1]!populations[#Data],9,FALSE)*VLOOKUP(all_cause_mort[[#This Row],[Country]],[1]!birthrate[#Data],3,FALSE)</f>
        <v>2502.2371520000002</v>
      </c>
      <c r="AY99">
        <f>VLOOKUP(all_cause_mort[[Country]:[Country]],'[1]Mortality Data'!$A$2:$W$201,2,FALSE)</f>
        <v>2.3937607999999999E-2</v>
      </c>
      <c r="AZ99">
        <f>VLOOKUP(all_cause_mort[[Country]:[Country]],'[1]Mortality Data'!$A$2:$W$201,3,FALSE)</f>
        <v>2.1765084999999999E-3</v>
      </c>
      <c r="BA99">
        <f>VLOOKUP(all_cause_mort[[Country]:[Country]],'[1]Mortality Data'!$A$2:$W$201,4,FALSE)</f>
        <v>6.4121112999999995E-4</v>
      </c>
      <c r="BB99">
        <f>VLOOKUP(all_cause_mort[[Country]:[Country]],'[1]Mortality Data'!$A$2:$W$201,5,FALSE)</f>
        <v>5.4815284E-4</v>
      </c>
      <c r="BC99">
        <f>VLOOKUP(all_cause_mort[[Country]:[Country]],'[1]Mortality Data'!$A$2:$W$201,6,FALSE)</f>
        <v>1.0773943000000001E-3</v>
      </c>
      <c r="BD99">
        <f>VLOOKUP(all_cause_mort[[Country]:[Country]],'[1]Mortality Data'!$A$2:$W$201,7,FALSE)</f>
        <v>1.3954583999999999E-3</v>
      </c>
      <c r="BE99">
        <f>VLOOKUP(all_cause_mort[[Country]:[Country]],'[1]Mortality Data'!$A$2:$W$201,8,FALSE)</f>
        <v>1.4820623E-3</v>
      </c>
      <c r="BF99">
        <f>VLOOKUP(all_cause_mort[[Country]:[Country]],'[1]Mortality Data'!$A$2:$W$201,9,FALSE)</f>
        <v>1.7456685000000001E-3</v>
      </c>
      <c r="BG99">
        <f>VLOOKUP(all_cause_mort[[Country]:[Country]],'[1]Mortality Data'!$A$2:$W$201,10,FALSE)</f>
        <v>2.3141108000000001E-3</v>
      </c>
      <c r="BH99">
        <f>VLOOKUP(all_cause_mort[[Country]:[Country]],'[1]Mortality Data'!$A$2:$W$201,11,FALSE)</f>
        <v>3.2572043999999998E-3</v>
      </c>
      <c r="BI99">
        <f>VLOOKUP(all_cause_mort[[Country]:[Country]],'[1]Mortality Data'!$A$2:$W$201,12,FALSE)</f>
        <v>4.9136459000000002E-3</v>
      </c>
      <c r="BJ99">
        <f>VLOOKUP(all_cause_mort[[Country]:[Country]],'[1]Mortality Data'!$A$2:$W$201,13,FALSE)</f>
        <v>7.5800334999999996E-3</v>
      </c>
      <c r="BK99">
        <f>VLOOKUP(all_cause_mort[[Country]:[Country]],'[1]Mortality Data'!$A$2:$W$201,14,FALSE)</f>
        <v>1.1860900000000001E-2</v>
      </c>
      <c r="BL99">
        <f>VLOOKUP(all_cause_mort[[Country]:[Country]],'[1]Mortality Data'!$A$2:$W$201,15,FALSE)</f>
        <v>2.3046229000000001E-2</v>
      </c>
      <c r="BM99">
        <f>VLOOKUP(all_cause_mort[[Country]:[Country]],'[1]Mortality Data'!$A$2:$W$201,16,FALSE)</f>
        <v>4.4734369000000003E-2</v>
      </c>
      <c r="BN99">
        <f>VLOOKUP(all_cause_mort[[Country]:[Country]],'[1]Mortality Data'!$A$2:$W$201,17,FALSE)</f>
        <v>7.5974070000000005E-2</v>
      </c>
      <c r="BO99">
        <f>VLOOKUP(all_cause_mort[[Country]:[Country]],'[1]Mortality Data'!$A$2:$W$201,18,FALSE)</f>
        <v>0.11927093</v>
      </c>
      <c r="BP99">
        <f>VLOOKUP(all_cause_mort[[Country]:[Country]],'[1]Mortality Data'!$A$2:$W$201,19,FALSE)</f>
        <v>0.18764405000000001</v>
      </c>
      <c r="BQ99">
        <f>VLOOKUP(all_cause_mort[[Country]:[Country]],'[1]Mortality Data'!$A$2:$W$201,20,FALSE)</f>
        <v>0.29302043</v>
      </c>
      <c r="BR99">
        <f>VLOOKUP(all_cause_mort[[Country]:[Country]],'[1]Mortality Data'!$A$2:$W$201,21,FALSE)</f>
        <v>0.42703175999999998</v>
      </c>
      <c r="BS99">
        <f>VLOOKUP(all_cause_mort[[Country]:[Country]],'[1]Mortality Data'!$A$2:$W$201,22,FALSE)</f>
        <v>0.60030335000000001</v>
      </c>
      <c r="BT99">
        <f>VLOOKUP(all_cause_mort[[Country]:[Country]],'[1]Mortality Data'!$A$2:$W$201,23,FALSE)</f>
        <v>0.79832377553498501</v>
      </c>
      <c r="BU99" s="39" t="e">
        <f>VLOOKUP(all_cause_mort[[#This Row],[Country]],[2]!regions[#Data],3,FALSE)</f>
        <v>#REF!</v>
      </c>
    </row>
    <row r="100" spans="1:73" x14ac:dyDescent="0.35">
      <c r="A100" t="s">
        <v>103</v>
      </c>
      <c r="B100">
        <v>9999617</v>
      </c>
      <c r="C100">
        <v>10145054</v>
      </c>
      <c r="D100">
        <v>10289210</v>
      </c>
      <c r="E100">
        <v>10431776</v>
      </c>
      <c r="F100">
        <v>10572466</v>
      </c>
      <c r="G100">
        <v>10711061</v>
      </c>
      <c r="H100">
        <v>10847334</v>
      </c>
      <c r="I100">
        <v>10981229</v>
      </c>
      <c r="K100" t="s">
        <v>103</v>
      </c>
      <c r="L100">
        <v>24.178999999999998</v>
      </c>
      <c r="M100">
        <f>birthrate[[#This Row],[2016]]/1000</f>
        <v>2.4178999999999999E-2</v>
      </c>
      <c r="O100" t="s">
        <v>143</v>
      </c>
      <c r="P100">
        <v>98.4</v>
      </c>
      <c r="Q100">
        <f>facility[[#This Row],[Facility (%)]]/100</f>
        <v>0.9840000000000001</v>
      </c>
      <c r="S100" t="s">
        <v>133</v>
      </c>
      <c r="T100">
        <v>2015</v>
      </c>
      <c r="U100">
        <v>99.4</v>
      </c>
      <c r="V100">
        <f>SBA[[#This Row],[SBA (%)]]/100</f>
        <v>0.99400000000000011</v>
      </c>
      <c r="X100" s="10" t="s">
        <v>154</v>
      </c>
      <c r="Y100" s="10" t="s">
        <v>252</v>
      </c>
      <c r="Z100" s="21">
        <v>0.15479999999999999</v>
      </c>
      <c r="AA100" s="21">
        <v>0.14380000000000001</v>
      </c>
      <c r="AB100" s="21">
        <v>0.16650000000000001</v>
      </c>
      <c r="AC100" s="22">
        <v>16425578</v>
      </c>
      <c r="AD100" s="27">
        <v>5.9693877551020491E-3</v>
      </c>
      <c r="AF100" s="24" t="s">
        <v>128</v>
      </c>
      <c r="AG100" s="24" t="s">
        <v>253</v>
      </c>
      <c r="AH100" s="24"/>
      <c r="AI100" s="25">
        <f>IF(birthdose[[#This Row],[2017]]/100=0, ,birthdose[[#This Row],[2017]]/100)</f>
        <v>0</v>
      </c>
      <c r="AK100" s="24" t="s">
        <v>128</v>
      </c>
      <c r="AL100" s="24" t="s">
        <v>254</v>
      </c>
      <c r="AM100" s="24">
        <v>96</v>
      </c>
      <c r="AN100" s="25">
        <f>IF(fullvax[[#This Row],[2017]]/100=0, ,fullvax[[#This Row],[2017]]/100)</f>
        <v>0.96</v>
      </c>
      <c r="AV100" s="8" t="s">
        <v>143</v>
      </c>
      <c r="AW100" s="11" t="s">
        <v>58</v>
      </c>
      <c r="AX100" s="41">
        <f>VLOOKUP(all_cause_mort[[#This Row],[Country]],[1]!populations[#Data],9,FALSE)*VLOOKUP(all_cause_mort[[#This Row],[Country]],[1]!birthrate[#Data],3,FALSE)</f>
        <v>73686.350825999994</v>
      </c>
      <c r="AY100">
        <f>VLOOKUP(all_cause_mort[[Country]:[Country]],'[1]Mortality Data'!$A$2:$W$201,2,FALSE)</f>
        <v>1.8391451999999999E-2</v>
      </c>
      <c r="AZ100">
        <f>VLOOKUP(all_cause_mort[[Country]:[Country]],'[1]Mortality Data'!$A$2:$W$201,3,FALSE)</f>
        <v>1.0920551E-3</v>
      </c>
      <c r="BA100">
        <f>VLOOKUP(all_cause_mort[[Country]:[Country]],'[1]Mortality Data'!$A$2:$W$201,4,FALSE)</f>
        <v>3.6105436E-4</v>
      </c>
      <c r="BB100">
        <f>VLOOKUP(all_cause_mort[[Country]:[Country]],'[1]Mortality Data'!$A$2:$W$201,5,FALSE)</f>
        <v>3.3617153000000001E-4</v>
      </c>
      <c r="BC100">
        <f>VLOOKUP(all_cause_mort[[Country]:[Country]],'[1]Mortality Data'!$A$2:$W$201,6,FALSE)</f>
        <v>5.2161326000000003E-4</v>
      </c>
      <c r="BD100">
        <f>VLOOKUP(all_cause_mort[[Country]:[Country]],'[1]Mortality Data'!$A$2:$W$201,7,FALSE)</f>
        <v>9.0314053999999999E-4</v>
      </c>
      <c r="BE100">
        <f>VLOOKUP(all_cause_mort[[Country]:[Country]],'[1]Mortality Data'!$A$2:$W$201,8,FALSE)</f>
        <v>1.2924254E-3</v>
      </c>
      <c r="BF100">
        <f>VLOOKUP(all_cause_mort[[Country]:[Country]],'[1]Mortality Data'!$A$2:$W$201,9,FALSE)</f>
        <v>1.956083E-3</v>
      </c>
      <c r="BG100">
        <f>VLOOKUP(all_cause_mort[[Country]:[Country]],'[1]Mortality Data'!$A$2:$W$201,10,FALSE)</f>
        <v>2.8538693999999999E-3</v>
      </c>
      <c r="BH100">
        <f>VLOOKUP(all_cause_mort[[Country]:[Country]],'[1]Mortality Data'!$A$2:$W$201,11,FALSE)</f>
        <v>4.3894787000000003E-3</v>
      </c>
      <c r="BI100">
        <f>VLOOKUP(all_cause_mort[[Country]:[Country]],'[1]Mortality Data'!$A$2:$W$201,12,FALSE)</f>
        <v>7.6067175000000004E-3</v>
      </c>
      <c r="BJ100">
        <f>VLOOKUP(all_cause_mort[[Country]:[Country]],'[1]Mortality Data'!$A$2:$W$201,13,FALSE)</f>
        <v>1.1481323999999999E-2</v>
      </c>
      <c r="BK100">
        <f>VLOOKUP(all_cause_mort[[Country]:[Country]],'[1]Mortality Data'!$A$2:$W$201,14,FALSE)</f>
        <v>1.5725696000000001E-2</v>
      </c>
      <c r="BL100">
        <f>VLOOKUP(all_cause_mort[[Country]:[Country]],'[1]Mortality Data'!$A$2:$W$201,15,FALSE)</f>
        <v>2.2428037000000001E-2</v>
      </c>
      <c r="BM100">
        <f>VLOOKUP(all_cause_mort[[Country]:[Country]],'[1]Mortality Data'!$A$2:$W$201,16,FALSE)</f>
        <v>3.1178014E-2</v>
      </c>
      <c r="BN100">
        <f>VLOOKUP(all_cause_mort[[Country]:[Country]],'[1]Mortality Data'!$A$2:$W$201,17,FALSE)</f>
        <v>5.1942293E-2</v>
      </c>
      <c r="BO100">
        <f>VLOOKUP(all_cause_mort[[Country]:[Country]],'[1]Mortality Data'!$A$2:$W$201,18,FALSE)</f>
        <v>7.8840612000000004E-2</v>
      </c>
      <c r="BP100">
        <f>VLOOKUP(all_cause_mort[[Country]:[Country]],'[1]Mortality Data'!$A$2:$W$201,19,FALSE)</f>
        <v>0.11728566999999999</v>
      </c>
      <c r="BQ100">
        <f>VLOOKUP(all_cause_mort[[Country]:[Country]],'[1]Mortality Data'!$A$2:$W$201,20,FALSE)</f>
        <v>0.17170224000000001</v>
      </c>
      <c r="BR100">
        <f>VLOOKUP(all_cause_mort[[Country]:[Country]],'[1]Mortality Data'!$A$2:$W$201,21,FALSE)</f>
        <v>0.24399900999999999</v>
      </c>
      <c r="BS100">
        <f>VLOOKUP(all_cause_mort[[Country]:[Country]],'[1]Mortality Data'!$A$2:$W$201,22,FALSE)</f>
        <v>0.33252199999999998</v>
      </c>
      <c r="BT100">
        <f>VLOOKUP(all_cause_mort[[Country]:[Country]],'[1]Mortality Data'!$A$2:$W$201,23,FALSE)</f>
        <v>0.454902490968707</v>
      </c>
      <c r="BU100" s="39" t="e">
        <f>VLOOKUP(all_cause_mort[[#This Row],[Country]],[2]!regions[#Data],3,FALSE)</f>
        <v>#REF!</v>
      </c>
    </row>
    <row r="101" spans="1:73" x14ac:dyDescent="0.35">
      <c r="A101" t="s">
        <v>105</v>
      </c>
      <c r="B101">
        <v>10000023</v>
      </c>
      <c r="C101">
        <v>9971727</v>
      </c>
      <c r="D101">
        <v>9920362</v>
      </c>
      <c r="E101">
        <v>9893082</v>
      </c>
      <c r="F101">
        <v>9866468</v>
      </c>
      <c r="G101">
        <v>9843028</v>
      </c>
      <c r="H101">
        <v>9814023</v>
      </c>
      <c r="I101">
        <v>9781127</v>
      </c>
      <c r="K101" t="s">
        <v>105</v>
      </c>
      <c r="L101">
        <v>9.6999999999999993</v>
      </c>
      <c r="M101">
        <f>birthrate[[#This Row],[2016]]/1000</f>
        <v>9.6999999999999986E-3</v>
      </c>
      <c r="O101" t="s">
        <v>144</v>
      </c>
      <c r="P101">
        <v>99</v>
      </c>
      <c r="Q101">
        <f>facility[[#This Row],[Facility (%)]]/100</f>
        <v>0.99</v>
      </c>
      <c r="S101" t="s">
        <v>134</v>
      </c>
      <c r="T101">
        <v>2014</v>
      </c>
      <c r="U101">
        <v>95.6</v>
      </c>
      <c r="V101">
        <f>SBA[[#This Row],[SBA (%)]]/100</f>
        <v>0.95599999999999996</v>
      </c>
      <c r="X101" s="10" t="s">
        <v>155</v>
      </c>
      <c r="Y101" s="10" t="s">
        <v>256</v>
      </c>
      <c r="Z101" s="21">
        <v>0.112</v>
      </c>
      <c r="AA101" s="21">
        <v>0.10100000000000001</v>
      </c>
      <c r="AB101" s="21">
        <v>0.128</v>
      </c>
      <c r="AC101">
        <v>190886311</v>
      </c>
      <c r="AD101" s="27">
        <v>8.1632653061224497E-3</v>
      </c>
      <c r="AF101" s="24" t="s">
        <v>129</v>
      </c>
      <c r="AG101" s="24" t="s">
        <v>253</v>
      </c>
      <c r="AH101" s="24">
        <v>97</v>
      </c>
      <c r="AI101" s="25">
        <f>IF(birthdose[[#This Row],[2017]]/100=0, ,birthdose[[#This Row],[2017]]/100)</f>
        <v>0.97</v>
      </c>
      <c r="AK101" s="24" t="s">
        <v>129</v>
      </c>
      <c r="AL101" s="24" t="s">
        <v>254</v>
      </c>
      <c r="AM101" s="24">
        <v>94</v>
      </c>
      <c r="AN101" s="25">
        <f>IF(fullvax[[#This Row],[2017]]/100=0, ,fullvax[[#This Row],[2017]]/100)</f>
        <v>0.94</v>
      </c>
      <c r="AV101" s="8" t="s">
        <v>145</v>
      </c>
      <c r="AW101" s="11" t="s">
        <v>7</v>
      </c>
      <c r="AX101" s="41">
        <f>VLOOKUP(all_cause_mort[[#This Row],[Country]],[1]!populations[#Data],9,FALSE)*VLOOKUP(all_cause_mort[[#This Row],[Country]],[1]!birthrate[#Data],3,FALSE)</f>
        <v>713540.71470000001</v>
      </c>
      <c r="AY101">
        <f>VLOOKUP(all_cause_mort[[Country]:[Country]],'[1]Mortality Data'!$A$2:$W$201,2,FALSE)</f>
        <v>2.022871E-2</v>
      </c>
      <c r="AZ101">
        <f>VLOOKUP(all_cause_mort[[Country]:[Country]],'[1]Mortality Data'!$A$2:$W$201,3,FALSE)</f>
        <v>9.0358677000000002E-4</v>
      </c>
      <c r="BA101">
        <f>VLOOKUP(all_cause_mort[[Country]:[Country]],'[1]Mortality Data'!$A$2:$W$201,4,FALSE)</f>
        <v>4.2133494999999999E-4</v>
      </c>
      <c r="BB101">
        <f>VLOOKUP(all_cause_mort[[Country]:[Country]],'[1]Mortality Data'!$A$2:$W$201,5,FALSE)</f>
        <v>2.5591436000000001E-4</v>
      </c>
      <c r="BC101">
        <f>VLOOKUP(all_cause_mort[[Country]:[Country]],'[1]Mortality Data'!$A$2:$W$201,6,FALSE)</f>
        <v>4.1535371000000001E-4</v>
      </c>
      <c r="BD101">
        <f>VLOOKUP(all_cause_mort[[Country]:[Country]],'[1]Mortality Data'!$A$2:$W$201,7,FALSE)</f>
        <v>6.0543558000000005E-4</v>
      </c>
      <c r="BE101">
        <f>VLOOKUP(all_cause_mort[[Country]:[Country]],'[1]Mortality Data'!$A$2:$W$201,8,FALSE)</f>
        <v>6.7007407000000004E-4</v>
      </c>
      <c r="BF101">
        <f>VLOOKUP(all_cause_mort[[Country]:[Country]],'[1]Mortality Data'!$A$2:$W$201,9,FALSE)</f>
        <v>7.4422688000000002E-4</v>
      </c>
      <c r="BG101">
        <f>VLOOKUP(all_cause_mort[[Country]:[Country]],'[1]Mortality Data'!$A$2:$W$201,10,FALSE)</f>
        <v>1.0038378000000001E-3</v>
      </c>
      <c r="BH101">
        <f>VLOOKUP(all_cause_mort[[Country]:[Country]],'[1]Mortality Data'!$A$2:$W$201,11,FALSE)</f>
        <v>1.3350065000000001E-3</v>
      </c>
      <c r="BI101">
        <f>VLOOKUP(all_cause_mort[[Country]:[Country]],'[1]Mortality Data'!$A$2:$W$201,12,FALSE)</f>
        <v>1.9089210000000001E-3</v>
      </c>
      <c r="BJ101">
        <f>VLOOKUP(all_cause_mort[[Country]:[Country]],'[1]Mortality Data'!$A$2:$W$201,13,FALSE)</f>
        <v>2.9226598E-3</v>
      </c>
      <c r="BK101">
        <f>VLOOKUP(all_cause_mort[[Country]:[Country]],'[1]Mortality Data'!$A$2:$W$201,14,FALSE)</f>
        <v>4.5565935E-3</v>
      </c>
      <c r="BL101">
        <f>VLOOKUP(all_cause_mort[[Country]:[Country]],'[1]Mortality Data'!$A$2:$W$201,15,FALSE)</f>
        <v>7.9651510999999998E-3</v>
      </c>
      <c r="BM101">
        <f>VLOOKUP(all_cause_mort[[Country]:[Country]],'[1]Mortality Data'!$A$2:$W$201,16,FALSE)</f>
        <v>1.4359490000000001E-2</v>
      </c>
      <c r="BN101">
        <f>VLOOKUP(all_cause_mort[[Country]:[Country]],'[1]Mortality Data'!$A$2:$W$201,17,FALSE)</f>
        <v>2.96108E-2</v>
      </c>
      <c r="BO101">
        <f>VLOOKUP(all_cause_mort[[Country]:[Country]],'[1]Mortality Data'!$A$2:$W$201,18,FALSE)</f>
        <v>5.2781624999999999E-2</v>
      </c>
      <c r="BP101">
        <f>VLOOKUP(all_cause_mort[[Country]:[Country]],'[1]Mortality Data'!$A$2:$W$201,19,FALSE)</f>
        <v>0.11870912</v>
      </c>
      <c r="BQ101">
        <f>VLOOKUP(all_cause_mort[[Country]:[Country]],'[1]Mortality Data'!$A$2:$W$201,20,FALSE)</f>
        <v>0.22448203</v>
      </c>
      <c r="BR101">
        <f>VLOOKUP(all_cause_mort[[Country]:[Country]],'[1]Mortality Data'!$A$2:$W$201,21,FALSE)</f>
        <v>0.37776873</v>
      </c>
      <c r="BS101">
        <f>VLOOKUP(all_cause_mort[[Country]:[Country]],'[1]Mortality Data'!$A$2:$W$201,22,FALSE)</f>
        <v>0.47924042</v>
      </c>
      <c r="BT101">
        <f>VLOOKUP(all_cause_mort[[Country]:[Country]],'[1]Mortality Data'!$A$2:$W$201,23,FALSE)</f>
        <v>0.599943941238131</v>
      </c>
      <c r="BU101" s="39" t="e">
        <f>VLOOKUP(all_cause_mort[[#This Row],[Country]],[2]!regions[#Data],3,FALSE)</f>
        <v>#REF!</v>
      </c>
    </row>
    <row r="102" spans="1:73" x14ac:dyDescent="0.35">
      <c r="A102" t="s">
        <v>316</v>
      </c>
      <c r="B102">
        <v>4430022932</v>
      </c>
      <c r="C102">
        <v>4474450995</v>
      </c>
      <c r="D102">
        <v>4519551913</v>
      </c>
      <c r="E102">
        <v>4564885065</v>
      </c>
      <c r="F102">
        <v>4610015643</v>
      </c>
      <c r="G102">
        <v>4654714482</v>
      </c>
      <c r="H102">
        <v>4699231955</v>
      </c>
      <c r="I102">
        <v>4743263932</v>
      </c>
      <c r="K102" t="s">
        <v>316</v>
      </c>
      <c r="L102">
        <v>16.52278211863781</v>
      </c>
      <c r="M102">
        <f>birthrate[[#This Row],[2016]]/1000</f>
        <v>1.6522782118637811E-2</v>
      </c>
      <c r="O102" t="s">
        <v>145</v>
      </c>
      <c r="P102">
        <v>72.7</v>
      </c>
      <c r="Q102">
        <f>facility[[#This Row],[Facility (%)]]/100</f>
        <v>0.72699999999999998</v>
      </c>
      <c r="S102" t="s">
        <v>135</v>
      </c>
      <c r="T102" t="s">
        <v>307</v>
      </c>
      <c r="U102">
        <v>43.7</v>
      </c>
      <c r="V102">
        <f>SBA[[#This Row],[SBA (%)]]/100</f>
        <v>0.43700000000000006</v>
      </c>
      <c r="X102" s="10" t="s">
        <v>156</v>
      </c>
      <c r="Y102" s="13" t="s">
        <v>252</v>
      </c>
      <c r="Z102" s="26">
        <v>0.1186</v>
      </c>
      <c r="AA102" s="26">
        <v>0.1011</v>
      </c>
      <c r="AB102" s="26">
        <v>0.1386</v>
      </c>
      <c r="AC102" s="22">
        <v>1630</v>
      </c>
      <c r="AD102" s="27">
        <v>1.0204081632653064E-2</v>
      </c>
      <c r="AF102" s="24" t="s">
        <v>130</v>
      </c>
      <c r="AG102" s="24" t="s">
        <v>253</v>
      </c>
      <c r="AH102" s="24"/>
      <c r="AI102" s="25">
        <f>IF(birthdose[[#This Row],[2017]]/100=0, ,birthdose[[#This Row],[2017]]/100)</f>
        <v>0</v>
      </c>
      <c r="AK102" s="24" t="s">
        <v>130</v>
      </c>
      <c r="AL102" s="24" t="s">
        <v>254</v>
      </c>
      <c r="AM102" s="24">
        <v>94</v>
      </c>
      <c r="AN102" s="25">
        <f>IF(fullvax[[#This Row],[2017]]/100=0, ,fullvax[[#This Row],[2017]]/100)</f>
        <v>0.94</v>
      </c>
      <c r="AV102" s="12" t="s">
        <v>146</v>
      </c>
      <c r="AW102" s="14" t="s">
        <v>15</v>
      </c>
      <c r="AX102" s="41">
        <f>VLOOKUP(all_cause_mort[[#This Row],[Country]],[1]!populations[#Data],9,FALSE)*VLOOKUP(all_cause_mort[[#This Row],[Country]],[1]!birthrate[#Data],3,FALSE)</f>
        <v>1155690.0908020001</v>
      </c>
      <c r="AY102">
        <f>VLOOKUP(all_cause_mort[[Country]:[Country]],'[1]Mortality Data'!$A$2:$W$201,2,FALSE)</f>
        <v>5.6336077999999998E-2</v>
      </c>
      <c r="AZ102">
        <f>VLOOKUP(all_cause_mort[[Country]:[Country]],'[1]Mortality Data'!$A$2:$W$201,3,FALSE)</f>
        <v>5.1791646999999998E-3</v>
      </c>
      <c r="BA102">
        <f>VLOOKUP(all_cause_mort[[Country]:[Country]],'[1]Mortality Data'!$A$2:$W$201,4,FALSE)</f>
        <v>1.4062116999999999E-3</v>
      </c>
      <c r="BB102">
        <f>VLOOKUP(all_cause_mort[[Country]:[Country]],'[1]Mortality Data'!$A$2:$W$201,5,FALSE)</f>
        <v>1.0978578999999999E-3</v>
      </c>
      <c r="BC102">
        <f>VLOOKUP(all_cause_mort[[Country]:[Country]],'[1]Mortality Data'!$A$2:$W$201,6,FALSE)</f>
        <v>1.7332039999999999E-3</v>
      </c>
      <c r="BD102">
        <f>VLOOKUP(all_cause_mort[[Country]:[Country]],'[1]Mortality Data'!$A$2:$W$201,7,FALSE)</f>
        <v>2.8845515000000001E-3</v>
      </c>
      <c r="BE102">
        <f>VLOOKUP(all_cause_mort[[Country]:[Country]],'[1]Mortality Data'!$A$2:$W$201,8,FALSE)</f>
        <v>4.4360307999999999E-3</v>
      </c>
      <c r="BF102">
        <f>VLOOKUP(all_cause_mort[[Country]:[Country]],'[1]Mortality Data'!$A$2:$W$201,9,FALSE)</f>
        <v>6.1564478999999997E-3</v>
      </c>
      <c r="BG102">
        <f>VLOOKUP(all_cause_mort[[Country]:[Country]],'[1]Mortality Data'!$A$2:$W$201,10,FALSE)</f>
        <v>8.5899530000000009E-3</v>
      </c>
      <c r="BH102">
        <f>VLOOKUP(all_cause_mort[[Country]:[Country]],'[1]Mortality Data'!$A$2:$W$201,11,FALSE)</f>
        <v>1.0337483999999999E-2</v>
      </c>
      <c r="BI102">
        <f>VLOOKUP(all_cause_mort[[Country]:[Country]],'[1]Mortality Data'!$A$2:$W$201,12,FALSE)</f>
        <v>1.221796E-2</v>
      </c>
      <c r="BJ102">
        <f>VLOOKUP(all_cause_mort[[Country]:[Country]],'[1]Mortality Data'!$A$2:$W$201,13,FALSE)</f>
        <v>1.5052225000000001E-2</v>
      </c>
      <c r="BK102">
        <f>VLOOKUP(all_cause_mort[[Country]:[Country]],'[1]Mortality Data'!$A$2:$W$201,14,FALSE)</f>
        <v>1.8775831999999999E-2</v>
      </c>
      <c r="BL102">
        <f>VLOOKUP(all_cause_mort[[Country]:[Country]],'[1]Mortality Data'!$A$2:$W$201,15,FALSE)</f>
        <v>2.5708446999999999E-2</v>
      </c>
      <c r="BM102">
        <f>VLOOKUP(all_cause_mort[[Country]:[Country]],'[1]Mortality Data'!$A$2:$W$201,16,FALSE)</f>
        <v>3.7444529999999997E-2</v>
      </c>
      <c r="BN102">
        <f>VLOOKUP(all_cause_mort[[Country]:[Country]],'[1]Mortality Data'!$A$2:$W$201,17,FALSE)</f>
        <v>5.7292759999999998E-2</v>
      </c>
      <c r="BO102">
        <f>VLOOKUP(all_cause_mort[[Country]:[Country]],'[1]Mortality Data'!$A$2:$W$201,18,FALSE)</f>
        <v>9.0017476999999999E-2</v>
      </c>
      <c r="BP102">
        <f>VLOOKUP(all_cause_mort[[Country]:[Country]],'[1]Mortality Data'!$A$2:$W$201,19,FALSE)</f>
        <v>0.15074603</v>
      </c>
      <c r="BQ102">
        <f>VLOOKUP(all_cause_mort[[Country]:[Country]],'[1]Mortality Data'!$A$2:$W$201,20,FALSE)</f>
        <v>0.25384992000000001</v>
      </c>
      <c r="BR102">
        <f>VLOOKUP(all_cause_mort[[Country]:[Country]],'[1]Mortality Data'!$A$2:$W$201,21,FALSE)</f>
        <v>0.4122403</v>
      </c>
      <c r="BS102">
        <f>VLOOKUP(all_cause_mort[[Country]:[Country]],'[1]Mortality Data'!$A$2:$W$201,22,FALSE)</f>
        <v>0.57469583999999996</v>
      </c>
      <c r="BT102">
        <f>VLOOKUP(all_cause_mort[[Country]:[Country]],'[1]Mortality Data'!$A$2:$W$201,23,FALSE)</f>
        <v>0.73549270067624095</v>
      </c>
      <c r="BU102" s="39" t="e">
        <f>VLOOKUP(all_cause_mort[[#This Row],[Country]],[2]!regions[#Data],3,FALSE)</f>
        <v>#REF!</v>
      </c>
    </row>
    <row r="103" spans="1:73" x14ac:dyDescent="0.35">
      <c r="A103" t="s">
        <v>317</v>
      </c>
      <c r="B103">
        <v>5803571023</v>
      </c>
      <c r="C103">
        <v>5880131377</v>
      </c>
      <c r="D103">
        <v>5957668177</v>
      </c>
      <c r="E103">
        <v>6036113018</v>
      </c>
      <c r="F103">
        <v>6114993204</v>
      </c>
      <c r="G103">
        <v>6194062653</v>
      </c>
      <c r="H103">
        <v>6273584648</v>
      </c>
      <c r="I103">
        <v>6353204601</v>
      </c>
      <c r="K103" t="s">
        <v>317</v>
      </c>
      <c r="L103">
        <v>20.359344235200552</v>
      </c>
      <c r="M103">
        <f>birthrate[[#This Row],[2016]]/1000</f>
        <v>2.0359344235200551E-2</v>
      </c>
      <c r="O103" t="s">
        <v>146</v>
      </c>
      <c r="P103">
        <v>54.8</v>
      </c>
      <c r="Q103">
        <f>facility[[#This Row],[Facility (%)]]/100</f>
        <v>0.54799999999999993</v>
      </c>
      <c r="S103" t="s">
        <v>136</v>
      </c>
      <c r="T103">
        <v>2016</v>
      </c>
      <c r="U103">
        <v>99.8</v>
      </c>
      <c r="V103">
        <f>SBA[[#This Row],[SBA (%)]]/100</f>
        <v>0.998</v>
      </c>
      <c r="X103" s="13" t="s">
        <v>157</v>
      </c>
      <c r="Y103" s="13" t="s">
        <v>256</v>
      </c>
      <c r="Z103" s="26">
        <v>3.0000000000000001E-3</v>
      </c>
      <c r="AA103" s="26">
        <v>3.0000000000000001E-3</v>
      </c>
      <c r="AB103" s="26">
        <v>4.0000000000000001E-3</v>
      </c>
      <c r="AC103">
        <v>5282223</v>
      </c>
      <c r="AD103" s="27">
        <v>5.1020408163265311E-4</v>
      </c>
      <c r="AF103" s="24" t="s">
        <v>131</v>
      </c>
      <c r="AG103" s="24" t="s">
        <v>253</v>
      </c>
      <c r="AH103" s="24"/>
      <c r="AI103" s="25">
        <f>IF(birthdose[[#This Row],[2017]]/100=0, ,birthdose[[#This Row],[2017]]/100)</f>
        <v>0</v>
      </c>
      <c r="AK103" s="24" t="s">
        <v>131</v>
      </c>
      <c r="AL103" s="24" t="s">
        <v>254</v>
      </c>
      <c r="AM103" s="24">
        <v>74</v>
      </c>
      <c r="AN103" s="25">
        <f>IF(fullvax[[#This Row],[2017]]/100=0, ,fullvax[[#This Row],[2017]]/100)</f>
        <v>0.74</v>
      </c>
      <c r="AV103" s="8" t="s">
        <v>147</v>
      </c>
      <c r="AW103" s="11" t="s">
        <v>37</v>
      </c>
      <c r="AX103" s="41">
        <f>VLOOKUP(all_cause_mort[[#This Row],[Country]],[1]!populations[#Data],9,FALSE)*VLOOKUP(all_cause_mort[[#This Row],[Country]],[1]!birthrate[#Data],3,FALSE)</f>
        <v>949676.616546</v>
      </c>
      <c r="AY103">
        <f>VLOOKUP(all_cause_mort[[Country]:[Country]],'[1]Mortality Data'!$A$2:$W$201,2,FALSE)</f>
        <v>3.9703889999999999E-2</v>
      </c>
      <c r="AZ103">
        <f>VLOOKUP(all_cause_mort[[Country]:[Country]],'[1]Mortality Data'!$A$2:$W$201,3,FALSE)</f>
        <v>2.5280085000000002E-3</v>
      </c>
      <c r="BA103">
        <f>VLOOKUP(all_cause_mort[[Country]:[Country]],'[1]Mortality Data'!$A$2:$W$201,4,FALSE)</f>
        <v>1.0758286E-3</v>
      </c>
      <c r="BB103">
        <f>VLOOKUP(all_cause_mort[[Country]:[Country]],'[1]Mortality Data'!$A$2:$W$201,5,FALSE)</f>
        <v>8.7298252999999995E-4</v>
      </c>
      <c r="BC103">
        <f>VLOOKUP(all_cause_mort[[Country]:[Country]],'[1]Mortality Data'!$A$2:$W$201,6,FALSE)</f>
        <v>1.4165717E-3</v>
      </c>
      <c r="BD103">
        <f>VLOOKUP(all_cause_mort[[Country]:[Country]],'[1]Mortality Data'!$A$2:$W$201,7,FALSE)</f>
        <v>2.0049069000000002E-3</v>
      </c>
      <c r="BE103">
        <f>VLOOKUP(all_cause_mort[[Country]:[Country]],'[1]Mortality Data'!$A$2:$W$201,8,FALSE)</f>
        <v>2.1732853000000002E-3</v>
      </c>
      <c r="BF103">
        <f>VLOOKUP(all_cause_mort[[Country]:[Country]],'[1]Mortality Data'!$A$2:$W$201,9,FALSE)</f>
        <v>2.5033976999999999E-3</v>
      </c>
      <c r="BG103">
        <f>VLOOKUP(all_cause_mort[[Country]:[Country]],'[1]Mortality Data'!$A$2:$W$201,10,FALSE)</f>
        <v>3.169411E-3</v>
      </c>
      <c r="BH103">
        <f>VLOOKUP(all_cause_mort[[Country]:[Country]],'[1]Mortality Data'!$A$2:$W$201,11,FALSE)</f>
        <v>4.2891203999999997E-3</v>
      </c>
      <c r="BI103">
        <f>VLOOKUP(all_cause_mort[[Country]:[Country]],'[1]Mortality Data'!$A$2:$W$201,12,FALSE)</f>
        <v>6.1574480000000003E-3</v>
      </c>
      <c r="BJ103">
        <f>VLOOKUP(all_cause_mort[[Country]:[Country]],'[1]Mortality Data'!$A$2:$W$201,13,FALSE)</f>
        <v>9.0870881999999993E-3</v>
      </c>
      <c r="BK103">
        <f>VLOOKUP(all_cause_mort[[Country]:[Country]],'[1]Mortality Data'!$A$2:$W$201,14,FALSE)</f>
        <v>1.3602105E-2</v>
      </c>
      <c r="BL103">
        <f>VLOOKUP(all_cause_mort[[Country]:[Country]],'[1]Mortality Data'!$A$2:$W$201,15,FALSE)</f>
        <v>2.0891752E-2</v>
      </c>
      <c r="BM103">
        <f>VLOOKUP(all_cause_mort[[Country]:[Country]],'[1]Mortality Data'!$A$2:$W$201,16,FALSE)</f>
        <v>3.2898747999999998E-2</v>
      </c>
      <c r="BN103">
        <f>VLOOKUP(all_cause_mort[[Country]:[Country]],'[1]Mortality Data'!$A$2:$W$201,17,FALSE)</f>
        <v>5.3234761999999998E-2</v>
      </c>
      <c r="BO103">
        <f>VLOOKUP(all_cause_mort[[Country]:[Country]],'[1]Mortality Data'!$A$2:$W$201,18,FALSE)</f>
        <v>8.6057529999999993E-2</v>
      </c>
      <c r="BP103">
        <f>VLOOKUP(all_cause_mort[[Country]:[Country]],'[1]Mortality Data'!$A$2:$W$201,19,FALSE)</f>
        <v>0.13902987</v>
      </c>
      <c r="BQ103">
        <f>VLOOKUP(all_cause_mort[[Country]:[Country]],'[1]Mortality Data'!$A$2:$W$201,20,FALSE)</f>
        <v>0.21647015</v>
      </c>
      <c r="BR103">
        <f>VLOOKUP(all_cause_mort[[Country]:[Country]],'[1]Mortality Data'!$A$2:$W$201,21,FALSE)</f>
        <v>0.31694612999999999</v>
      </c>
      <c r="BS103">
        <f>VLOOKUP(all_cause_mort[[Country]:[Country]],'[1]Mortality Data'!$A$2:$W$201,22,FALSE)</f>
        <v>0.43120182000000001</v>
      </c>
      <c r="BT103">
        <f>VLOOKUP(all_cause_mort[[Country]:[Country]],'[1]Mortality Data'!$A$2:$W$201,23,FALSE)</f>
        <v>0.58714013960666001</v>
      </c>
      <c r="BU103" s="39" t="e">
        <f>VLOOKUP(all_cause_mort[[#This Row],[Country]],[2]!regions[#Data],3,FALSE)</f>
        <v>#REF!</v>
      </c>
    </row>
    <row r="104" spans="1:73" x14ac:dyDescent="0.35">
      <c r="A104" t="s">
        <v>318</v>
      </c>
      <c r="B104">
        <v>1373548091</v>
      </c>
      <c r="C104">
        <v>1405680382</v>
      </c>
      <c r="D104">
        <v>1438116264</v>
      </c>
      <c r="E104">
        <v>1471227953</v>
      </c>
      <c r="F104">
        <v>1504977561</v>
      </c>
      <c r="G104">
        <v>1539348171</v>
      </c>
      <c r="H104">
        <v>1574352693</v>
      </c>
      <c r="I104">
        <v>1609940669</v>
      </c>
      <c r="K104" t="s">
        <v>318</v>
      </c>
      <c r="L104">
        <v>31.811804704008956</v>
      </c>
      <c r="M104">
        <f>birthrate[[#This Row],[2016]]/1000</f>
        <v>3.1811804704008954E-2</v>
      </c>
      <c r="O104" t="s">
        <v>147</v>
      </c>
      <c r="P104">
        <v>37.1</v>
      </c>
      <c r="Q104">
        <f>facility[[#This Row],[Facility (%)]]/100</f>
        <v>0.371</v>
      </c>
      <c r="S104" t="s">
        <v>137</v>
      </c>
      <c r="T104">
        <v>2011</v>
      </c>
      <c r="U104">
        <v>90.1</v>
      </c>
      <c r="V104">
        <f>SBA[[#This Row],[SBA (%)]]/100</f>
        <v>0.90099999999999991</v>
      </c>
      <c r="X104" s="10" t="s">
        <v>158</v>
      </c>
      <c r="Y104" s="10" t="s">
        <v>256</v>
      </c>
      <c r="Z104" s="21">
        <v>2.5000000000000001E-2</v>
      </c>
      <c r="AA104" s="21">
        <v>2.1000000000000001E-2</v>
      </c>
      <c r="AB104" s="21">
        <v>2.9000000000000001E-2</v>
      </c>
      <c r="AC104">
        <v>4636262</v>
      </c>
      <c r="AD104" s="27">
        <v>2.0408163265306124E-3</v>
      </c>
      <c r="AF104" s="24" t="s">
        <v>132</v>
      </c>
      <c r="AG104" s="24" t="s">
        <v>253</v>
      </c>
      <c r="AH104" s="24"/>
      <c r="AI104" s="25">
        <f>IF(birthdose[[#This Row],[2017]]/100=0, ,birthdose[[#This Row],[2017]]/100)</f>
        <v>0</v>
      </c>
      <c r="AK104" s="24" t="s">
        <v>132</v>
      </c>
      <c r="AL104" s="24" t="s">
        <v>254</v>
      </c>
      <c r="AM104" s="24">
        <v>88</v>
      </c>
      <c r="AN104" s="25">
        <f>IF(fullvax[[#This Row],[2017]]/100=0, ,fullvax[[#This Row],[2017]]/100)</f>
        <v>0.88</v>
      </c>
      <c r="AV104" s="12" t="s">
        <v>148</v>
      </c>
      <c r="AW104" s="14" t="s">
        <v>15</v>
      </c>
      <c r="AX104" s="41">
        <f>VLOOKUP(all_cause_mort[[#This Row],[Country]],[1]!populations[#Data],9,FALSE)*VLOOKUP(all_cause_mort[[#This Row],[Country]],[1]!birthrate[#Data],3,FALSE)</f>
        <v>73938.642714000001</v>
      </c>
      <c r="AY104">
        <f>VLOOKUP(all_cause_mort[[Country]:[Country]],'[1]Mortality Data'!$A$2:$W$201,2,FALSE)</f>
        <v>3.4377681E-2</v>
      </c>
      <c r="AZ104">
        <f>VLOOKUP(all_cause_mort[[Country]:[Country]],'[1]Mortality Data'!$A$2:$W$201,3,FALSE)</f>
        <v>2.9099013E-3</v>
      </c>
      <c r="BA104">
        <f>VLOOKUP(all_cause_mort[[Country]:[Country]],'[1]Mortality Data'!$A$2:$W$201,4,FALSE)</f>
        <v>1.2285111000000001E-3</v>
      </c>
      <c r="BB104">
        <f>VLOOKUP(all_cause_mort[[Country]:[Country]],'[1]Mortality Data'!$A$2:$W$201,5,FALSE)</f>
        <v>9.9083799999999996E-4</v>
      </c>
      <c r="BC104">
        <f>VLOOKUP(all_cause_mort[[Country]:[Country]],'[1]Mortality Data'!$A$2:$W$201,6,FALSE)</f>
        <v>1.6716044000000001E-3</v>
      </c>
      <c r="BD104">
        <f>VLOOKUP(all_cause_mort[[Country]:[Country]],'[1]Mortality Data'!$A$2:$W$201,7,FALSE)</f>
        <v>2.7393644999999999E-3</v>
      </c>
      <c r="BE104">
        <f>VLOOKUP(all_cause_mort[[Country]:[Country]],'[1]Mortality Data'!$A$2:$W$201,8,FALSE)</f>
        <v>3.9588619999999996E-3</v>
      </c>
      <c r="BF104">
        <f>VLOOKUP(all_cause_mort[[Country]:[Country]],'[1]Mortality Data'!$A$2:$W$201,9,FALSE)</f>
        <v>5.2867195999999998E-3</v>
      </c>
      <c r="BG104">
        <f>VLOOKUP(all_cause_mort[[Country]:[Country]],'[1]Mortality Data'!$A$2:$W$201,10,FALSE)</f>
        <v>7.1688393999999999E-3</v>
      </c>
      <c r="BH104">
        <f>VLOOKUP(all_cause_mort[[Country]:[Country]],'[1]Mortality Data'!$A$2:$W$201,11,FALSE)</f>
        <v>8.8100721E-3</v>
      </c>
      <c r="BI104">
        <f>VLOOKUP(all_cause_mort[[Country]:[Country]],'[1]Mortality Data'!$A$2:$W$201,12,FALSE)</f>
        <v>1.0793336000000001E-2</v>
      </c>
      <c r="BJ104">
        <f>VLOOKUP(all_cause_mort[[Country]:[Country]],'[1]Mortality Data'!$A$2:$W$201,13,FALSE)</f>
        <v>1.3913755999999999E-2</v>
      </c>
      <c r="BK104">
        <f>VLOOKUP(all_cause_mort[[Country]:[Country]],'[1]Mortality Data'!$A$2:$W$201,14,FALSE)</f>
        <v>1.7548792000000001E-2</v>
      </c>
      <c r="BL104">
        <f>VLOOKUP(all_cause_mort[[Country]:[Country]],'[1]Mortality Data'!$A$2:$W$201,15,FALSE)</f>
        <v>2.4419335E-2</v>
      </c>
      <c r="BM104">
        <f>VLOOKUP(all_cause_mort[[Country]:[Country]],'[1]Mortality Data'!$A$2:$W$201,16,FALSE)</f>
        <v>3.6367178E-2</v>
      </c>
      <c r="BN104">
        <f>VLOOKUP(all_cause_mort[[Country]:[Country]],'[1]Mortality Data'!$A$2:$W$201,17,FALSE)</f>
        <v>5.6585254000000001E-2</v>
      </c>
      <c r="BO104">
        <f>VLOOKUP(all_cause_mort[[Country]:[Country]],'[1]Mortality Data'!$A$2:$W$201,18,FALSE)</f>
        <v>8.9494286000000006E-2</v>
      </c>
      <c r="BP104">
        <f>VLOOKUP(all_cause_mort[[Country]:[Country]],'[1]Mortality Data'!$A$2:$W$201,19,FALSE)</f>
        <v>0.14881496999999999</v>
      </c>
      <c r="BQ104">
        <f>VLOOKUP(all_cause_mort[[Country]:[Country]],'[1]Mortality Data'!$A$2:$W$201,20,FALSE)</f>
        <v>0.24959838000000001</v>
      </c>
      <c r="BR104">
        <f>VLOOKUP(all_cause_mort[[Country]:[Country]],'[1]Mortality Data'!$A$2:$W$201,21,FALSE)</f>
        <v>0.40919012999999999</v>
      </c>
      <c r="BS104">
        <f>VLOOKUP(all_cause_mort[[Country]:[Country]],'[1]Mortality Data'!$A$2:$W$201,22,FALSE)</f>
        <v>0.57870319999999997</v>
      </c>
      <c r="BT104">
        <f>VLOOKUP(all_cause_mort[[Country]:[Country]],'[1]Mortality Data'!$A$2:$W$201,23,FALSE)</f>
        <v>0.75565119412913395</v>
      </c>
      <c r="BU104" s="39" t="e">
        <f>VLOOKUP(all_cause_mort[[#This Row],[Country]],[2]!regions[#Data],3,FALSE)</f>
        <v>#REF!</v>
      </c>
    </row>
    <row r="105" spans="1:73" x14ac:dyDescent="0.35">
      <c r="A105" t="s">
        <v>319</v>
      </c>
      <c r="B105">
        <v>452947421</v>
      </c>
      <c r="C105">
        <v>463997812</v>
      </c>
      <c r="D105">
        <v>474993526</v>
      </c>
      <c r="E105">
        <v>486261860</v>
      </c>
      <c r="F105">
        <v>497751634</v>
      </c>
      <c r="G105">
        <v>509396383</v>
      </c>
      <c r="H105">
        <v>521159047</v>
      </c>
      <c r="I105">
        <v>533023458</v>
      </c>
      <c r="K105" t="s">
        <v>319</v>
      </c>
      <c r="L105">
        <v>32.409909940423141</v>
      </c>
      <c r="M105">
        <f>birthrate[[#This Row],[2016]]/1000</f>
        <v>3.2409909940423143E-2</v>
      </c>
      <c r="O105" t="s">
        <v>148</v>
      </c>
      <c r="P105">
        <v>87.4</v>
      </c>
      <c r="Q105">
        <f>facility[[#This Row],[Facility (%)]]/100</f>
        <v>0.87400000000000011</v>
      </c>
      <c r="S105" t="s">
        <v>138</v>
      </c>
      <c r="T105" t="s">
        <v>307</v>
      </c>
      <c r="U105">
        <v>69.3</v>
      </c>
      <c r="V105">
        <f>SBA[[#This Row],[SBA (%)]]/100</f>
        <v>0.69299999999999995</v>
      </c>
      <c r="X105" s="13" t="s">
        <v>159</v>
      </c>
      <c r="Y105" s="13" t="s">
        <v>256</v>
      </c>
      <c r="Z105" s="26">
        <v>2.1000000000000001E-2</v>
      </c>
      <c r="AA105" s="26">
        <v>0.02</v>
      </c>
      <c r="AB105" s="26">
        <v>3.3000000000000002E-2</v>
      </c>
      <c r="AC105">
        <v>197015955</v>
      </c>
      <c r="AD105" s="27">
        <v>6.1224489795918373E-3</v>
      </c>
      <c r="AF105" s="24" t="s">
        <v>133</v>
      </c>
      <c r="AG105" s="24" t="s">
        <v>253</v>
      </c>
      <c r="AH105" s="24">
        <v>90</v>
      </c>
      <c r="AI105" s="25">
        <f>IF(birthdose[[#This Row],[2017]]/100=0, ,birthdose[[#This Row],[2017]]/100)</f>
        <v>0.9</v>
      </c>
      <c r="AK105" s="24" t="s">
        <v>133</v>
      </c>
      <c r="AL105" s="24" t="s">
        <v>254</v>
      </c>
      <c r="AM105" s="24">
        <v>98</v>
      </c>
      <c r="AN105" s="25">
        <f>IF(fullvax[[#This Row],[2017]]/100=0, ,fullvax[[#This Row],[2017]]/100)</f>
        <v>0.98</v>
      </c>
      <c r="AV105" s="8" t="s">
        <v>149</v>
      </c>
      <c r="AW105" s="11" t="s">
        <v>58</v>
      </c>
      <c r="AX105" s="41">
        <f>VLOOKUP(all_cause_mort[[#This Row],[Country]],[1]!populations[#Data],9,FALSE)*VLOOKUP(all_cause_mort[[#This Row],[Country]],[1]!birthrate[#Data],3,FALSE)</f>
        <v>327.57600000000002</v>
      </c>
      <c r="BU105" s="39" t="e">
        <f>VLOOKUP(all_cause_mort[[#This Row],[Country]],[2]!regions[#Data],3,FALSE)</f>
        <v>#REF!</v>
      </c>
    </row>
    <row r="106" spans="1:73" x14ac:dyDescent="0.35">
      <c r="A106" t="s">
        <v>108</v>
      </c>
      <c r="B106">
        <v>242524123</v>
      </c>
      <c r="C106">
        <v>245707511</v>
      </c>
      <c r="D106">
        <v>248883232</v>
      </c>
      <c r="E106">
        <v>252032263</v>
      </c>
      <c r="F106">
        <v>255131116</v>
      </c>
      <c r="G106">
        <v>258162113</v>
      </c>
      <c r="H106">
        <v>261115456</v>
      </c>
      <c r="I106">
        <v>263991379</v>
      </c>
      <c r="K106" t="s">
        <v>108</v>
      </c>
      <c r="L106">
        <v>18.986000000000001</v>
      </c>
      <c r="M106">
        <f>birthrate[[#This Row],[2016]]/1000</f>
        <v>1.8985999999999999E-2</v>
      </c>
      <c r="O106" t="s">
        <v>149</v>
      </c>
      <c r="P106">
        <v>98.7</v>
      </c>
      <c r="Q106">
        <f>facility[[#This Row],[Facility (%)]]/100</f>
        <v>0.98699999999999999</v>
      </c>
      <c r="S106" t="s">
        <v>139</v>
      </c>
      <c r="T106">
        <v>2016</v>
      </c>
      <c r="U106">
        <v>99.8</v>
      </c>
      <c r="V106">
        <f>SBA[[#This Row],[SBA (%)]]/100</f>
        <v>0.998</v>
      </c>
      <c r="X106" s="10" t="s">
        <v>160</v>
      </c>
      <c r="Y106" s="10" t="s">
        <v>252</v>
      </c>
      <c r="Z106" s="21">
        <v>2.9399999999999999E-2</v>
      </c>
      <c r="AA106" s="21">
        <v>4.1000000000000003E-3</v>
      </c>
      <c r="AB106" s="21">
        <v>0.18140000000000001</v>
      </c>
      <c r="AC106" s="22">
        <v>20470</v>
      </c>
      <c r="AD106" s="27">
        <v>7.7551020408163265E-2</v>
      </c>
      <c r="AF106" s="24" t="s">
        <v>134</v>
      </c>
      <c r="AG106" s="24" t="s">
        <v>253</v>
      </c>
      <c r="AH106" s="24">
        <v>99</v>
      </c>
      <c r="AI106" s="25">
        <f>IF(birthdose[[#This Row],[2017]]/100=0, ,birthdose[[#This Row],[2017]]/100)</f>
        <v>0.99</v>
      </c>
      <c r="AK106" s="24" t="s">
        <v>134</v>
      </c>
      <c r="AL106" s="24" t="s">
        <v>254</v>
      </c>
      <c r="AM106" s="24">
        <v>99</v>
      </c>
      <c r="AN106" s="25">
        <f>IF(fullvax[[#This Row],[2017]]/100=0, ,fullvax[[#This Row],[2017]]/100)</f>
        <v>0.99</v>
      </c>
      <c r="AV106" s="12" t="s">
        <v>150</v>
      </c>
      <c r="AW106" s="14" t="s">
        <v>37</v>
      </c>
      <c r="AX106" s="41">
        <f>VLOOKUP(all_cause_mort[[#This Row],[Country]],[1]!populations[#Data],9,FALSE)*VLOOKUP(all_cause_mort[[#This Row],[Country]],[1]!birthrate[#Data],3,FALSE)</f>
        <v>577601.51058</v>
      </c>
      <c r="AY106">
        <f>VLOOKUP(all_cause_mort[[Country]:[Country]],'[1]Mortality Data'!$A$2:$W$201,2,FALSE)</f>
        <v>2.8640247000000001E-2</v>
      </c>
      <c r="AZ106">
        <f>VLOOKUP(all_cause_mort[[Country]:[Country]],'[1]Mortality Data'!$A$2:$W$201,3,FALSE)</f>
        <v>1.4695314E-3</v>
      </c>
      <c r="BA106">
        <f>VLOOKUP(all_cause_mort[[Country]:[Country]],'[1]Mortality Data'!$A$2:$W$201,4,FALSE)</f>
        <v>5.9831827000000003E-4</v>
      </c>
      <c r="BB106">
        <f>VLOOKUP(all_cause_mort[[Country]:[Country]],'[1]Mortality Data'!$A$2:$W$201,5,FALSE)</f>
        <v>4.9007130000000001E-4</v>
      </c>
      <c r="BC106">
        <f>VLOOKUP(all_cause_mort[[Country]:[Country]],'[1]Mortality Data'!$A$2:$W$201,6,FALSE)</f>
        <v>8.6118459E-4</v>
      </c>
      <c r="BD106">
        <f>VLOOKUP(all_cause_mort[[Country]:[Country]],'[1]Mortality Data'!$A$2:$W$201,7,FALSE)</f>
        <v>1.1906973E-3</v>
      </c>
      <c r="BE106">
        <f>VLOOKUP(all_cause_mort[[Country]:[Country]],'[1]Mortality Data'!$A$2:$W$201,8,FALSE)</f>
        <v>1.2941898999999999E-3</v>
      </c>
      <c r="BF106">
        <f>VLOOKUP(all_cause_mort[[Country]:[Country]],'[1]Mortality Data'!$A$2:$W$201,9,FALSE)</f>
        <v>1.5244251999999999E-3</v>
      </c>
      <c r="BG106">
        <f>VLOOKUP(all_cause_mort[[Country]:[Country]],'[1]Mortality Data'!$A$2:$W$201,10,FALSE)</f>
        <v>1.9933232E-3</v>
      </c>
      <c r="BH106">
        <f>VLOOKUP(all_cause_mort[[Country]:[Country]],'[1]Mortality Data'!$A$2:$W$201,11,FALSE)</f>
        <v>2.8693618999999998E-3</v>
      </c>
      <c r="BI106">
        <f>VLOOKUP(all_cause_mort[[Country]:[Country]],'[1]Mortality Data'!$A$2:$W$201,12,FALSE)</f>
        <v>4.5009300000000002E-3</v>
      </c>
      <c r="BJ106">
        <f>VLOOKUP(all_cause_mort[[Country]:[Country]],'[1]Mortality Data'!$A$2:$W$201,13,FALSE)</f>
        <v>7.0663938000000001E-3</v>
      </c>
      <c r="BK106">
        <f>VLOOKUP(all_cause_mort[[Country]:[Country]],'[1]Mortality Data'!$A$2:$W$201,14,FALSE)</f>
        <v>1.1238351000000001E-2</v>
      </c>
      <c r="BL106">
        <f>VLOOKUP(all_cause_mort[[Country]:[Country]],'[1]Mortality Data'!$A$2:$W$201,15,FALSE)</f>
        <v>1.7900197999999999E-2</v>
      </c>
      <c r="BM106">
        <f>VLOOKUP(all_cause_mort[[Country]:[Country]],'[1]Mortality Data'!$A$2:$W$201,16,FALSE)</f>
        <v>2.9130886000000002E-2</v>
      </c>
      <c r="BN106">
        <f>VLOOKUP(all_cause_mort[[Country]:[Country]],'[1]Mortality Data'!$A$2:$W$201,17,FALSE)</f>
        <v>4.8186037000000001E-2</v>
      </c>
      <c r="BO106">
        <f>VLOOKUP(all_cause_mort[[Country]:[Country]],'[1]Mortality Data'!$A$2:$W$201,18,FALSE)</f>
        <v>7.9872377999999994E-2</v>
      </c>
      <c r="BP106">
        <f>VLOOKUP(all_cause_mort[[Country]:[Country]],'[1]Mortality Data'!$A$2:$W$201,19,FALSE)</f>
        <v>0.13220203999999999</v>
      </c>
      <c r="BQ106">
        <f>VLOOKUP(all_cause_mort[[Country]:[Country]],'[1]Mortality Data'!$A$2:$W$201,20,FALSE)</f>
        <v>0.21001893999999999</v>
      </c>
      <c r="BR106">
        <f>VLOOKUP(all_cause_mort[[Country]:[Country]],'[1]Mortality Data'!$A$2:$W$201,21,FALSE)</f>
        <v>0.31161787000000002</v>
      </c>
      <c r="BS106">
        <f>VLOOKUP(all_cause_mort[[Country]:[Country]],'[1]Mortality Data'!$A$2:$W$201,22,FALSE)</f>
        <v>0.43556268999999997</v>
      </c>
      <c r="BT106">
        <f>VLOOKUP(all_cause_mort[[Country]:[Country]],'[1]Mortality Data'!$A$2:$W$201,23,FALSE)</f>
        <v>0.57605773849755304</v>
      </c>
      <c r="BU106" s="39" t="e">
        <f>VLOOKUP(all_cause_mort[[#This Row],[Country]],[2]!regions[#Data],3,FALSE)</f>
        <v>#REF!</v>
      </c>
    </row>
    <row r="107" spans="1:73" x14ac:dyDescent="0.35">
      <c r="A107" t="s">
        <v>320</v>
      </c>
      <c r="B107">
        <v>920600670</v>
      </c>
      <c r="C107">
        <v>941682570</v>
      </c>
      <c r="D107">
        <v>963122738</v>
      </c>
      <c r="E107">
        <v>984966093</v>
      </c>
      <c r="F107">
        <v>1007225927</v>
      </c>
      <c r="G107">
        <v>1029951788</v>
      </c>
      <c r="H107">
        <v>1053193646</v>
      </c>
      <c r="I107">
        <v>1076917211</v>
      </c>
      <c r="K107" t="s">
        <v>320</v>
      </c>
      <c r="L107">
        <v>31.515863916486705</v>
      </c>
      <c r="M107">
        <f>birthrate[[#This Row],[2016]]/1000</f>
        <v>3.1515863916486704E-2</v>
      </c>
      <c r="O107" t="s">
        <v>150</v>
      </c>
      <c r="P107">
        <v>57.4</v>
      </c>
      <c r="Q107">
        <f>facility[[#This Row],[Facility (%)]]/100</f>
        <v>0.57399999999999995</v>
      </c>
      <c r="S107" t="s">
        <v>140</v>
      </c>
      <c r="T107" t="s">
        <v>307</v>
      </c>
      <c r="U107">
        <v>97.7</v>
      </c>
      <c r="V107">
        <f>SBA[[#This Row],[SBA (%)]]/100</f>
        <v>0.97699999999999998</v>
      </c>
      <c r="X107" s="13" t="s">
        <v>161</v>
      </c>
      <c r="Y107" s="13" t="s">
        <v>252</v>
      </c>
      <c r="Z107" s="26">
        <v>2.1000000000000001E-2</v>
      </c>
      <c r="AA107" s="26">
        <v>1.9E-2</v>
      </c>
      <c r="AB107" s="26">
        <v>2.3199999999999998E-2</v>
      </c>
      <c r="AC107" s="22">
        <v>3643222</v>
      </c>
      <c r="AD107" s="27">
        <v>1.1224489795918352E-3</v>
      </c>
      <c r="AF107" s="24" t="s">
        <v>135</v>
      </c>
      <c r="AG107" s="24" t="s">
        <v>253</v>
      </c>
      <c r="AH107" s="24"/>
      <c r="AI107" s="25">
        <f>IF(birthdose[[#This Row],[2017]]/100=0, ,birthdose[[#This Row],[2017]]/100)</f>
        <v>0</v>
      </c>
      <c r="AK107" s="24" t="s">
        <v>135</v>
      </c>
      <c r="AL107" s="24" t="s">
        <v>254</v>
      </c>
      <c r="AM107" s="24">
        <v>66</v>
      </c>
      <c r="AN107" s="25">
        <f>IF(fullvax[[#This Row],[2017]]/100=0, ,fullvax[[#This Row],[2017]]/100)</f>
        <v>0.66</v>
      </c>
      <c r="AV107" s="8" t="s">
        <v>153</v>
      </c>
      <c r="AW107" s="11" t="s">
        <v>23</v>
      </c>
      <c r="AX107" s="41">
        <f>VLOOKUP(all_cause_mort[[#This Row],[Country]],[1]!populations[#Data],9,FALSE)*VLOOKUP(all_cause_mort[[#This Row],[Country]],[1]!birthrate[#Data],3,FALSE)</f>
        <v>121311.222891</v>
      </c>
      <c r="AY107">
        <f>VLOOKUP(all_cause_mort[[Country]:[Country]],'[1]Mortality Data'!$A$2:$W$201,2,FALSE)</f>
        <v>1.7042821E-2</v>
      </c>
      <c r="AZ107">
        <f>VLOOKUP(all_cause_mort[[Country]:[Country]],'[1]Mortality Data'!$A$2:$W$201,3,FALSE)</f>
        <v>8.8338659999999999E-4</v>
      </c>
      <c r="BA107">
        <f>VLOOKUP(all_cause_mort[[Country]:[Country]],'[1]Mortality Data'!$A$2:$W$201,4,FALSE)</f>
        <v>4.6150675000000002E-4</v>
      </c>
      <c r="BB107">
        <f>VLOOKUP(all_cause_mort[[Country]:[Country]],'[1]Mortality Data'!$A$2:$W$201,5,FALSE)</f>
        <v>4.6118101999999999E-4</v>
      </c>
      <c r="BC107">
        <f>VLOOKUP(all_cause_mort[[Country]:[Country]],'[1]Mortality Data'!$A$2:$W$201,6,FALSE)</f>
        <v>1.1341954999999999E-3</v>
      </c>
      <c r="BD107">
        <f>VLOOKUP(all_cause_mort[[Country]:[Country]],'[1]Mortality Data'!$A$2:$W$201,7,FALSE)</f>
        <v>1.5131984E-3</v>
      </c>
      <c r="BE107">
        <f>VLOOKUP(all_cause_mort[[Country]:[Country]],'[1]Mortality Data'!$A$2:$W$201,8,FALSE)</f>
        <v>1.7766008E-3</v>
      </c>
      <c r="BF107">
        <f>VLOOKUP(all_cause_mort[[Country]:[Country]],'[1]Mortality Data'!$A$2:$W$201,9,FALSE)</f>
        <v>2.1383892000000002E-3</v>
      </c>
      <c r="BG107">
        <f>VLOOKUP(all_cause_mort[[Country]:[Country]],'[1]Mortality Data'!$A$2:$W$201,10,FALSE)</f>
        <v>2.7168524999999998E-3</v>
      </c>
      <c r="BH107">
        <f>VLOOKUP(all_cause_mort[[Country]:[Country]],'[1]Mortality Data'!$A$2:$W$201,11,FALSE)</f>
        <v>3.4635730000000002E-3</v>
      </c>
      <c r="BI107">
        <f>VLOOKUP(all_cause_mort[[Country]:[Country]],'[1]Mortality Data'!$A$2:$W$201,12,FALSE)</f>
        <v>4.5667345999999996E-3</v>
      </c>
      <c r="BJ107">
        <f>VLOOKUP(all_cause_mort[[Country]:[Country]],'[1]Mortality Data'!$A$2:$W$201,13,FALSE)</f>
        <v>6.4528666999999996E-3</v>
      </c>
      <c r="BK107">
        <f>VLOOKUP(all_cause_mort[[Country]:[Country]],'[1]Mortality Data'!$A$2:$W$201,14,FALSE)</f>
        <v>9.2405486000000005E-3</v>
      </c>
      <c r="BL107">
        <f>VLOOKUP(all_cause_mort[[Country]:[Country]],'[1]Mortality Data'!$A$2:$W$201,15,FALSE)</f>
        <v>1.3440168000000001E-2</v>
      </c>
      <c r="BM107">
        <f>VLOOKUP(all_cause_mort[[Country]:[Country]],'[1]Mortality Data'!$A$2:$W$201,16,FALSE)</f>
        <v>1.9926938000000002E-2</v>
      </c>
      <c r="BN107">
        <f>VLOOKUP(all_cause_mort[[Country]:[Country]],'[1]Mortality Data'!$A$2:$W$201,17,FALSE)</f>
        <v>2.9473168000000001E-2</v>
      </c>
      <c r="BO107">
        <f>VLOOKUP(all_cause_mort[[Country]:[Country]],'[1]Mortality Data'!$A$2:$W$201,18,FALSE)</f>
        <v>4.4702077999999999E-2</v>
      </c>
      <c r="BP107">
        <f>VLOOKUP(all_cause_mort[[Country]:[Country]],'[1]Mortality Data'!$A$2:$W$201,19,FALSE)</f>
        <v>7.8409147999999998E-2</v>
      </c>
      <c r="BQ107">
        <f>VLOOKUP(all_cause_mort[[Country]:[Country]],'[1]Mortality Data'!$A$2:$W$201,20,FALSE)</f>
        <v>0.12177716</v>
      </c>
      <c r="BR107">
        <f>VLOOKUP(all_cause_mort[[Country]:[Country]],'[1]Mortality Data'!$A$2:$W$201,21,FALSE)</f>
        <v>0.18044484</v>
      </c>
      <c r="BS107">
        <f>VLOOKUP(all_cause_mort[[Country]:[Country]],'[1]Mortality Data'!$A$2:$W$201,22,FALSE)</f>
        <v>0.24915957999999999</v>
      </c>
      <c r="BT107">
        <f>VLOOKUP(all_cause_mort[[Country]:[Country]],'[1]Mortality Data'!$A$2:$W$201,23,FALSE)</f>
        <v>0.35221857726870798</v>
      </c>
      <c r="BU107" s="39" t="e">
        <f>VLOOKUP(all_cause_mort[[#This Row],[Country]],[2]!regions[#Data],3,FALSE)</f>
        <v>#REF!</v>
      </c>
    </row>
    <row r="108" spans="1:73" x14ac:dyDescent="0.35">
      <c r="A108" t="s">
        <v>321</v>
      </c>
      <c r="B108">
        <v>80072</v>
      </c>
      <c r="C108">
        <v>80759</v>
      </c>
      <c r="D108">
        <v>81406</v>
      </c>
      <c r="E108">
        <v>82013</v>
      </c>
      <c r="F108">
        <v>82590</v>
      </c>
      <c r="G108">
        <v>83167</v>
      </c>
      <c r="H108">
        <v>83737</v>
      </c>
      <c r="I108">
        <v>84287</v>
      </c>
      <c r="K108" t="s">
        <v>321</v>
      </c>
      <c r="M108">
        <f>birthrate[[#This Row],[2016]]/1000</f>
        <v>0</v>
      </c>
      <c r="O108" t="s">
        <v>152</v>
      </c>
      <c r="P108">
        <v>96.6</v>
      </c>
      <c r="Q108">
        <f>facility[[#This Row],[Facility (%)]]/100</f>
        <v>0.96599999999999997</v>
      </c>
      <c r="S108" t="s">
        <v>141</v>
      </c>
      <c r="T108">
        <v>2009</v>
      </c>
      <c r="U108">
        <v>99.99</v>
      </c>
      <c r="V108">
        <f>SBA[[#This Row],[SBA (%)]]/100</f>
        <v>0.9998999999999999</v>
      </c>
      <c r="X108" s="10" t="s">
        <v>162</v>
      </c>
      <c r="Y108" s="10" t="s">
        <v>256</v>
      </c>
      <c r="Z108" s="21">
        <v>6.6000000000000003E-2</v>
      </c>
      <c r="AA108" s="21">
        <v>0.06</v>
      </c>
      <c r="AB108" s="21">
        <v>7.6999999999999999E-2</v>
      </c>
      <c r="AC108">
        <v>8251162</v>
      </c>
      <c r="AD108" s="27">
        <v>5.6122448979591816E-3</v>
      </c>
      <c r="AF108" s="24" t="s">
        <v>136</v>
      </c>
      <c r="AG108" s="24" t="s">
        <v>253</v>
      </c>
      <c r="AH108" s="24"/>
      <c r="AI108" s="25">
        <f>IF(birthdose[[#This Row],[2017]]/100=0, ,birthdose[[#This Row],[2017]]/100)</f>
        <v>0</v>
      </c>
      <c r="AK108" s="24" t="s">
        <v>136</v>
      </c>
      <c r="AL108" s="24" t="s">
        <v>254</v>
      </c>
      <c r="AM108" s="24">
        <v>88</v>
      </c>
      <c r="AN108" s="25">
        <f>IF(fullvax[[#This Row],[2017]]/100=0, ,fullvax[[#This Row],[2017]]/100)</f>
        <v>0.88</v>
      </c>
      <c r="AV108" s="12" t="s">
        <v>154</v>
      </c>
      <c r="AW108" s="14" t="s">
        <v>15</v>
      </c>
      <c r="AX108" s="41">
        <f>VLOOKUP(all_cause_mort[[#This Row],[Country]],[1]!populations[#Data],9,FALSE)*VLOOKUP(all_cause_mort[[#This Row],[Country]],[1]!birthrate[#Data],3,FALSE)</f>
        <v>1033833.6233280001</v>
      </c>
      <c r="AY108">
        <f>VLOOKUP(all_cause_mort[[Country]:[Country]],'[1]Mortality Data'!$A$2:$W$201,2,FALSE)</f>
        <v>4.8142409999999997E-2</v>
      </c>
      <c r="AZ108">
        <f>VLOOKUP(all_cause_mort[[Country]:[Country]],'[1]Mortality Data'!$A$2:$W$201,3,FALSE)</f>
        <v>1.0311216999999999E-2</v>
      </c>
      <c r="BA108">
        <f>VLOOKUP(all_cause_mort[[Country]:[Country]],'[1]Mortality Data'!$A$2:$W$201,4,FALSE)</f>
        <v>2.2365847E-3</v>
      </c>
      <c r="BB108">
        <f>VLOOKUP(all_cause_mort[[Country]:[Country]],'[1]Mortality Data'!$A$2:$W$201,5,FALSE)</f>
        <v>1.3354136999999999E-3</v>
      </c>
      <c r="BC108">
        <f>VLOOKUP(all_cause_mort[[Country]:[Country]],'[1]Mortality Data'!$A$2:$W$201,6,FALSE)</f>
        <v>2.2307064E-3</v>
      </c>
      <c r="BD108">
        <f>VLOOKUP(all_cause_mort[[Country]:[Country]],'[1]Mortality Data'!$A$2:$W$201,7,FALSE)</f>
        <v>2.9209370000000002E-3</v>
      </c>
      <c r="BE108">
        <f>VLOOKUP(all_cause_mort[[Country]:[Country]],'[1]Mortality Data'!$A$2:$W$201,8,FALSE)</f>
        <v>3.6701931E-3</v>
      </c>
      <c r="BF108">
        <f>VLOOKUP(all_cause_mort[[Country]:[Country]],'[1]Mortality Data'!$A$2:$W$201,9,FALSE)</f>
        <v>3.9286212999999999E-3</v>
      </c>
      <c r="BG108">
        <f>VLOOKUP(all_cause_mort[[Country]:[Country]],'[1]Mortality Data'!$A$2:$W$201,10,FALSE)</f>
        <v>4.5225298999999998E-3</v>
      </c>
      <c r="BH108">
        <f>VLOOKUP(all_cause_mort[[Country]:[Country]],'[1]Mortality Data'!$A$2:$W$201,11,FALSE)</f>
        <v>5.4843788000000001E-3</v>
      </c>
      <c r="BI108">
        <f>VLOOKUP(all_cause_mort[[Country]:[Country]],'[1]Mortality Data'!$A$2:$W$201,12,FALSE)</f>
        <v>7.0803526999999996E-3</v>
      </c>
      <c r="BJ108">
        <f>VLOOKUP(all_cause_mort[[Country]:[Country]],'[1]Mortality Data'!$A$2:$W$201,13,FALSE)</f>
        <v>1.0302041E-2</v>
      </c>
      <c r="BK108">
        <f>VLOOKUP(all_cause_mort[[Country]:[Country]],'[1]Mortality Data'!$A$2:$W$201,14,FALSE)</f>
        <v>1.4996595999999999E-2</v>
      </c>
      <c r="BL108">
        <f>VLOOKUP(all_cause_mort[[Country]:[Country]],'[1]Mortality Data'!$A$2:$W$201,15,FALSE)</f>
        <v>2.1574461E-2</v>
      </c>
      <c r="BM108">
        <f>VLOOKUP(all_cause_mort[[Country]:[Country]],'[1]Mortality Data'!$A$2:$W$201,16,FALSE)</f>
        <v>3.3495599000000001E-2</v>
      </c>
      <c r="BN108">
        <f>VLOOKUP(all_cause_mort[[Country]:[Country]],'[1]Mortality Data'!$A$2:$W$201,17,FALSE)</f>
        <v>5.7432080000000003E-2</v>
      </c>
      <c r="BO108">
        <f>VLOOKUP(all_cause_mort[[Country]:[Country]],'[1]Mortality Data'!$A$2:$W$201,18,FALSE)</f>
        <v>9.8878618000000001E-2</v>
      </c>
      <c r="BP108">
        <f>VLOOKUP(all_cause_mort[[Country]:[Country]],'[1]Mortality Data'!$A$2:$W$201,19,FALSE)</f>
        <v>0.1677091</v>
      </c>
      <c r="BQ108">
        <f>VLOOKUP(all_cause_mort[[Country]:[Country]],'[1]Mortality Data'!$A$2:$W$201,20,FALSE)</f>
        <v>0.26746328000000003</v>
      </c>
      <c r="BR108">
        <f>VLOOKUP(all_cause_mort[[Country]:[Country]],'[1]Mortality Data'!$A$2:$W$201,21,FALSE)</f>
        <v>0.39706806</v>
      </c>
      <c r="BS108">
        <f>VLOOKUP(all_cause_mort[[Country]:[Country]],'[1]Mortality Data'!$A$2:$W$201,22,FALSE)</f>
        <v>0.51937774000000003</v>
      </c>
      <c r="BT108">
        <f>VLOOKUP(all_cause_mort[[Country]:[Country]],'[1]Mortality Data'!$A$2:$W$201,23,FALSE)</f>
        <v>0.69961391106703896</v>
      </c>
      <c r="BU108" s="39" t="e">
        <f>VLOOKUP(all_cause_mort[[#This Row],[Country]],[2]!regions[#Data],3,FALSE)</f>
        <v>#REF!</v>
      </c>
    </row>
    <row r="109" spans="1:73" x14ac:dyDescent="0.35">
      <c r="A109" t="s">
        <v>107</v>
      </c>
      <c r="B109">
        <v>1230980691</v>
      </c>
      <c r="C109">
        <v>1247236029</v>
      </c>
      <c r="D109">
        <v>1263065852</v>
      </c>
      <c r="E109">
        <v>1278562207</v>
      </c>
      <c r="F109">
        <v>1293859294</v>
      </c>
      <c r="G109">
        <v>1309053980</v>
      </c>
      <c r="H109">
        <v>1324171354</v>
      </c>
      <c r="I109">
        <v>1339180127</v>
      </c>
      <c r="K109" t="s">
        <v>107</v>
      </c>
      <c r="L109">
        <v>19.013000000000002</v>
      </c>
      <c r="M109">
        <f>birthrate[[#This Row],[2016]]/1000</f>
        <v>1.9013000000000002E-2</v>
      </c>
      <c r="O109" t="s">
        <v>153</v>
      </c>
      <c r="P109">
        <v>71</v>
      </c>
      <c r="Q109">
        <f>facility[[#This Row],[Facility (%)]]/100</f>
        <v>0.71</v>
      </c>
      <c r="S109" t="s">
        <v>143</v>
      </c>
      <c r="T109" t="s">
        <v>322</v>
      </c>
      <c r="U109">
        <v>98.9</v>
      </c>
      <c r="V109">
        <f>SBA[[#This Row],[SBA (%)]]/100</f>
        <v>0.9890000000000001</v>
      </c>
      <c r="X109" s="13" t="s">
        <v>164</v>
      </c>
      <c r="Y109" s="13" t="s">
        <v>256</v>
      </c>
      <c r="Z109" s="26">
        <v>3.0000000000000001E-3</v>
      </c>
      <c r="AA109" s="26">
        <v>3.0000000000000001E-3</v>
      </c>
      <c r="AB109" s="26">
        <v>4.0000000000000001E-3</v>
      </c>
      <c r="AC109">
        <v>32165485</v>
      </c>
      <c r="AD109" s="27">
        <v>5.1020408163265311E-4</v>
      </c>
      <c r="AF109" s="29" t="s">
        <v>137</v>
      </c>
      <c r="AG109" s="24" t="s">
        <v>253</v>
      </c>
      <c r="AH109" s="24">
        <v>97</v>
      </c>
      <c r="AI109" s="25">
        <f>IF(birthdose[[#This Row],[2017]]/100=0, ,birthdose[[#This Row],[2017]]/100)</f>
        <v>0.97</v>
      </c>
      <c r="AK109" s="29" t="s">
        <v>137</v>
      </c>
      <c r="AL109" s="24" t="s">
        <v>254</v>
      </c>
      <c r="AM109" s="24">
        <v>82</v>
      </c>
      <c r="AN109" s="25">
        <f>IF(fullvax[[#This Row],[2017]]/100=0, ,fullvax[[#This Row],[2017]]/100)</f>
        <v>0.82</v>
      </c>
      <c r="AV109" s="8" t="s">
        <v>155</v>
      </c>
      <c r="AW109" s="11" t="s">
        <v>15</v>
      </c>
      <c r="AX109" s="41">
        <f>VLOOKUP(all_cause_mort[[#This Row],[Country]],[1]!populations[#Data],9,FALSE)*VLOOKUP(all_cause_mort[[#This Row],[Country]],[1]!birthrate[#Data],3,FALSE)</f>
        <v>7422995.9758569999</v>
      </c>
      <c r="AY109">
        <f>VLOOKUP(all_cause_mort[[Country]:[Country]],'[1]Mortality Data'!$A$2:$W$201,2,FALSE)</f>
        <v>6.5294819000000004E-2</v>
      </c>
      <c r="AZ109">
        <f>VLOOKUP(all_cause_mort[[Country]:[Country]],'[1]Mortality Data'!$A$2:$W$201,3,FALSE)</f>
        <v>1.0848392E-2</v>
      </c>
      <c r="BA109">
        <f>VLOOKUP(all_cause_mort[[Country]:[Country]],'[1]Mortality Data'!$A$2:$W$201,4,FALSE)</f>
        <v>5.9987900000000004E-3</v>
      </c>
      <c r="BB109">
        <f>VLOOKUP(all_cause_mort[[Country]:[Country]],'[1]Mortality Data'!$A$2:$W$201,5,FALSE)</f>
        <v>3.2423768999999998E-3</v>
      </c>
      <c r="BC109">
        <f>VLOOKUP(all_cause_mort[[Country]:[Country]],'[1]Mortality Data'!$A$2:$W$201,6,FALSE)</f>
        <v>5.1242719000000004E-3</v>
      </c>
      <c r="BD109">
        <f>VLOOKUP(all_cause_mort[[Country]:[Country]],'[1]Mortality Data'!$A$2:$W$201,7,FALSE)</f>
        <v>6.1989758999999997E-3</v>
      </c>
      <c r="BE109">
        <f>VLOOKUP(all_cause_mort[[Country]:[Country]],'[1]Mortality Data'!$A$2:$W$201,8,FALSE)</f>
        <v>6.8285647999999999E-3</v>
      </c>
      <c r="BF109">
        <f>VLOOKUP(all_cause_mort[[Country]:[Country]],'[1]Mortality Data'!$A$2:$W$201,9,FALSE)</f>
        <v>7.1595560000000001E-3</v>
      </c>
      <c r="BG109">
        <f>VLOOKUP(all_cause_mort[[Country]:[Country]],'[1]Mortality Data'!$A$2:$W$201,10,FALSE)</f>
        <v>7.8513038000000007E-3</v>
      </c>
      <c r="BH109">
        <f>VLOOKUP(all_cause_mort[[Country]:[Country]],'[1]Mortality Data'!$A$2:$W$201,11,FALSE)</f>
        <v>8.9428237999999993E-3</v>
      </c>
      <c r="BI109">
        <f>VLOOKUP(all_cause_mort[[Country]:[Country]],'[1]Mortality Data'!$A$2:$W$201,12,FALSE)</f>
        <v>1.0388102E-2</v>
      </c>
      <c r="BJ109">
        <f>VLOOKUP(all_cause_mort[[Country]:[Country]],'[1]Mortality Data'!$A$2:$W$201,13,FALSE)</f>
        <v>1.3824947000000001E-2</v>
      </c>
      <c r="BK109">
        <f>VLOOKUP(all_cause_mort[[Country]:[Country]],'[1]Mortality Data'!$A$2:$W$201,14,FALSE)</f>
        <v>1.9146876E-2</v>
      </c>
      <c r="BL109">
        <f>VLOOKUP(all_cause_mort[[Country]:[Country]],'[1]Mortality Data'!$A$2:$W$201,15,FALSE)</f>
        <v>3.0204992E-2</v>
      </c>
      <c r="BM109">
        <f>VLOOKUP(all_cause_mort[[Country]:[Country]],'[1]Mortality Data'!$A$2:$W$201,16,FALSE)</f>
        <v>4.7216862999999998E-2</v>
      </c>
      <c r="BN109">
        <f>VLOOKUP(all_cause_mort[[Country]:[Country]],'[1]Mortality Data'!$A$2:$W$201,17,FALSE)</f>
        <v>7.8340722000000002E-2</v>
      </c>
      <c r="BO109">
        <f>VLOOKUP(all_cause_mort[[Country]:[Country]],'[1]Mortality Data'!$A$2:$W$201,18,FALSE)</f>
        <v>0.12895117</v>
      </c>
      <c r="BP109">
        <f>VLOOKUP(all_cause_mort[[Country]:[Country]],'[1]Mortality Data'!$A$2:$W$201,19,FALSE)</f>
        <v>0.20864909000000001</v>
      </c>
      <c r="BQ109">
        <f>VLOOKUP(all_cause_mort[[Country]:[Country]],'[1]Mortality Data'!$A$2:$W$201,20,FALSE)</f>
        <v>0.31698614000000003</v>
      </c>
      <c r="BR109">
        <f>VLOOKUP(all_cause_mort[[Country]:[Country]],'[1]Mortality Data'!$A$2:$W$201,21,FALSE)</f>
        <v>0.45581286999999998</v>
      </c>
      <c r="BS109">
        <f>VLOOKUP(all_cause_mort[[Country]:[Country]],'[1]Mortality Data'!$A$2:$W$201,22,FALSE)</f>
        <v>0.55065103999999998</v>
      </c>
      <c r="BT109">
        <f>VLOOKUP(all_cause_mort[[Country]:[Country]],'[1]Mortality Data'!$A$2:$W$201,23,FALSE)</f>
        <v>0.66444043683503595</v>
      </c>
      <c r="BU109" s="39" t="e">
        <f>VLOOKUP(all_cause_mort[[#This Row],[Country]],[2]!regions[#Data],3,FALSE)</f>
        <v>#REF!</v>
      </c>
    </row>
    <row r="110" spans="1:73" x14ac:dyDescent="0.35">
      <c r="A110" t="s">
        <v>323</v>
      </c>
      <c r="K110" t="s">
        <v>323</v>
      </c>
      <c r="M110">
        <f>birthrate[[#This Row],[2016]]/1000</f>
        <v>0</v>
      </c>
      <c r="O110" t="s">
        <v>154</v>
      </c>
      <c r="P110">
        <v>58.8</v>
      </c>
      <c r="Q110">
        <f>facility[[#This Row],[Facility (%)]]/100</f>
        <v>0.58799999999999997</v>
      </c>
      <c r="S110" t="s">
        <v>144</v>
      </c>
      <c r="T110" t="s">
        <v>322</v>
      </c>
      <c r="U110">
        <v>99</v>
      </c>
      <c r="V110">
        <f>SBA[[#This Row],[SBA (%)]]/100</f>
        <v>0.99</v>
      </c>
      <c r="X110" s="13" t="s">
        <v>165</v>
      </c>
      <c r="Y110" s="10" t="s">
        <v>256</v>
      </c>
      <c r="Z110" s="21">
        <v>9.8000000000000004E-2</v>
      </c>
      <c r="AA110" s="21">
        <v>8.7999999999999995E-2</v>
      </c>
      <c r="AB110" s="21">
        <v>0.109</v>
      </c>
      <c r="AC110">
        <v>104918090</v>
      </c>
      <c r="AD110" s="27">
        <v>5.6122448979591816E-3</v>
      </c>
      <c r="AF110" s="24" t="s">
        <v>138</v>
      </c>
      <c r="AG110" s="24" t="s">
        <v>253</v>
      </c>
      <c r="AH110" s="24">
        <v>58</v>
      </c>
      <c r="AI110" s="25">
        <f>IF(birthdose[[#This Row],[2017]]/100=0, ,birthdose[[#This Row],[2017]]/100)</f>
        <v>0.57999999999999996</v>
      </c>
      <c r="AK110" s="24" t="s">
        <v>138</v>
      </c>
      <c r="AL110" s="24" t="s">
        <v>254</v>
      </c>
      <c r="AM110" s="24">
        <v>81</v>
      </c>
      <c r="AN110" s="25">
        <f>IF(fullvax[[#This Row],[2017]]/100=0, ,fullvax[[#This Row],[2017]]/100)</f>
        <v>0.81</v>
      </c>
      <c r="AV110" s="12" t="s">
        <v>156</v>
      </c>
      <c r="AW110" s="14" t="s">
        <v>58</v>
      </c>
      <c r="AX110" s="41">
        <f>VLOOKUP(all_cause_mort[[#This Row],[Country]],[1]!populations[#Data],9,FALSE)*VLOOKUP(all_cause_mort[[#This Row],[Country]],[1]!birthrate[#Data],3,FALSE)</f>
        <v>25.77168</v>
      </c>
      <c r="BU110" s="39" t="e">
        <f>VLOOKUP(all_cause_mort[[#This Row],[Country]],[2]!regions[#Data],3,FALSE)</f>
        <v>#REF!</v>
      </c>
    </row>
    <row r="111" spans="1:73" x14ac:dyDescent="0.35">
      <c r="A111" t="s">
        <v>112</v>
      </c>
      <c r="B111">
        <v>4560155</v>
      </c>
      <c r="C111">
        <v>4580084</v>
      </c>
      <c r="D111">
        <v>4599533</v>
      </c>
      <c r="E111">
        <v>4623816</v>
      </c>
      <c r="F111">
        <v>4657740</v>
      </c>
      <c r="G111">
        <v>4701957</v>
      </c>
      <c r="H111">
        <v>4755335</v>
      </c>
      <c r="I111">
        <v>4813608</v>
      </c>
      <c r="K111" t="s">
        <v>112</v>
      </c>
      <c r="L111">
        <v>13.5</v>
      </c>
      <c r="M111">
        <f>birthrate[[#This Row],[2016]]/1000</f>
        <v>1.35E-2</v>
      </c>
      <c r="O111" t="s">
        <v>155</v>
      </c>
      <c r="P111">
        <v>37.5</v>
      </c>
      <c r="Q111">
        <f>facility[[#This Row],[Facility (%)]]/100</f>
        <v>0.375</v>
      </c>
      <c r="S111" t="s">
        <v>145</v>
      </c>
      <c r="T111" t="s">
        <v>285</v>
      </c>
      <c r="U111">
        <v>73.599999999999994</v>
      </c>
      <c r="V111">
        <f>SBA[[#This Row],[SBA (%)]]/100</f>
        <v>0.73599999999999999</v>
      </c>
      <c r="X111" s="13" t="s">
        <v>166</v>
      </c>
      <c r="Y111" s="13" t="s">
        <v>256</v>
      </c>
      <c r="Z111" s="26">
        <v>8.9999999999999993E-3</v>
      </c>
      <c r="AA111" s="26">
        <v>7.0000000000000001E-3</v>
      </c>
      <c r="AB111" s="26">
        <v>1.0999999999999999E-2</v>
      </c>
      <c r="AC111">
        <v>37975841</v>
      </c>
      <c r="AD111" s="27">
        <v>1.0204081632653062E-3</v>
      </c>
      <c r="AF111" s="24" t="s">
        <v>139</v>
      </c>
      <c r="AG111" s="24" t="s">
        <v>253</v>
      </c>
      <c r="AH111" s="24"/>
      <c r="AI111" s="25">
        <f>IF(birthdose[[#This Row],[2017]]/100=0, ,birthdose[[#This Row],[2017]]/100)</f>
        <v>0</v>
      </c>
      <c r="AK111" s="24" t="s">
        <v>139</v>
      </c>
      <c r="AL111" s="24" t="s">
        <v>254</v>
      </c>
      <c r="AM111" s="24">
        <v>96</v>
      </c>
      <c r="AN111" s="25">
        <f>IF(fullvax[[#This Row],[2017]]/100=0, ,fullvax[[#This Row],[2017]]/100)</f>
        <v>0.96</v>
      </c>
      <c r="AV111" s="12" t="s">
        <v>158</v>
      </c>
      <c r="AW111" s="14" t="s">
        <v>7</v>
      </c>
      <c r="AX111" s="41">
        <f>VLOOKUP(all_cause_mort[[#This Row],[Country]],[1]!populations[#Data],9,FALSE)*VLOOKUP(all_cause_mort[[#This Row],[Country]],[1]!birthrate[#Data],3,FALSE)</f>
        <v>86846.459783999991</v>
      </c>
      <c r="AY111">
        <f>VLOOKUP(all_cause_mort[[Country]:[Country]],'[1]Mortality Data'!$A$2:$W$201,2,FALSE)</f>
        <v>7.3269965999999999E-3</v>
      </c>
      <c r="AZ111">
        <f>VLOOKUP(all_cause_mort[[Country]:[Country]],'[1]Mortality Data'!$A$2:$W$201,3,FALSE)</f>
        <v>2.8333212999999999E-4</v>
      </c>
      <c r="BA111">
        <f>VLOOKUP(all_cause_mort[[Country]:[Country]],'[1]Mortality Data'!$A$2:$W$201,4,FALSE)</f>
        <v>2.1572192E-4</v>
      </c>
      <c r="BB111">
        <f>VLOOKUP(all_cause_mort[[Country]:[Country]],'[1]Mortality Data'!$A$2:$W$201,5,FALSE)</f>
        <v>2.3969654999999999E-4</v>
      </c>
      <c r="BC111">
        <f>VLOOKUP(all_cause_mort[[Country]:[Country]],'[1]Mortality Data'!$A$2:$W$201,6,FALSE)</f>
        <v>4.7763377E-4</v>
      </c>
      <c r="BD111">
        <f>VLOOKUP(all_cause_mort[[Country]:[Country]],'[1]Mortality Data'!$A$2:$W$201,7,FALSE)</f>
        <v>7.6316388000000003E-4</v>
      </c>
      <c r="BE111">
        <f>VLOOKUP(all_cause_mort[[Country]:[Country]],'[1]Mortality Data'!$A$2:$W$201,8,FALSE)</f>
        <v>8.0965848000000003E-4</v>
      </c>
      <c r="BF111">
        <f>VLOOKUP(all_cause_mort[[Country]:[Country]],'[1]Mortality Data'!$A$2:$W$201,9,FALSE)</f>
        <v>8.5966996000000004E-4</v>
      </c>
      <c r="BG111">
        <f>VLOOKUP(all_cause_mort[[Country]:[Country]],'[1]Mortality Data'!$A$2:$W$201,10,FALSE)</f>
        <v>9.5732987999999999E-4</v>
      </c>
      <c r="BH111">
        <f>VLOOKUP(all_cause_mort[[Country]:[Country]],'[1]Mortality Data'!$A$2:$W$201,11,FALSE)</f>
        <v>1.4366042E-3</v>
      </c>
      <c r="BI111">
        <f>VLOOKUP(all_cause_mort[[Country]:[Country]],'[1]Mortality Data'!$A$2:$W$201,12,FALSE)</f>
        <v>2.3609529999999998E-3</v>
      </c>
      <c r="BJ111">
        <f>VLOOKUP(all_cause_mort[[Country]:[Country]],'[1]Mortality Data'!$A$2:$W$201,13,FALSE)</f>
        <v>4.1048018000000002E-3</v>
      </c>
      <c r="BK111">
        <f>VLOOKUP(all_cause_mort[[Country]:[Country]],'[1]Mortality Data'!$A$2:$W$201,14,FALSE)</f>
        <v>7.3508634999999998E-3</v>
      </c>
      <c r="BL111">
        <f>VLOOKUP(all_cause_mort[[Country]:[Country]],'[1]Mortality Data'!$A$2:$W$201,15,FALSE)</f>
        <v>1.1928869999999999E-2</v>
      </c>
      <c r="BM111">
        <f>VLOOKUP(all_cause_mort[[Country]:[Country]],'[1]Mortality Data'!$A$2:$W$201,16,FALSE)</f>
        <v>2.4168321E-2</v>
      </c>
      <c r="BN111">
        <f>VLOOKUP(all_cause_mort[[Country]:[Country]],'[1]Mortality Data'!$A$2:$W$201,17,FALSE)</f>
        <v>2.9659853999999999E-2</v>
      </c>
      <c r="BO111">
        <f>VLOOKUP(all_cause_mort[[Country]:[Country]],'[1]Mortality Data'!$A$2:$W$201,18,FALSE)</f>
        <v>5.2475174999999999E-2</v>
      </c>
      <c r="BP111">
        <f>VLOOKUP(all_cause_mort[[Country]:[Country]],'[1]Mortality Data'!$A$2:$W$201,19,FALSE)</f>
        <v>7.9152258000000003E-2</v>
      </c>
      <c r="BQ111">
        <f>VLOOKUP(all_cause_mort[[Country]:[Country]],'[1]Mortality Data'!$A$2:$W$201,20,FALSE)</f>
        <v>0.11085808</v>
      </c>
      <c r="BR111">
        <f>VLOOKUP(all_cause_mort[[Country]:[Country]],'[1]Mortality Data'!$A$2:$W$201,21,FALSE)</f>
        <v>0.14624925999999999</v>
      </c>
      <c r="BS111">
        <f>VLOOKUP(all_cause_mort[[Country]:[Country]],'[1]Mortality Data'!$A$2:$W$201,22,FALSE)</f>
        <v>0.19097700000000001</v>
      </c>
      <c r="BT111">
        <f>VLOOKUP(all_cause_mort[[Country]:[Country]],'[1]Mortality Data'!$A$2:$W$201,23,FALSE)</f>
        <v>0.25874695370742701</v>
      </c>
      <c r="BU111" s="39" t="e">
        <f>VLOOKUP(all_cause_mort[[#This Row],[Country]],[2]!regions[#Data],3,FALSE)</f>
        <v>#REF!</v>
      </c>
    </row>
    <row r="112" spans="1:73" x14ac:dyDescent="0.35">
      <c r="A112" s="12" t="s">
        <v>110</v>
      </c>
      <c r="B112">
        <v>74567511</v>
      </c>
      <c r="C112">
        <v>75491582</v>
      </c>
      <c r="D112">
        <v>76453574</v>
      </c>
      <c r="E112">
        <v>77435384</v>
      </c>
      <c r="F112">
        <v>78411092</v>
      </c>
      <c r="G112">
        <v>79360487</v>
      </c>
      <c r="H112">
        <v>80277428</v>
      </c>
      <c r="I112">
        <v>81162788</v>
      </c>
      <c r="K112" s="12" t="s">
        <v>110</v>
      </c>
      <c r="L112">
        <v>16.544</v>
      </c>
      <c r="M112">
        <f>birthrate[[#This Row],[2016]]/1000</f>
        <v>1.6544E-2</v>
      </c>
      <c r="O112" t="s">
        <v>157</v>
      </c>
      <c r="P112">
        <v>96.6</v>
      </c>
      <c r="Q112">
        <f>facility[[#This Row],[Facility (%)]]/100</f>
        <v>0.96599999999999997</v>
      </c>
      <c r="S112" t="s">
        <v>146</v>
      </c>
      <c r="T112" t="s">
        <v>285</v>
      </c>
      <c r="U112">
        <v>54.3</v>
      </c>
      <c r="V112">
        <f>SBA[[#This Row],[SBA (%)]]/100</f>
        <v>0.54299999999999993</v>
      </c>
      <c r="X112" s="10" t="s">
        <v>167</v>
      </c>
      <c r="Y112" s="10" t="s">
        <v>256</v>
      </c>
      <c r="Z112" s="21">
        <v>1.2E-2</v>
      </c>
      <c r="AA112" s="21">
        <v>8.9999999999999993E-3</v>
      </c>
      <c r="AB112" s="21">
        <v>1.4999999999999999E-2</v>
      </c>
      <c r="AC112">
        <v>10293718</v>
      </c>
      <c r="AD112" s="27">
        <v>1.5306122448979589E-3</v>
      </c>
      <c r="AF112" s="24" t="s">
        <v>140</v>
      </c>
      <c r="AG112" s="24" t="s">
        <v>253</v>
      </c>
      <c r="AH112" s="24">
        <v>98</v>
      </c>
      <c r="AI112" s="25">
        <f>IF(birthdose[[#This Row],[2017]]/100=0, ,birthdose[[#This Row],[2017]]/100)</f>
        <v>0.98</v>
      </c>
      <c r="AK112" s="24" t="s">
        <v>140</v>
      </c>
      <c r="AL112" s="24" t="s">
        <v>254</v>
      </c>
      <c r="AM112" s="24">
        <v>93</v>
      </c>
      <c r="AN112" s="25">
        <f>IF(fullvax[[#This Row],[2017]]/100=0, ,fullvax[[#This Row],[2017]]/100)</f>
        <v>0.93</v>
      </c>
      <c r="AV112" s="8" t="s">
        <v>159</v>
      </c>
      <c r="AW112" s="11" t="s">
        <v>7</v>
      </c>
      <c r="AX112" s="41">
        <f>VLOOKUP(all_cause_mort[[#This Row],[Country]],[1]!populations[#Data],9,FALSE)*VLOOKUP(all_cause_mort[[#This Row],[Country]],[1]!birthrate[#Data],3,FALSE)</f>
        <v>5562351.4575150004</v>
      </c>
      <c r="AY112">
        <f>VLOOKUP(all_cause_mort[[Country]:[Country]],'[1]Mortality Data'!$A$2:$W$201,2,FALSE)</f>
        <v>6.4391113E-2</v>
      </c>
      <c r="AZ112">
        <f>VLOOKUP(all_cause_mort[[Country]:[Country]],'[1]Mortality Data'!$A$2:$W$201,3,FALSE)</f>
        <v>3.6466287000000001E-3</v>
      </c>
      <c r="BA112">
        <f>VLOOKUP(all_cause_mort[[Country]:[Country]],'[1]Mortality Data'!$A$2:$W$201,4,FALSE)</f>
        <v>1.0647982999999999E-3</v>
      </c>
      <c r="BB112">
        <f>VLOOKUP(all_cause_mort[[Country]:[Country]],'[1]Mortality Data'!$A$2:$W$201,5,FALSE)</f>
        <v>6.8539918999999995E-4</v>
      </c>
      <c r="BC112">
        <f>VLOOKUP(all_cause_mort[[Country]:[Country]],'[1]Mortality Data'!$A$2:$W$201,6,FALSE)</f>
        <v>9.0329755000000003E-4</v>
      </c>
      <c r="BD112">
        <f>VLOOKUP(all_cause_mort[[Country]:[Country]],'[1]Mortality Data'!$A$2:$W$201,7,FALSE)</f>
        <v>1.2112449999999999E-3</v>
      </c>
      <c r="BE112">
        <f>VLOOKUP(all_cause_mort[[Country]:[Country]],'[1]Mortality Data'!$A$2:$W$201,8,FALSE)</f>
        <v>1.3521341999999999E-3</v>
      </c>
      <c r="BF112">
        <f>VLOOKUP(all_cause_mort[[Country]:[Country]],'[1]Mortality Data'!$A$2:$W$201,9,FALSE)</f>
        <v>1.7005716000000001E-3</v>
      </c>
      <c r="BG112">
        <f>VLOOKUP(all_cause_mort[[Country]:[Country]],'[1]Mortality Data'!$A$2:$W$201,10,FALSE)</f>
        <v>2.2712367000000001E-3</v>
      </c>
      <c r="BH112">
        <f>VLOOKUP(all_cause_mort[[Country]:[Country]],'[1]Mortality Data'!$A$2:$W$201,11,FALSE)</f>
        <v>3.2081938000000001E-3</v>
      </c>
      <c r="BI112">
        <f>VLOOKUP(all_cause_mort[[Country]:[Country]],'[1]Mortality Data'!$A$2:$W$201,12,FALSE)</f>
        <v>4.7470332000000004E-3</v>
      </c>
      <c r="BJ112">
        <f>VLOOKUP(all_cause_mort[[Country]:[Country]],'[1]Mortality Data'!$A$2:$W$201,13,FALSE)</f>
        <v>7.2764717000000003E-3</v>
      </c>
      <c r="BK112">
        <f>VLOOKUP(all_cause_mort[[Country]:[Country]],'[1]Mortality Data'!$A$2:$W$201,14,FALSE)</f>
        <v>1.1376625E-2</v>
      </c>
      <c r="BL112">
        <f>VLOOKUP(all_cause_mort[[Country]:[Country]],'[1]Mortality Data'!$A$2:$W$201,15,FALSE)</f>
        <v>1.8509729999999999E-2</v>
      </c>
      <c r="BM112">
        <f>VLOOKUP(all_cause_mort[[Country]:[Country]],'[1]Mortality Data'!$A$2:$W$201,16,FALSE)</f>
        <v>2.9574797999999999E-2</v>
      </c>
      <c r="BN112">
        <f>VLOOKUP(all_cause_mort[[Country]:[Country]],'[1]Mortality Data'!$A$2:$W$201,17,FALSE)</f>
        <v>4.6921771000000001E-2</v>
      </c>
      <c r="BO112">
        <f>VLOOKUP(all_cause_mort[[Country]:[Country]],'[1]Mortality Data'!$A$2:$W$201,18,FALSE)</f>
        <v>7.5738558999999997E-2</v>
      </c>
      <c r="BP112">
        <f>VLOOKUP(all_cause_mort[[Country]:[Country]],'[1]Mortality Data'!$A$2:$W$201,19,FALSE)</f>
        <v>0.12436061</v>
      </c>
      <c r="BQ112">
        <f>VLOOKUP(all_cause_mort[[Country]:[Country]],'[1]Mortality Data'!$A$2:$W$201,20,FALSE)</f>
        <v>0.20651971999999999</v>
      </c>
      <c r="BR112">
        <f>VLOOKUP(all_cause_mort[[Country]:[Country]],'[1]Mortality Data'!$A$2:$W$201,21,FALSE)</f>
        <v>0.32143327999999999</v>
      </c>
      <c r="BS112">
        <f>VLOOKUP(all_cause_mort[[Country]:[Country]],'[1]Mortality Data'!$A$2:$W$201,22,FALSE)</f>
        <v>0.45851394000000001</v>
      </c>
      <c r="BT112">
        <f>VLOOKUP(all_cause_mort[[Country]:[Country]],'[1]Mortality Data'!$A$2:$W$201,23,FALSE)</f>
        <v>0.55588596799842305</v>
      </c>
      <c r="BU112" s="39" t="e">
        <f>VLOOKUP(all_cause_mort[[#This Row],[Country]],[2]!regions[#Data],3,FALSE)</f>
        <v>#REF!</v>
      </c>
    </row>
    <row r="113" spans="1:73" x14ac:dyDescent="0.35">
      <c r="A113" t="s">
        <v>111</v>
      </c>
      <c r="B113">
        <v>30762701</v>
      </c>
      <c r="C113">
        <v>31727053</v>
      </c>
      <c r="D113">
        <v>32776571</v>
      </c>
      <c r="E113">
        <v>33883145</v>
      </c>
      <c r="F113">
        <v>35006080</v>
      </c>
      <c r="G113">
        <v>36115649</v>
      </c>
      <c r="H113">
        <v>37202572</v>
      </c>
      <c r="I113">
        <v>38274618</v>
      </c>
      <c r="K113" t="s">
        <v>111</v>
      </c>
      <c r="L113">
        <v>33.207000000000001</v>
      </c>
      <c r="M113">
        <f>birthrate[[#This Row],[2016]]/1000</f>
        <v>3.3207E-2</v>
      </c>
      <c r="O113" t="s">
        <v>158</v>
      </c>
      <c r="P113">
        <v>99.2</v>
      </c>
      <c r="Q113">
        <f>facility[[#This Row],[Facility (%)]]/100</f>
        <v>0.99199999999999999</v>
      </c>
      <c r="S113" t="s">
        <v>147</v>
      </c>
      <c r="T113" t="s">
        <v>260</v>
      </c>
      <c r="U113">
        <v>60.2</v>
      </c>
      <c r="V113">
        <f>SBA[[#This Row],[SBA (%)]]/100</f>
        <v>0.60199999999999998</v>
      </c>
      <c r="X113" s="13" t="s">
        <v>168</v>
      </c>
      <c r="Y113" s="13" t="s">
        <v>256</v>
      </c>
      <c r="Z113" s="26">
        <v>1.2E-2</v>
      </c>
      <c r="AA113" s="26">
        <v>1.0999999999999999E-2</v>
      </c>
      <c r="AB113" s="26">
        <v>1.4E-2</v>
      </c>
      <c r="AC113">
        <v>2639211</v>
      </c>
      <c r="AD113" s="27">
        <v>1.0204081632653062E-3</v>
      </c>
      <c r="AF113" s="24" t="s">
        <v>141</v>
      </c>
      <c r="AG113" s="24" t="s">
        <v>253</v>
      </c>
      <c r="AH113" s="24">
        <v>75</v>
      </c>
      <c r="AI113" s="25">
        <f>IF(birthdose[[#This Row],[2017]]/100=0, ,birthdose[[#This Row],[2017]]/100)</f>
        <v>0.75</v>
      </c>
      <c r="AK113" s="24" t="s">
        <v>141</v>
      </c>
      <c r="AL113" s="24" t="s">
        <v>254</v>
      </c>
      <c r="AM113" s="24">
        <v>80</v>
      </c>
      <c r="AN113" s="25">
        <f>IF(fullvax[[#This Row],[2017]]/100=0, ,fullvax[[#This Row],[2017]]/100)</f>
        <v>0.8</v>
      </c>
      <c r="AV113" s="12" t="s">
        <v>160</v>
      </c>
      <c r="AW113" s="14" t="s">
        <v>58</v>
      </c>
      <c r="AX113" s="41">
        <f>VLOOKUP(all_cause_mort[[#This Row],[Country]],[1]!populations[#Data],9,FALSE)*VLOOKUP(all_cause_mort[[#This Row],[Country]],[1]!birthrate[#Data],3,FALSE)</f>
        <v>260.74799999999999</v>
      </c>
      <c r="BU113" s="39" t="e">
        <f>VLOOKUP(all_cause_mort[[#This Row],[Country]],[2]!regions[#Data],3,FALSE)</f>
        <v>#REF!</v>
      </c>
    </row>
    <row r="114" spans="1:73" x14ac:dyDescent="0.35">
      <c r="A114" t="s">
        <v>106</v>
      </c>
      <c r="B114">
        <v>318041</v>
      </c>
      <c r="C114">
        <v>319014</v>
      </c>
      <c r="D114">
        <v>320716</v>
      </c>
      <c r="E114">
        <v>323764</v>
      </c>
      <c r="F114">
        <v>327386</v>
      </c>
      <c r="G114">
        <v>330815</v>
      </c>
      <c r="H114">
        <v>335439</v>
      </c>
      <c r="I114">
        <v>341284</v>
      </c>
      <c r="K114" t="s">
        <v>106</v>
      </c>
      <c r="L114">
        <v>12</v>
      </c>
      <c r="M114">
        <f>birthrate[[#This Row],[2016]]/1000</f>
        <v>1.2E-2</v>
      </c>
      <c r="O114" t="s">
        <v>159</v>
      </c>
      <c r="P114">
        <v>48.2</v>
      </c>
      <c r="Q114">
        <f>facility[[#This Row],[Facility (%)]]/100</f>
        <v>0.48200000000000004</v>
      </c>
      <c r="S114" t="s">
        <v>148</v>
      </c>
      <c r="T114" t="s">
        <v>293</v>
      </c>
      <c r="U114">
        <v>88.2</v>
      </c>
      <c r="V114">
        <f>SBA[[#This Row],[SBA (%)]]/100</f>
        <v>0.88200000000000001</v>
      </c>
      <c r="X114" s="10" t="s">
        <v>169</v>
      </c>
      <c r="Y114" s="10" t="s">
        <v>256</v>
      </c>
      <c r="Z114" s="21">
        <v>2.4E-2</v>
      </c>
      <c r="AA114" s="21">
        <v>2.3E-2</v>
      </c>
      <c r="AB114" s="21">
        <v>0.03</v>
      </c>
      <c r="AC114">
        <v>51466201</v>
      </c>
      <c r="AD114" s="27">
        <v>3.0612244897959178E-3</v>
      </c>
      <c r="AF114" s="24" t="s">
        <v>142</v>
      </c>
      <c r="AG114" s="24" t="s">
        <v>253</v>
      </c>
      <c r="AH114" s="24"/>
      <c r="AI114" s="25">
        <f>IF(birthdose[[#This Row],[2017]]/100=0, ,birthdose[[#This Row],[2017]]/100)</f>
        <v>0</v>
      </c>
      <c r="AK114" s="24" t="s">
        <v>142</v>
      </c>
      <c r="AL114" s="24" t="s">
        <v>254</v>
      </c>
      <c r="AM114" s="24">
        <v>99</v>
      </c>
      <c r="AN114" s="25">
        <f>IF(fullvax[[#This Row],[2017]]/100=0, ,fullvax[[#This Row],[2017]]/100)</f>
        <v>0.99</v>
      </c>
      <c r="AV114" s="8" t="s">
        <v>161</v>
      </c>
      <c r="AW114" s="11" t="s">
        <v>23</v>
      </c>
      <c r="AX114" s="41">
        <f>VLOOKUP(all_cause_mort[[#This Row],[Country]],[1]!populations[#Data],9,FALSE)*VLOOKUP(all_cause_mort[[#This Row],[Country]],[1]!birthrate[#Data],3,FALSE)</f>
        <v>80057.699871000004</v>
      </c>
      <c r="AY114">
        <f>VLOOKUP(all_cause_mort[[Country]:[Country]],'[1]Mortality Data'!$A$2:$W$201,2,FALSE)</f>
        <v>1.4316863000000001E-2</v>
      </c>
      <c r="AZ114">
        <f>VLOOKUP(all_cause_mort[[Country]:[Country]],'[1]Mortality Data'!$A$2:$W$201,3,FALSE)</f>
        <v>1.1168910000000001E-3</v>
      </c>
      <c r="BA114">
        <f>VLOOKUP(all_cause_mort[[Country]:[Country]],'[1]Mortality Data'!$A$2:$W$201,4,FALSE)</f>
        <v>3.0663007E-4</v>
      </c>
      <c r="BB114">
        <f>VLOOKUP(all_cause_mort[[Country]:[Country]],'[1]Mortality Data'!$A$2:$W$201,5,FALSE)</f>
        <v>3.8203605E-4</v>
      </c>
      <c r="BC114">
        <f>VLOOKUP(all_cause_mort[[Country]:[Country]],'[1]Mortality Data'!$A$2:$W$201,6,FALSE)</f>
        <v>9.7342136999999996E-4</v>
      </c>
      <c r="BD114">
        <f>VLOOKUP(all_cause_mort[[Country]:[Country]],'[1]Mortality Data'!$A$2:$W$201,7,FALSE)</f>
        <v>1.6672996999999999E-3</v>
      </c>
      <c r="BE114">
        <f>VLOOKUP(all_cause_mort[[Country]:[Country]],'[1]Mortality Data'!$A$2:$W$201,8,FALSE)</f>
        <v>1.8989256999999999E-3</v>
      </c>
      <c r="BF114">
        <f>VLOOKUP(all_cause_mort[[Country]:[Country]],'[1]Mortality Data'!$A$2:$W$201,9,FALSE)</f>
        <v>1.8455957E-3</v>
      </c>
      <c r="BG114">
        <f>VLOOKUP(all_cause_mort[[Country]:[Country]],'[1]Mortality Data'!$A$2:$W$201,10,FALSE)</f>
        <v>1.8930301E-3</v>
      </c>
      <c r="BH114">
        <f>VLOOKUP(all_cause_mort[[Country]:[Country]],'[1]Mortality Data'!$A$2:$W$201,11,FALSE)</f>
        <v>2.2506380000000001E-3</v>
      </c>
      <c r="BI114">
        <f>VLOOKUP(all_cause_mort[[Country]:[Country]],'[1]Mortality Data'!$A$2:$W$201,12,FALSE)</f>
        <v>3.0129906999999999E-3</v>
      </c>
      <c r="BJ114">
        <f>VLOOKUP(all_cause_mort[[Country]:[Country]],'[1]Mortality Data'!$A$2:$W$201,13,FALSE)</f>
        <v>4.3259865999999998E-3</v>
      </c>
      <c r="BK114">
        <f>VLOOKUP(all_cause_mort[[Country]:[Country]],'[1]Mortality Data'!$A$2:$W$201,14,FALSE)</f>
        <v>6.4119004E-3</v>
      </c>
      <c r="BL114">
        <f>VLOOKUP(all_cause_mort[[Country]:[Country]],'[1]Mortality Data'!$A$2:$W$201,15,FALSE)</f>
        <v>9.6462936999999992E-3</v>
      </c>
      <c r="BM114">
        <f>VLOOKUP(all_cause_mort[[Country]:[Country]],'[1]Mortality Data'!$A$2:$W$201,16,FALSE)</f>
        <v>1.4640630999999999E-2</v>
      </c>
      <c r="BN114">
        <f>VLOOKUP(all_cause_mort[[Country]:[Country]],'[1]Mortality Data'!$A$2:$W$201,17,FALSE)</f>
        <v>2.2341037000000001E-2</v>
      </c>
      <c r="BO114">
        <f>VLOOKUP(all_cause_mort[[Country]:[Country]],'[1]Mortality Data'!$A$2:$W$201,18,FALSE)</f>
        <v>3.4147505000000002E-2</v>
      </c>
      <c r="BP114">
        <f>VLOOKUP(all_cause_mort[[Country]:[Country]],'[1]Mortality Data'!$A$2:$W$201,19,FALSE)</f>
        <v>5.2188312000000001E-2</v>
      </c>
      <c r="BQ114">
        <f>VLOOKUP(all_cause_mort[[Country]:[Country]],'[1]Mortality Data'!$A$2:$W$201,20,FALSE)</f>
        <v>7.9706316999999999E-2</v>
      </c>
      <c r="BR114">
        <f>VLOOKUP(all_cause_mort[[Country]:[Country]],'[1]Mortality Data'!$A$2:$W$201,21,FALSE)</f>
        <v>0.12119497999999999</v>
      </c>
      <c r="BS114">
        <f>VLOOKUP(all_cause_mort[[Country]:[Country]],'[1]Mortality Data'!$A$2:$W$201,22,FALSE)</f>
        <v>0.18664743</v>
      </c>
      <c r="BT114">
        <f>VLOOKUP(all_cause_mort[[Country]:[Country]],'[1]Mortality Data'!$A$2:$W$201,23,FALSE)</f>
        <v>0.29132941038860299</v>
      </c>
      <c r="BU114" s="39" t="e">
        <f>VLOOKUP(all_cause_mort[[#This Row],[Country]],[2]!regions[#Data],3,FALSE)</f>
        <v>#REF!</v>
      </c>
    </row>
    <row r="115" spans="1:73" x14ac:dyDescent="0.35">
      <c r="A115" t="s">
        <v>113</v>
      </c>
      <c r="B115">
        <v>7623600</v>
      </c>
      <c r="C115">
        <v>7765800</v>
      </c>
      <c r="D115">
        <v>7910500</v>
      </c>
      <c r="E115">
        <v>8059500</v>
      </c>
      <c r="F115">
        <v>8215700</v>
      </c>
      <c r="G115">
        <v>8380100</v>
      </c>
      <c r="H115">
        <v>8546000</v>
      </c>
      <c r="I115">
        <v>8712400</v>
      </c>
      <c r="K115" t="s">
        <v>113</v>
      </c>
      <c r="L115">
        <v>21.2</v>
      </c>
      <c r="M115">
        <f>birthrate[[#This Row],[2016]]/1000</f>
        <v>2.12E-2</v>
      </c>
      <c r="O115" t="s">
        <v>160</v>
      </c>
      <c r="P115">
        <v>99.99</v>
      </c>
      <c r="Q115">
        <f>facility[[#This Row],[Facility (%)]]/100</f>
        <v>0.9998999999999999</v>
      </c>
      <c r="S115" t="s">
        <v>149</v>
      </c>
      <c r="T115" t="s">
        <v>324</v>
      </c>
      <c r="U115">
        <v>97.4</v>
      </c>
      <c r="V115">
        <f>SBA[[#This Row],[SBA (%)]]/100</f>
        <v>0.97400000000000009</v>
      </c>
      <c r="X115" s="10" t="s">
        <v>170</v>
      </c>
      <c r="Y115" s="10" t="s">
        <v>252</v>
      </c>
      <c r="Z115" s="21">
        <v>7.3800000000000004E-2</v>
      </c>
      <c r="AA115" s="21">
        <v>6.6799999999999998E-2</v>
      </c>
      <c r="AB115" s="21">
        <v>8.14E-2</v>
      </c>
      <c r="AC115" s="22">
        <v>3562045</v>
      </c>
      <c r="AD115" s="27">
        <v>3.8775510204081612E-3</v>
      </c>
      <c r="AF115" s="24" t="s">
        <v>143</v>
      </c>
      <c r="AG115" s="24" t="s">
        <v>253</v>
      </c>
      <c r="AH115" s="24">
        <v>98</v>
      </c>
      <c r="AI115" s="25">
        <f>IF(birthdose[[#This Row],[2017]]/100=0, ,birthdose[[#This Row],[2017]]/100)</f>
        <v>0.98</v>
      </c>
      <c r="AK115" s="24" t="s">
        <v>143</v>
      </c>
      <c r="AL115" s="24" t="s">
        <v>254</v>
      </c>
      <c r="AM115" s="24">
        <v>99</v>
      </c>
      <c r="AN115" s="25">
        <f>IF(fullvax[[#This Row],[2017]]/100=0, ,fullvax[[#This Row],[2017]]/100)</f>
        <v>0.99</v>
      </c>
      <c r="AV115" s="12" t="s">
        <v>162</v>
      </c>
      <c r="AW115" s="14" t="s">
        <v>58</v>
      </c>
      <c r="AX115" s="41">
        <f>VLOOKUP(all_cause_mort[[#This Row],[Country]],[1]!populations[#Data],9,FALSE)*VLOOKUP(all_cause_mort[[#This Row],[Country]],[1]!birthrate[#Data],3,FALSE)</f>
        <v>227781.57817200001</v>
      </c>
      <c r="AY115">
        <f>VLOOKUP(all_cause_mort[[Country]:[Country]],'[1]Mortality Data'!$A$2:$W$201,2,FALSE)</f>
        <v>4.3476411E-2</v>
      </c>
      <c r="AZ115">
        <f>VLOOKUP(all_cause_mort[[Country]:[Country]],'[1]Mortality Data'!$A$2:$W$201,3,FALSE)</f>
        <v>2.9079266000000001E-3</v>
      </c>
      <c r="BA115">
        <f>VLOOKUP(all_cause_mort[[Country]:[Country]],'[1]Mortality Data'!$A$2:$W$201,4,FALSE)</f>
        <v>1.1746701000000001E-3</v>
      </c>
      <c r="BB115">
        <f>VLOOKUP(all_cause_mort[[Country]:[Country]],'[1]Mortality Data'!$A$2:$W$201,5,FALSE)</f>
        <v>9.2688373999999995E-4</v>
      </c>
      <c r="BC115">
        <f>VLOOKUP(all_cause_mort[[Country]:[Country]],'[1]Mortality Data'!$A$2:$W$201,6,FALSE)</f>
        <v>1.6822899999999999E-3</v>
      </c>
      <c r="BD115">
        <f>VLOOKUP(all_cause_mort[[Country]:[Country]],'[1]Mortality Data'!$A$2:$W$201,7,FALSE)</f>
        <v>2.2730177999999998E-3</v>
      </c>
      <c r="BE115">
        <f>VLOOKUP(all_cause_mort[[Country]:[Country]],'[1]Mortality Data'!$A$2:$W$201,8,FALSE)</f>
        <v>2.4715621000000001E-3</v>
      </c>
      <c r="BF115">
        <f>VLOOKUP(all_cause_mort[[Country]:[Country]],'[1]Mortality Data'!$A$2:$W$201,9,FALSE)</f>
        <v>2.8759676999999999E-3</v>
      </c>
      <c r="BG115">
        <f>VLOOKUP(all_cause_mort[[Country]:[Country]],'[1]Mortality Data'!$A$2:$W$201,10,FALSE)</f>
        <v>3.6746067000000002E-3</v>
      </c>
      <c r="BH115">
        <f>VLOOKUP(all_cause_mort[[Country]:[Country]],'[1]Mortality Data'!$A$2:$W$201,11,FALSE)</f>
        <v>4.9171900999999997E-3</v>
      </c>
      <c r="BI115">
        <f>VLOOKUP(all_cause_mort[[Country]:[Country]],'[1]Mortality Data'!$A$2:$W$201,12,FALSE)</f>
        <v>6.9776673000000004E-3</v>
      </c>
      <c r="BJ115">
        <f>VLOOKUP(all_cause_mort[[Country]:[Country]],'[1]Mortality Data'!$A$2:$W$201,13,FALSE)</f>
        <v>1.0231395000000001E-2</v>
      </c>
      <c r="BK115">
        <f>VLOOKUP(all_cause_mort[[Country]:[Country]],'[1]Mortality Data'!$A$2:$W$201,14,FALSE)</f>
        <v>1.5188722999999999E-2</v>
      </c>
      <c r="BL115">
        <f>VLOOKUP(all_cause_mort[[Country]:[Country]],'[1]Mortality Data'!$A$2:$W$201,15,FALSE)</f>
        <v>2.573133E-2</v>
      </c>
      <c r="BM115">
        <f>VLOOKUP(all_cause_mort[[Country]:[Country]],'[1]Mortality Data'!$A$2:$W$201,16,FALSE)</f>
        <v>4.4059527000000001E-2</v>
      </c>
      <c r="BN115">
        <f>VLOOKUP(all_cause_mort[[Country]:[Country]],'[1]Mortality Data'!$A$2:$W$201,17,FALSE)</f>
        <v>7.3067984000000002E-2</v>
      </c>
      <c r="BO115">
        <f>VLOOKUP(all_cause_mort[[Country]:[Country]],'[1]Mortality Data'!$A$2:$W$201,18,FALSE)</f>
        <v>0.11621322000000001</v>
      </c>
      <c r="BP115">
        <f>VLOOKUP(all_cause_mort[[Country]:[Country]],'[1]Mortality Data'!$A$2:$W$201,19,FALSE)</f>
        <v>0.18128772000000001</v>
      </c>
      <c r="BQ115">
        <f>VLOOKUP(all_cause_mort[[Country]:[Country]],'[1]Mortality Data'!$A$2:$W$201,20,FALSE)</f>
        <v>0.27647423999999998</v>
      </c>
      <c r="BR115">
        <f>VLOOKUP(all_cause_mort[[Country]:[Country]],'[1]Mortality Data'!$A$2:$W$201,21,FALSE)</f>
        <v>0.39408220999999999</v>
      </c>
      <c r="BS115">
        <f>VLOOKUP(all_cause_mort[[Country]:[Country]],'[1]Mortality Data'!$A$2:$W$201,22,FALSE)</f>
        <v>0.53360748999999996</v>
      </c>
      <c r="BT115">
        <f>VLOOKUP(all_cause_mort[[Country]:[Country]],'[1]Mortality Data'!$A$2:$W$201,23,FALSE)</f>
        <v>0.69123285180900795</v>
      </c>
      <c r="BU115" s="39" t="e">
        <f>VLOOKUP(all_cause_mort[[#This Row],[Country]],[2]!regions[#Data],3,FALSE)</f>
        <v>#REF!</v>
      </c>
    </row>
    <row r="116" spans="1:73" x14ac:dyDescent="0.35">
      <c r="A116" t="s">
        <v>114</v>
      </c>
      <c r="B116">
        <v>59277417</v>
      </c>
      <c r="C116">
        <v>59379449</v>
      </c>
      <c r="D116">
        <v>59539717</v>
      </c>
      <c r="E116">
        <v>60233948</v>
      </c>
      <c r="F116">
        <v>60789140</v>
      </c>
      <c r="G116">
        <v>60730582</v>
      </c>
      <c r="H116">
        <v>60627498</v>
      </c>
      <c r="I116">
        <v>60551416</v>
      </c>
      <c r="K116" t="s">
        <v>114</v>
      </c>
      <c r="L116">
        <v>7.8</v>
      </c>
      <c r="M116">
        <f>birthrate[[#This Row],[2016]]/1000</f>
        <v>7.7999999999999996E-3</v>
      </c>
      <c r="O116" t="s">
        <v>161</v>
      </c>
      <c r="P116">
        <v>91.2</v>
      </c>
      <c r="Q116">
        <f>facility[[#This Row],[Facility (%)]]/100</f>
        <v>0.91200000000000003</v>
      </c>
      <c r="S116" t="s">
        <v>150</v>
      </c>
      <c r="T116" t="s">
        <v>265</v>
      </c>
      <c r="U116">
        <v>58</v>
      </c>
      <c r="V116">
        <f>SBA[[#This Row],[SBA (%)]]/100</f>
        <v>0.57999999999999996</v>
      </c>
      <c r="X116" s="13" t="s">
        <v>171</v>
      </c>
      <c r="Y116" s="13" t="s">
        <v>256</v>
      </c>
      <c r="Z116" s="26">
        <v>3.4000000000000002E-2</v>
      </c>
      <c r="AA116" s="26">
        <v>3.2000000000000001E-2</v>
      </c>
      <c r="AB116" s="26">
        <v>3.6999999999999998E-2</v>
      </c>
      <c r="AC116">
        <v>19586539</v>
      </c>
      <c r="AD116" s="27">
        <v>1.5306122448979569E-3</v>
      </c>
      <c r="AF116" s="24" t="s">
        <v>144</v>
      </c>
      <c r="AG116" s="24" t="s">
        <v>253</v>
      </c>
      <c r="AH116" s="24"/>
      <c r="AI116" s="25">
        <f>IF(birthdose[[#This Row],[2017]]/100=0, ,birthdose[[#This Row],[2017]]/100)</f>
        <v>0</v>
      </c>
      <c r="AK116" s="24" t="s">
        <v>144</v>
      </c>
      <c r="AL116" s="24" t="s">
        <v>254</v>
      </c>
      <c r="AM116" s="24">
        <v>73</v>
      </c>
      <c r="AN116" s="25">
        <f>IF(fullvax[[#This Row],[2017]]/100=0, ,fullvax[[#This Row],[2017]]/100)</f>
        <v>0.73</v>
      </c>
      <c r="AV116" s="8" t="s">
        <v>163</v>
      </c>
      <c r="AW116" s="11" t="s">
        <v>23</v>
      </c>
      <c r="AX116" s="41">
        <f>VLOOKUP(all_cause_mort[[#This Row],[Country]],[1]!populations[#Data],9,FALSE)*VLOOKUP(all_cause_mort[[#This Row],[Country]],[1]!birthrate[#Data],3,FALSE)</f>
        <v>142676.23825900001</v>
      </c>
      <c r="AY116">
        <f>VLOOKUP(all_cause_mort[[Country]:[Country]],'[1]Mortality Data'!$A$2:$W$201,2,FALSE)</f>
        <v>1.9355603999999998E-2</v>
      </c>
      <c r="AZ116">
        <f>VLOOKUP(all_cause_mort[[Country]:[Country]],'[1]Mortality Data'!$A$2:$W$201,3,FALSE)</f>
        <v>6.2881761999999996E-4</v>
      </c>
      <c r="BA116">
        <f>VLOOKUP(all_cause_mort[[Country]:[Country]],'[1]Mortality Data'!$A$2:$W$201,4,FALSE)</f>
        <v>5.5234958000000001E-4</v>
      </c>
      <c r="BB116">
        <f>VLOOKUP(all_cause_mort[[Country]:[Country]],'[1]Mortality Data'!$A$2:$W$201,5,FALSE)</f>
        <v>4.4948789000000001E-4</v>
      </c>
      <c r="BC116">
        <f>VLOOKUP(all_cause_mort[[Country]:[Country]],'[1]Mortality Data'!$A$2:$W$201,6,FALSE)</f>
        <v>1.0542913000000001E-3</v>
      </c>
      <c r="BD116">
        <f>VLOOKUP(all_cause_mort[[Country]:[Country]],'[1]Mortality Data'!$A$2:$W$201,7,FALSE)</f>
        <v>1.6059035000000001E-3</v>
      </c>
      <c r="BE116">
        <f>VLOOKUP(all_cause_mort[[Country]:[Country]],'[1]Mortality Data'!$A$2:$W$201,8,FALSE)</f>
        <v>1.9587977999999998E-3</v>
      </c>
      <c r="BF116">
        <f>VLOOKUP(all_cause_mort[[Country]:[Country]],'[1]Mortality Data'!$A$2:$W$201,9,FALSE)</f>
        <v>1.9953162000000001E-3</v>
      </c>
      <c r="BG116">
        <f>VLOOKUP(all_cause_mort[[Country]:[Country]],'[1]Mortality Data'!$A$2:$W$201,10,FALSE)</f>
        <v>2.3646519E-3</v>
      </c>
      <c r="BH116">
        <f>VLOOKUP(all_cause_mort[[Country]:[Country]],'[1]Mortality Data'!$A$2:$W$201,11,FALSE)</f>
        <v>2.8979647000000001E-3</v>
      </c>
      <c r="BI116">
        <f>VLOOKUP(all_cause_mort[[Country]:[Country]],'[1]Mortality Data'!$A$2:$W$201,12,FALSE)</f>
        <v>4.2436922000000004E-3</v>
      </c>
      <c r="BJ116">
        <f>VLOOKUP(all_cause_mort[[Country]:[Country]],'[1]Mortality Data'!$A$2:$W$201,13,FALSE)</f>
        <v>6.1885048999999999E-3</v>
      </c>
      <c r="BK116">
        <f>VLOOKUP(all_cause_mort[[Country]:[Country]],'[1]Mortality Data'!$A$2:$W$201,14,FALSE)</f>
        <v>8.7090715999999999E-3</v>
      </c>
      <c r="BL116">
        <f>VLOOKUP(all_cause_mort[[Country]:[Country]],'[1]Mortality Data'!$A$2:$W$201,15,FALSE)</f>
        <v>1.3643486E-2</v>
      </c>
      <c r="BM116">
        <f>VLOOKUP(all_cause_mort[[Country]:[Country]],'[1]Mortality Data'!$A$2:$W$201,16,FALSE)</f>
        <v>2.0194107999999999E-2</v>
      </c>
      <c r="BN116">
        <f>VLOOKUP(all_cause_mort[[Country]:[Country]],'[1]Mortality Data'!$A$2:$W$201,17,FALSE)</f>
        <v>2.9681827000000001E-2</v>
      </c>
      <c r="BO116">
        <f>VLOOKUP(all_cause_mort[[Country]:[Country]],'[1]Mortality Data'!$A$2:$W$201,18,FALSE)</f>
        <v>4.2919825000000002E-2</v>
      </c>
      <c r="BP116">
        <f>VLOOKUP(all_cause_mort[[Country]:[Country]],'[1]Mortality Data'!$A$2:$W$201,19,FALSE)</f>
        <v>8.4247589999999997E-2</v>
      </c>
      <c r="BQ116">
        <f>VLOOKUP(all_cause_mort[[Country]:[Country]],'[1]Mortality Data'!$A$2:$W$201,20,FALSE)</f>
        <v>0.134908</v>
      </c>
      <c r="BR116">
        <f>VLOOKUP(all_cause_mort[[Country]:[Country]],'[1]Mortality Data'!$A$2:$W$201,21,FALSE)</f>
        <v>0.20061775000000001</v>
      </c>
      <c r="BS116">
        <f>VLOOKUP(all_cause_mort[[Country]:[Country]],'[1]Mortality Data'!$A$2:$W$201,22,FALSE)</f>
        <v>0.27725865999999999</v>
      </c>
      <c r="BT116">
        <f>VLOOKUP(all_cause_mort[[Country]:[Country]],'[1]Mortality Data'!$A$2:$W$201,23,FALSE)</f>
        <v>0.38506899589254601</v>
      </c>
      <c r="BU116" s="39" t="e">
        <f>VLOOKUP(all_cause_mort[[#This Row],[Country]],[2]!regions[#Data],3,FALSE)</f>
        <v>#REF!</v>
      </c>
    </row>
    <row r="117" spans="1:73" x14ac:dyDescent="0.35">
      <c r="A117" t="s">
        <v>115</v>
      </c>
      <c r="B117">
        <v>2817210</v>
      </c>
      <c r="C117">
        <v>2829493</v>
      </c>
      <c r="D117">
        <v>2840992</v>
      </c>
      <c r="E117">
        <v>2851807</v>
      </c>
      <c r="F117">
        <v>2862087</v>
      </c>
      <c r="G117">
        <v>2871934</v>
      </c>
      <c r="H117">
        <v>2881355</v>
      </c>
      <c r="I117">
        <v>2890299</v>
      </c>
      <c r="K117" t="s">
        <v>115</v>
      </c>
      <c r="L117">
        <v>16.629000000000001</v>
      </c>
      <c r="M117">
        <f>birthrate[[#This Row],[2016]]/1000</f>
        <v>1.6629000000000001E-2</v>
      </c>
      <c r="O117" t="s">
        <v>162</v>
      </c>
      <c r="P117">
        <v>43</v>
      </c>
      <c r="Q117">
        <f>facility[[#This Row],[Facility (%)]]/100</f>
        <v>0.43</v>
      </c>
      <c r="S117" t="s">
        <v>152</v>
      </c>
      <c r="T117">
        <v>2015</v>
      </c>
      <c r="U117">
        <v>96.3</v>
      </c>
      <c r="V117">
        <f>SBA[[#This Row],[SBA (%)]]/100</f>
        <v>0.96299999999999997</v>
      </c>
      <c r="X117" s="10" t="s">
        <v>172</v>
      </c>
      <c r="Y117" s="10" t="s">
        <v>256</v>
      </c>
      <c r="Z117" s="21">
        <v>1.4E-2</v>
      </c>
      <c r="AA117" s="21">
        <v>6.0000000000000001E-3</v>
      </c>
      <c r="AB117" s="21">
        <v>1.7000000000000001E-2</v>
      </c>
      <c r="AC117">
        <v>144495044</v>
      </c>
      <c r="AD117" s="27">
        <v>1.5306122448979598E-3</v>
      </c>
      <c r="AF117" s="24" t="s">
        <v>145</v>
      </c>
      <c r="AG117" s="24" t="s">
        <v>253</v>
      </c>
      <c r="AH117" s="24">
        <v>33</v>
      </c>
      <c r="AI117" s="25">
        <f>IF(birthdose[[#This Row],[2017]]/100=0, ,birthdose[[#This Row],[2017]]/100)</f>
        <v>0.33</v>
      </c>
      <c r="AK117" s="24" t="s">
        <v>145</v>
      </c>
      <c r="AL117" s="24" t="s">
        <v>254</v>
      </c>
      <c r="AM117" s="24">
        <v>99</v>
      </c>
      <c r="AN117" s="25">
        <f>IF(fullvax[[#This Row],[2017]]/100=0, ,fullvax[[#This Row],[2017]]/100)</f>
        <v>0.99</v>
      </c>
      <c r="AV117" s="12" t="s">
        <v>164</v>
      </c>
      <c r="AW117" s="14" t="s">
        <v>23</v>
      </c>
      <c r="AX117" s="41">
        <f>VLOOKUP(all_cause_mort[[#This Row],[Country]],[1]!populations[#Data],9,FALSE)*VLOOKUP(all_cause_mort[[#This Row],[Country]],[1]!birthrate[#Data],3,FALSE)</f>
        <v>620182.71628499997</v>
      </c>
      <c r="AY117">
        <f>VLOOKUP(all_cause_mort[[Country]:[Country]],'[1]Mortality Data'!$A$2:$W$201,2,FALSE)</f>
        <v>1.2939015999999999E-2</v>
      </c>
      <c r="AZ117">
        <f>VLOOKUP(all_cause_mort[[Country]:[Country]],'[1]Mortality Data'!$A$2:$W$201,3,FALSE)</f>
        <v>8.7709691999999996E-4</v>
      </c>
      <c r="BA117">
        <f>VLOOKUP(all_cause_mort[[Country]:[Country]],'[1]Mortality Data'!$A$2:$W$201,4,FALSE)</f>
        <v>4.9556572000000005E-4</v>
      </c>
      <c r="BB117">
        <f>VLOOKUP(all_cause_mort[[Country]:[Country]],'[1]Mortality Data'!$A$2:$W$201,5,FALSE)</f>
        <v>3.3616119999999998E-4</v>
      </c>
      <c r="BC117">
        <f>VLOOKUP(all_cause_mort[[Country]:[Country]],'[1]Mortality Data'!$A$2:$W$201,6,FALSE)</f>
        <v>7.9592344000000001E-4</v>
      </c>
      <c r="BD117">
        <f>VLOOKUP(all_cause_mort[[Country]:[Country]],'[1]Mortality Data'!$A$2:$W$201,7,FALSE)</f>
        <v>1.1835925E-3</v>
      </c>
      <c r="BE117">
        <f>VLOOKUP(all_cause_mort[[Country]:[Country]],'[1]Mortality Data'!$A$2:$W$201,8,FALSE)</f>
        <v>1.5371274E-3</v>
      </c>
      <c r="BF117">
        <f>VLOOKUP(all_cause_mort[[Country]:[Country]],'[1]Mortality Data'!$A$2:$W$201,9,FALSE)</f>
        <v>1.6903962999999999E-3</v>
      </c>
      <c r="BG117">
        <f>VLOOKUP(all_cause_mort[[Country]:[Country]],'[1]Mortality Data'!$A$2:$W$201,10,FALSE)</f>
        <v>2.0229324E-3</v>
      </c>
      <c r="BH117">
        <f>VLOOKUP(all_cause_mort[[Country]:[Country]],'[1]Mortality Data'!$A$2:$W$201,11,FALSE)</f>
        <v>2.5814811000000001E-3</v>
      </c>
      <c r="BI117">
        <f>VLOOKUP(all_cause_mort[[Country]:[Country]],'[1]Mortality Data'!$A$2:$W$201,12,FALSE)</f>
        <v>3.4505136999999999E-3</v>
      </c>
      <c r="BJ117">
        <f>VLOOKUP(all_cause_mort[[Country]:[Country]],'[1]Mortality Data'!$A$2:$W$201,13,FALSE)</f>
        <v>4.8137229000000002E-3</v>
      </c>
      <c r="BK117">
        <f>VLOOKUP(all_cause_mort[[Country]:[Country]],'[1]Mortality Data'!$A$2:$W$201,14,FALSE)</f>
        <v>6.9027120999999997E-3</v>
      </c>
      <c r="BL117">
        <f>VLOOKUP(all_cause_mort[[Country]:[Country]],'[1]Mortality Data'!$A$2:$W$201,15,FALSE)</f>
        <v>1.0495192E-2</v>
      </c>
      <c r="BM117">
        <f>VLOOKUP(all_cause_mort[[Country]:[Country]],'[1]Mortality Data'!$A$2:$W$201,16,FALSE)</f>
        <v>1.5838555000000001E-2</v>
      </c>
      <c r="BN117">
        <f>VLOOKUP(all_cause_mort[[Country]:[Country]],'[1]Mortality Data'!$A$2:$W$201,17,FALSE)</f>
        <v>2.7426079999999999E-2</v>
      </c>
      <c r="BO117">
        <f>VLOOKUP(all_cause_mort[[Country]:[Country]],'[1]Mortality Data'!$A$2:$W$201,18,FALSE)</f>
        <v>4.4070781000000003E-2</v>
      </c>
      <c r="BP117">
        <f>VLOOKUP(all_cause_mort[[Country]:[Country]],'[1]Mortality Data'!$A$2:$W$201,19,FALSE)</f>
        <v>7.3844919999999994E-2</v>
      </c>
      <c r="BQ117">
        <f>VLOOKUP(all_cause_mort[[Country]:[Country]],'[1]Mortality Data'!$A$2:$W$201,20,FALSE)</f>
        <v>0.12225401</v>
      </c>
      <c r="BR117">
        <f>VLOOKUP(all_cause_mort[[Country]:[Country]],'[1]Mortality Data'!$A$2:$W$201,21,FALSE)</f>
        <v>0.18637312</v>
      </c>
      <c r="BS117">
        <f>VLOOKUP(all_cause_mort[[Country]:[Country]],'[1]Mortality Data'!$A$2:$W$201,22,FALSE)</f>
        <v>0.26399128999999999</v>
      </c>
      <c r="BT117">
        <f>VLOOKUP(all_cause_mort[[Country]:[Country]],'[1]Mortality Data'!$A$2:$W$201,23,FALSE)</f>
        <v>0.37807237681475703</v>
      </c>
      <c r="BU117" s="39" t="e">
        <f>VLOOKUP(all_cause_mort[[#This Row],[Country]],[2]!regions[#Data],3,FALSE)</f>
        <v>#REF!</v>
      </c>
    </row>
    <row r="118" spans="1:73" x14ac:dyDescent="0.35">
      <c r="A118" t="s">
        <v>117</v>
      </c>
      <c r="B118">
        <v>7182390</v>
      </c>
      <c r="C118">
        <v>7574943</v>
      </c>
      <c r="D118">
        <v>7992573</v>
      </c>
      <c r="E118">
        <v>8413464</v>
      </c>
      <c r="F118">
        <v>8809306</v>
      </c>
      <c r="G118">
        <v>9159302</v>
      </c>
      <c r="H118">
        <v>9455802</v>
      </c>
      <c r="I118">
        <v>9702353</v>
      </c>
      <c r="K118" t="s">
        <v>117</v>
      </c>
      <c r="L118">
        <v>26.469000000000001</v>
      </c>
      <c r="M118">
        <f>birthrate[[#This Row],[2016]]/1000</f>
        <v>2.6468999999999999E-2</v>
      </c>
      <c r="O118" t="s">
        <v>163</v>
      </c>
      <c r="P118">
        <v>93.2</v>
      </c>
      <c r="Q118">
        <f>facility[[#This Row],[Facility (%)]]/100</f>
        <v>0.93200000000000005</v>
      </c>
      <c r="S118" t="s">
        <v>153</v>
      </c>
      <c r="T118" t="s">
        <v>301</v>
      </c>
      <c r="U118">
        <v>88</v>
      </c>
      <c r="V118">
        <f>SBA[[#This Row],[SBA (%)]]/100</f>
        <v>0.88</v>
      </c>
      <c r="X118" s="13" t="s">
        <v>173</v>
      </c>
      <c r="Y118" s="13" t="s">
        <v>256</v>
      </c>
      <c r="Z118" s="26">
        <v>3.4000000000000002E-2</v>
      </c>
      <c r="AA118" s="26">
        <v>2.1999999999999999E-2</v>
      </c>
      <c r="AB118" s="26">
        <v>4.2999999999999997E-2</v>
      </c>
      <c r="AC118" s="30">
        <v>12208407</v>
      </c>
      <c r="AD118" s="27">
        <v>4.5918367346938745E-3</v>
      </c>
      <c r="AF118" s="24" t="s">
        <v>146</v>
      </c>
      <c r="AG118" s="24" t="s">
        <v>253</v>
      </c>
      <c r="AH118" s="24"/>
      <c r="AI118" s="25">
        <f>IF(birthdose[[#This Row],[2017]]/100=0, ,birthdose[[#This Row],[2017]]/100)</f>
        <v>0</v>
      </c>
      <c r="AK118" s="24" t="s">
        <v>146</v>
      </c>
      <c r="AL118" s="24" t="s">
        <v>254</v>
      </c>
      <c r="AM118" s="24">
        <v>80</v>
      </c>
      <c r="AN118" s="25">
        <f>IF(fullvax[[#This Row],[2017]]/100=0, ,fullvax[[#This Row],[2017]]/100)</f>
        <v>0.8</v>
      </c>
      <c r="AV118" s="8" t="s">
        <v>165</v>
      </c>
      <c r="AW118" s="11" t="s">
        <v>58</v>
      </c>
      <c r="AX118" s="41">
        <f>VLOOKUP(all_cause_mort[[#This Row],[Country]],[1]!populations[#Data],9,FALSE)*VLOOKUP(all_cause_mort[[#This Row],[Country]],[1]!birthrate[#Data],3,FALSE)</f>
        <v>2435148.8689000001</v>
      </c>
      <c r="AY118">
        <f>VLOOKUP(all_cause_mort[[Country]:[Country]],'[1]Mortality Data'!$A$2:$W$201,2,FALSE)</f>
        <v>2.0008061000000001E-2</v>
      </c>
      <c r="AZ118">
        <f>VLOOKUP(all_cause_mort[[Country]:[Country]],'[1]Mortality Data'!$A$2:$W$201,3,FALSE)</f>
        <v>2.0546607000000001E-3</v>
      </c>
      <c r="BA118">
        <f>VLOOKUP(all_cause_mort[[Country]:[Country]],'[1]Mortality Data'!$A$2:$W$201,4,FALSE)</f>
        <v>6.1392798999999995E-4</v>
      </c>
      <c r="BB118">
        <f>VLOOKUP(all_cause_mort[[Country]:[Country]],'[1]Mortality Data'!$A$2:$W$201,5,FALSE)</f>
        <v>5.3274137999999999E-4</v>
      </c>
      <c r="BC118">
        <f>VLOOKUP(all_cause_mort[[Country]:[Country]],'[1]Mortality Data'!$A$2:$W$201,6,FALSE)</f>
        <v>1.1410983E-3</v>
      </c>
      <c r="BD118">
        <f>VLOOKUP(all_cause_mort[[Country]:[Country]],'[1]Mortality Data'!$A$2:$W$201,7,FALSE)</f>
        <v>1.598159E-3</v>
      </c>
      <c r="BE118">
        <f>VLOOKUP(all_cause_mort[[Country]:[Country]],'[1]Mortality Data'!$A$2:$W$201,8,FALSE)</f>
        <v>1.747333E-3</v>
      </c>
      <c r="BF118">
        <f>VLOOKUP(all_cause_mort[[Country]:[Country]],'[1]Mortality Data'!$A$2:$W$201,9,FALSE)</f>
        <v>2.0867637E-3</v>
      </c>
      <c r="BG118">
        <f>VLOOKUP(all_cause_mort[[Country]:[Country]],'[1]Mortality Data'!$A$2:$W$201,10,FALSE)</f>
        <v>2.7738117E-3</v>
      </c>
      <c r="BH118">
        <f>VLOOKUP(all_cause_mort[[Country]:[Country]],'[1]Mortality Data'!$A$2:$W$201,11,FALSE)</f>
        <v>3.9041178000000002E-3</v>
      </c>
      <c r="BI118">
        <f>VLOOKUP(all_cause_mort[[Country]:[Country]],'[1]Mortality Data'!$A$2:$W$201,12,FALSE)</f>
        <v>5.8097141999999997E-3</v>
      </c>
      <c r="BJ118">
        <f>VLOOKUP(all_cause_mort[[Country]:[Country]],'[1]Mortality Data'!$A$2:$W$201,13,FALSE)</f>
        <v>8.7515739000000002E-3</v>
      </c>
      <c r="BK118">
        <f>VLOOKUP(all_cause_mort[[Country]:[Country]],'[1]Mortality Data'!$A$2:$W$201,14,FALSE)</f>
        <v>1.3195676999999999E-2</v>
      </c>
      <c r="BL118">
        <f>VLOOKUP(all_cause_mort[[Country]:[Country]],'[1]Mortality Data'!$A$2:$W$201,15,FALSE)</f>
        <v>1.8202122000000001E-2</v>
      </c>
      <c r="BM118">
        <f>VLOOKUP(all_cause_mort[[Country]:[Country]],'[1]Mortality Data'!$A$2:$W$201,16,FALSE)</f>
        <v>2.4944500000000001E-2</v>
      </c>
      <c r="BN118">
        <f>VLOOKUP(all_cause_mort[[Country]:[Country]],'[1]Mortality Data'!$A$2:$W$201,17,FALSE)</f>
        <v>3.6728228000000002E-2</v>
      </c>
      <c r="BO118">
        <f>VLOOKUP(all_cause_mort[[Country]:[Country]],'[1]Mortality Data'!$A$2:$W$201,18,FALSE)</f>
        <v>5.9166007E-2</v>
      </c>
      <c r="BP118">
        <f>VLOOKUP(all_cause_mort[[Country]:[Country]],'[1]Mortality Data'!$A$2:$W$201,19,FALSE)</f>
        <v>9.3905343000000002E-2</v>
      </c>
      <c r="BQ118">
        <f>VLOOKUP(all_cause_mort[[Country]:[Country]],'[1]Mortality Data'!$A$2:$W$201,20,FALSE)</f>
        <v>0.14436562999999999</v>
      </c>
      <c r="BR118">
        <f>VLOOKUP(all_cause_mort[[Country]:[Country]],'[1]Mortality Data'!$A$2:$W$201,21,FALSE)</f>
        <v>0.20891223</v>
      </c>
      <c r="BS118">
        <f>VLOOKUP(all_cause_mort[[Country]:[Country]],'[1]Mortality Data'!$A$2:$W$201,22,FALSE)</f>
        <v>0.29338666000000002</v>
      </c>
      <c r="BT118">
        <f>VLOOKUP(all_cause_mort[[Country]:[Country]],'[1]Mortality Data'!$A$2:$W$201,23,FALSE)</f>
        <v>0.39832271086328003</v>
      </c>
      <c r="BU118" s="39" t="e">
        <f>VLOOKUP(all_cause_mort[[#This Row],[Country]],[2]!regions[#Data],3,FALSE)</f>
        <v>#REF!</v>
      </c>
    </row>
    <row r="119" spans="1:73" x14ac:dyDescent="0.35">
      <c r="A119" t="s">
        <v>116</v>
      </c>
      <c r="B119">
        <v>128070000</v>
      </c>
      <c r="C119">
        <v>127833000</v>
      </c>
      <c r="D119">
        <v>127629000</v>
      </c>
      <c r="E119">
        <v>127445000</v>
      </c>
      <c r="F119">
        <v>127276000</v>
      </c>
      <c r="G119">
        <v>127141000</v>
      </c>
      <c r="H119">
        <v>126994511</v>
      </c>
      <c r="I119">
        <v>126785797</v>
      </c>
      <c r="K119" t="s">
        <v>116</v>
      </c>
      <c r="L119">
        <v>7.8</v>
      </c>
      <c r="M119">
        <f>birthrate[[#This Row],[2016]]/1000</f>
        <v>7.7999999999999996E-3</v>
      </c>
      <c r="O119" t="s">
        <v>164</v>
      </c>
      <c r="P119">
        <v>91</v>
      </c>
      <c r="Q119">
        <f>facility[[#This Row],[Facility (%)]]/100</f>
        <v>0.91</v>
      </c>
      <c r="S119" t="s">
        <v>154</v>
      </c>
      <c r="T119" t="s">
        <v>277</v>
      </c>
      <c r="U119">
        <v>39.700000000000003</v>
      </c>
      <c r="V119">
        <f>SBA[[#This Row],[SBA (%)]]/100</f>
        <v>0.39700000000000002</v>
      </c>
      <c r="X119" s="13" t="s">
        <v>177</v>
      </c>
      <c r="Y119" s="13" t="s">
        <v>252</v>
      </c>
      <c r="Z119" s="26">
        <v>5.5300000000000002E-2</v>
      </c>
      <c r="AA119" s="26">
        <v>3.6700000000000003E-2</v>
      </c>
      <c r="AB119" s="26">
        <v>8.2500000000000004E-2</v>
      </c>
      <c r="AC119" s="31">
        <v>186205</v>
      </c>
      <c r="AD119" s="27">
        <v>1.3877551020408165E-2</v>
      </c>
      <c r="AF119" s="24" t="s">
        <v>147</v>
      </c>
      <c r="AG119" s="24" t="s">
        <v>253</v>
      </c>
      <c r="AH119" s="24">
        <v>1</v>
      </c>
      <c r="AI119" s="25">
        <f>IF(birthdose[[#This Row],[2017]]/100=0, ,birthdose[[#This Row],[2017]]/100)</f>
        <v>0.01</v>
      </c>
      <c r="AK119" s="24" t="s">
        <v>147</v>
      </c>
      <c r="AL119" s="24" t="s">
        <v>254</v>
      </c>
      <c r="AM119" s="24">
        <v>89</v>
      </c>
      <c r="AN119" s="25">
        <f>IF(fullvax[[#This Row],[2017]]/100=0, ,fullvax[[#This Row],[2017]]/100)</f>
        <v>0.89</v>
      </c>
      <c r="AV119" s="12" t="s">
        <v>166</v>
      </c>
      <c r="AW119" s="14" t="s">
        <v>11</v>
      </c>
      <c r="AX119" s="41">
        <f>VLOOKUP(all_cause_mort[[#This Row],[Country]],[1]!populations[#Data],9,FALSE)*VLOOKUP(all_cause_mort[[#This Row],[Country]],[1]!birthrate[#Data],3,FALSE)</f>
        <v>383555.99410000001</v>
      </c>
      <c r="AY119">
        <f>VLOOKUP(all_cause_mort[[Country]:[Country]],'[1]Mortality Data'!$A$2:$W$201,2,FALSE)</f>
        <v>3.2868499E-3</v>
      </c>
      <c r="AZ119">
        <f>VLOOKUP(all_cause_mort[[Country]:[Country]],'[1]Mortality Data'!$A$2:$W$201,3,FALSE)</f>
        <v>1.4441934000000001E-4</v>
      </c>
      <c r="BA119">
        <f>VLOOKUP(all_cause_mort[[Country]:[Country]],'[1]Mortality Data'!$A$2:$W$201,4,FALSE)</f>
        <v>8.0743470999999998E-5</v>
      </c>
      <c r="BB119">
        <f>VLOOKUP(all_cause_mort[[Country]:[Country]],'[1]Mortality Data'!$A$2:$W$201,5,FALSE)</f>
        <v>1.1545408E-4</v>
      </c>
      <c r="BC119">
        <f>VLOOKUP(all_cause_mort[[Country]:[Country]],'[1]Mortality Data'!$A$2:$W$201,6,FALSE)</f>
        <v>3.4240079999999998E-4</v>
      </c>
      <c r="BD119">
        <f>VLOOKUP(all_cause_mort[[Country]:[Country]],'[1]Mortality Data'!$A$2:$W$201,7,FALSE)</f>
        <v>5.4388965999999995E-4</v>
      </c>
      <c r="BE119">
        <f>VLOOKUP(all_cause_mort[[Country]:[Country]],'[1]Mortality Data'!$A$2:$W$201,8,FALSE)</f>
        <v>6.0641749000000004E-4</v>
      </c>
      <c r="BF119">
        <f>VLOOKUP(all_cause_mort[[Country]:[Country]],'[1]Mortality Data'!$A$2:$W$201,9,FALSE)</f>
        <v>7.9691007999999996E-4</v>
      </c>
      <c r="BG119">
        <f>VLOOKUP(all_cause_mort[[Country]:[Country]],'[1]Mortality Data'!$A$2:$W$201,10,FALSE)</f>
        <v>1.1931641000000001E-3</v>
      </c>
      <c r="BH119">
        <f>VLOOKUP(all_cause_mort[[Country]:[Country]],'[1]Mortality Data'!$A$2:$W$201,11,FALSE)</f>
        <v>1.9504971000000001E-3</v>
      </c>
      <c r="BI119">
        <f>VLOOKUP(all_cause_mort[[Country]:[Country]],'[1]Mortality Data'!$A$2:$W$201,12,FALSE)</f>
        <v>3.3166645000000002E-3</v>
      </c>
      <c r="BJ119">
        <f>VLOOKUP(all_cause_mort[[Country]:[Country]],'[1]Mortality Data'!$A$2:$W$201,13,FALSE)</f>
        <v>5.5350829000000001E-3</v>
      </c>
      <c r="BK119">
        <f>VLOOKUP(all_cause_mort[[Country]:[Country]],'[1]Mortality Data'!$A$2:$W$201,14,FALSE)</f>
        <v>8.7180399999999998E-3</v>
      </c>
      <c r="BL119">
        <f>VLOOKUP(all_cause_mort[[Country]:[Country]],'[1]Mortality Data'!$A$2:$W$201,15,FALSE)</f>
        <v>1.2937382000000001E-2</v>
      </c>
      <c r="BM119">
        <f>VLOOKUP(all_cause_mort[[Country]:[Country]],'[1]Mortality Data'!$A$2:$W$201,16,FALSE)</f>
        <v>1.815172E-2</v>
      </c>
      <c r="BN119">
        <f>VLOOKUP(all_cause_mort[[Country]:[Country]],'[1]Mortality Data'!$A$2:$W$201,17,FALSE)</f>
        <v>2.5476608000000001E-2</v>
      </c>
      <c r="BO119">
        <f>VLOOKUP(all_cause_mort[[Country]:[Country]],'[1]Mortality Data'!$A$2:$W$201,18,FALSE)</f>
        <v>3.9213273E-2</v>
      </c>
      <c r="BP119">
        <f>VLOOKUP(all_cause_mort[[Country]:[Country]],'[1]Mortality Data'!$A$2:$W$201,19,FALSE)</f>
        <v>6.5766910999999997E-2</v>
      </c>
      <c r="BQ119">
        <f>VLOOKUP(all_cause_mort[[Country]:[Country]],'[1]Mortality Data'!$A$2:$W$201,20,FALSE)</f>
        <v>0.10937877</v>
      </c>
      <c r="BR119">
        <f>VLOOKUP(all_cause_mort[[Country]:[Country]],'[1]Mortality Data'!$A$2:$W$201,21,FALSE)</f>
        <v>0.17670791999999999</v>
      </c>
      <c r="BS119">
        <f>VLOOKUP(all_cause_mort[[Country]:[Country]],'[1]Mortality Data'!$A$2:$W$201,22,FALSE)</f>
        <v>0.26991391999999997</v>
      </c>
      <c r="BT119">
        <f>VLOOKUP(all_cause_mort[[Country]:[Country]],'[1]Mortality Data'!$A$2:$W$201,23,FALSE)</f>
        <v>0.40399169651626698</v>
      </c>
      <c r="BU119" s="39" t="e">
        <f>VLOOKUP(all_cause_mort[[#This Row],[Country]],[2]!regions[#Data],3,FALSE)</f>
        <v>#REF!</v>
      </c>
    </row>
    <row r="120" spans="1:73" x14ac:dyDescent="0.35">
      <c r="A120" t="s">
        <v>118</v>
      </c>
      <c r="B120">
        <v>16321872</v>
      </c>
      <c r="C120">
        <v>16557201</v>
      </c>
      <c r="D120">
        <v>16792089</v>
      </c>
      <c r="E120">
        <v>17035550</v>
      </c>
      <c r="F120">
        <v>17288285</v>
      </c>
      <c r="G120">
        <v>17542806</v>
      </c>
      <c r="H120">
        <v>17794055</v>
      </c>
      <c r="I120">
        <v>18037646</v>
      </c>
      <c r="K120" t="s">
        <v>118</v>
      </c>
      <c r="L120">
        <v>22.52</v>
      </c>
      <c r="M120">
        <f>birthrate[[#This Row],[2016]]/1000</f>
        <v>2.2519999999999998E-2</v>
      </c>
      <c r="O120" t="s">
        <v>165</v>
      </c>
      <c r="P120">
        <v>61.1</v>
      </c>
      <c r="Q120">
        <f>facility[[#This Row],[Facility (%)]]/100</f>
        <v>0.61099999999999999</v>
      </c>
      <c r="S120" t="s">
        <v>155</v>
      </c>
      <c r="T120" t="s">
        <v>325</v>
      </c>
      <c r="U120">
        <v>43</v>
      </c>
      <c r="V120">
        <f>SBA[[#This Row],[SBA (%)]]/100</f>
        <v>0.43</v>
      </c>
      <c r="X120" s="10" t="s">
        <v>180</v>
      </c>
      <c r="Y120" s="10" t="s">
        <v>256</v>
      </c>
      <c r="Z120" s="21">
        <v>1.6E-2</v>
      </c>
      <c r="AA120" s="21">
        <v>1.0999999999999999E-2</v>
      </c>
      <c r="AB120" s="21">
        <v>1.9E-2</v>
      </c>
      <c r="AC120" s="30">
        <v>32938213</v>
      </c>
      <c r="AD120" s="27">
        <v>1.5306122448979589E-3</v>
      </c>
      <c r="AF120" s="24" t="s">
        <v>148</v>
      </c>
      <c r="AG120" s="24" t="s">
        <v>253</v>
      </c>
      <c r="AH120" s="24">
        <v>85</v>
      </c>
      <c r="AI120" s="25">
        <f>IF(birthdose[[#This Row],[2017]]/100=0, ,birthdose[[#This Row],[2017]]/100)</f>
        <v>0.85</v>
      </c>
      <c r="AK120" s="24" t="s">
        <v>148</v>
      </c>
      <c r="AL120" s="24" t="s">
        <v>254</v>
      </c>
      <c r="AM120" s="24">
        <v>88</v>
      </c>
      <c r="AN120" s="25">
        <f>IF(fullvax[[#This Row],[2017]]/100=0, ,fullvax[[#This Row],[2017]]/100)</f>
        <v>0.88</v>
      </c>
      <c r="AV120" s="12" t="s">
        <v>168</v>
      </c>
      <c r="AW120" s="14" t="s">
        <v>7</v>
      </c>
      <c r="AX120" s="41">
        <f>VLOOKUP(all_cause_mort[[#This Row],[Country]],[1]!populations[#Data],9,FALSE)*VLOOKUP(all_cause_mort[[#This Row],[Country]],[1]!birthrate[#Data],3,FALSE)</f>
        <v>26777.434806000001</v>
      </c>
      <c r="AY120">
        <f>VLOOKUP(all_cause_mort[[Country]:[Country]],'[1]Mortality Data'!$A$2:$W$201,2,FALSE)</f>
        <v>6.3255604000000002E-3</v>
      </c>
      <c r="AZ120">
        <f>VLOOKUP(all_cause_mort[[Country]:[Country]],'[1]Mortality Data'!$A$2:$W$201,3,FALSE)</f>
        <v>3.2014465999999998E-4</v>
      </c>
      <c r="BA120">
        <f>VLOOKUP(all_cause_mort[[Country]:[Country]],'[1]Mortality Data'!$A$2:$W$201,4,FALSE)</f>
        <v>1.8425658000000001E-4</v>
      </c>
      <c r="BB120">
        <f>VLOOKUP(all_cause_mort[[Country]:[Country]],'[1]Mortality Data'!$A$2:$W$201,5,FALSE)</f>
        <v>1.8342806E-4</v>
      </c>
      <c r="BC120">
        <f>VLOOKUP(all_cause_mort[[Country]:[Country]],'[1]Mortality Data'!$A$2:$W$201,6,FALSE)</f>
        <v>3.7802164999999998E-4</v>
      </c>
      <c r="BD120">
        <f>VLOOKUP(all_cause_mort[[Country]:[Country]],'[1]Mortality Data'!$A$2:$W$201,7,FALSE)</f>
        <v>4.4146757000000002E-4</v>
      </c>
      <c r="BE120">
        <f>VLOOKUP(all_cause_mort[[Country]:[Country]],'[1]Mortality Data'!$A$2:$W$201,8,FALSE)</f>
        <v>3.9062599000000002E-4</v>
      </c>
      <c r="BF120">
        <f>VLOOKUP(all_cause_mort[[Country]:[Country]],'[1]Mortality Data'!$A$2:$W$201,9,FALSE)</f>
        <v>4.1452566999999999E-4</v>
      </c>
      <c r="BG120">
        <f>VLOOKUP(all_cause_mort[[Country]:[Country]],'[1]Mortality Data'!$A$2:$W$201,10,FALSE)</f>
        <v>4.7835339000000001E-4</v>
      </c>
      <c r="BH120">
        <f>VLOOKUP(all_cause_mort[[Country]:[Country]],'[1]Mortality Data'!$A$2:$W$201,11,FALSE)</f>
        <v>6.4188159999999995E-4</v>
      </c>
      <c r="BI120">
        <f>VLOOKUP(all_cause_mort[[Country]:[Country]],'[1]Mortality Data'!$A$2:$W$201,12,FALSE)</f>
        <v>1.0079031999999999E-3</v>
      </c>
      <c r="BJ120">
        <f>VLOOKUP(all_cause_mort[[Country]:[Country]],'[1]Mortality Data'!$A$2:$W$201,13,FALSE)</f>
        <v>1.5528612000000001E-3</v>
      </c>
      <c r="BK120">
        <f>VLOOKUP(all_cause_mort[[Country]:[Country]],'[1]Mortality Data'!$A$2:$W$201,14,FALSE)</f>
        <v>2.8176884000000002E-3</v>
      </c>
      <c r="BL120">
        <f>VLOOKUP(all_cause_mort[[Country]:[Country]],'[1]Mortality Data'!$A$2:$W$201,15,FALSE)</f>
        <v>5.1827158000000003E-3</v>
      </c>
      <c r="BM120">
        <f>VLOOKUP(all_cause_mort[[Country]:[Country]],'[1]Mortality Data'!$A$2:$W$201,16,FALSE)</f>
        <v>2.3650461000000001E-2</v>
      </c>
      <c r="BN120">
        <f>VLOOKUP(all_cause_mort[[Country]:[Country]],'[1]Mortality Data'!$A$2:$W$201,17,FALSE)</f>
        <v>4.2412170999999999E-2</v>
      </c>
      <c r="BO120">
        <f>VLOOKUP(all_cause_mort[[Country]:[Country]],'[1]Mortality Data'!$A$2:$W$201,18,FALSE)</f>
        <v>5.0153741000000002E-2</v>
      </c>
      <c r="BP120">
        <f>VLOOKUP(all_cause_mort[[Country]:[Country]],'[1]Mortality Data'!$A$2:$W$201,19,FALSE)</f>
        <v>7.1487710999999995E-2</v>
      </c>
      <c r="BQ120">
        <f>VLOOKUP(all_cause_mort[[Country]:[Country]],'[1]Mortality Data'!$A$2:$W$201,20,FALSE)</f>
        <v>8.6034737999999999E-2</v>
      </c>
      <c r="BR120">
        <f>VLOOKUP(all_cause_mort[[Country]:[Country]],'[1]Mortality Data'!$A$2:$W$201,21,FALSE)</f>
        <v>0.11860568</v>
      </c>
      <c r="BS120">
        <f>VLOOKUP(all_cause_mort[[Country]:[Country]],'[1]Mortality Data'!$A$2:$W$201,22,FALSE)</f>
        <v>0.15691179</v>
      </c>
      <c r="BT120">
        <f>VLOOKUP(all_cause_mort[[Country]:[Country]],'[1]Mortality Data'!$A$2:$W$201,23,FALSE)</f>
        <v>0.21732732507312699</v>
      </c>
      <c r="BU120" s="39" t="e">
        <f>VLOOKUP(all_cause_mort[[#This Row],[Country]],[2]!regions[#Data],3,FALSE)</f>
        <v>#REF!</v>
      </c>
    </row>
    <row r="121" spans="1:73" x14ac:dyDescent="0.35">
      <c r="A121" t="s">
        <v>119</v>
      </c>
      <c r="B121">
        <v>41350152</v>
      </c>
      <c r="C121">
        <v>42486839</v>
      </c>
      <c r="D121">
        <v>43646629</v>
      </c>
      <c r="E121">
        <v>44826849</v>
      </c>
      <c r="F121">
        <v>46024250</v>
      </c>
      <c r="G121">
        <v>47236259</v>
      </c>
      <c r="H121">
        <v>48461567</v>
      </c>
      <c r="I121">
        <v>49699862</v>
      </c>
      <c r="K121" t="s">
        <v>119</v>
      </c>
      <c r="L121">
        <v>31.309000000000001</v>
      </c>
      <c r="M121">
        <f>birthrate[[#This Row],[2016]]/1000</f>
        <v>3.1309000000000003E-2</v>
      </c>
      <c r="O121" t="s">
        <v>166</v>
      </c>
      <c r="P121">
        <v>99.8</v>
      </c>
      <c r="Q121">
        <f>facility[[#This Row],[Facility (%)]]/100</f>
        <v>0.998</v>
      </c>
      <c r="S121" t="s">
        <v>156</v>
      </c>
      <c r="T121">
        <v>2011</v>
      </c>
      <c r="U121">
        <v>99.99</v>
      </c>
      <c r="V121">
        <f>SBA[[#This Row],[SBA (%)]]/100</f>
        <v>0.9998999999999999</v>
      </c>
      <c r="X121" s="13" t="s">
        <v>181</v>
      </c>
      <c r="Y121" s="13" t="s">
        <v>256</v>
      </c>
      <c r="Z121" s="26">
        <v>8.1000000000000003E-2</v>
      </c>
      <c r="AA121" s="26">
        <v>7.4999999999999997E-2</v>
      </c>
      <c r="AB121" s="26">
        <v>0.09</v>
      </c>
      <c r="AC121" s="30">
        <v>15850567</v>
      </c>
      <c r="AD121" s="27">
        <v>4.5918367346938745E-3</v>
      </c>
      <c r="AF121" s="24" t="s">
        <v>149</v>
      </c>
      <c r="AG121" s="24" t="s">
        <v>253</v>
      </c>
      <c r="AH121" s="24">
        <v>99</v>
      </c>
      <c r="AI121" s="25">
        <f>IF(birthdose[[#This Row],[2017]]/100=0, ,birthdose[[#This Row],[2017]]/100)</f>
        <v>0.99</v>
      </c>
      <c r="AK121" s="24" t="s">
        <v>149</v>
      </c>
      <c r="AL121" s="24" t="s">
        <v>254</v>
      </c>
      <c r="AM121" s="24">
        <v>87</v>
      </c>
      <c r="AN121" s="25">
        <f>IF(fullvax[[#This Row],[2017]]/100=0, ,fullvax[[#This Row],[2017]]/100)</f>
        <v>0.87</v>
      </c>
      <c r="AV121" s="8" t="s">
        <v>169</v>
      </c>
      <c r="AW121" s="11" t="s">
        <v>58</v>
      </c>
      <c r="AX121" s="41">
        <f>VLOOKUP(all_cause_mort[[#This Row],[Country]],[1]!populations[#Data],9,FALSE)*VLOOKUP(all_cause_mort[[#This Row],[Country]],[1]!birthrate[#Data],3,FALSE)</f>
        <v>406582.98790000007</v>
      </c>
      <c r="AY121">
        <f>VLOOKUP(all_cause_mort[[Country]:[Country]],'[1]Mortality Data'!$A$2:$W$201,2,FALSE)</f>
        <v>2.1108488000000001E-3</v>
      </c>
      <c r="AZ121">
        <f>VLOOKUP(all_cause_mort[[Country]:[Country]],'[1]Mortality Data'!$A$2:$W$201,3,FALSE)</f>
        <v>1.2721904999999999E-4</v>
      </c>
      <c r="BA121">
        <f>VLOOKUP(all_cause_mort[[Country]:[Country]],'[1]Mortality Data'!$A$2:$W$201,4,FALSE)</f>
        <v>7.0104950000000004E-5</v>
      </c>
      <c r="BB121">
        <f>VLOOKUP(all_cause_mort[[Country]:[Country]],'[1]Mortality Data'!$A$2:$W$201,5,FALSE)</f>
        <v>7.6186736000000005E-5</v>
      </c>
      <c r="BC121">
        <f>VLOOKUP(all_cause_mort[[Country]:[Country]],'[1]Mortality Data'!$A$2:$W$201,6,FALSE)</f>
        <v>1.942987E-4</v>
      </c>
      <c r="BD121">
        <f>VLOOKUP(all_cause_mort[[Country]:[Country]],'[1]Mortality Data'!$A$2:$W$201,7,FALSE)</f>
        <v>2.9824696999999998E-4</v>
      </c>
      <c r="BE121">
        <f>VLOOKUP(all_cause_mort[[Country]:[Country]],'[1]Mortality Data'!$A$2:$W$201,8,FALSE)</f>
        <v>4.1832342999999998E-4</v>
      </c>
      <c r="BF121">
        <f>VLOOKUP(all_cause_mort[[Country]:[Country]],'[1]Mortality Data'!$A$2:$W$201,9,FALSE)</f>
        <v>5.5543884000000001E-4</v>
      </c>
      <c r="BG121">
        <f>VLOOKUP(all_cause_mort[[Country]:[Country]],'[1]Mortality Data'!$A$2:$W$201,10,FALSE)</f>
        <v>7.4561245999999999E-4</v>
      </c>
      <c r="BH121">
        <f>VLOOKUP(all_cause_mort[[Country]:[Country]],'[1]Mortality Data'!$A$2:$W$201,11,FALSE)</f>
        <v>1.1482713000000001E-3</v>
      </c>
      <c r="BI121">
        <f>VLOOKUP(all_cause_mort[[Country]:[Country]],'[1]Mortality Data'!$A$2:$W$201,12,FALSE)</f>
        <v>1.8248663E-3</v>
      </c>
      <c r="BJ121">
        <f>VLOOKUP(all_cause_mort[[Country]:[Country]],'[1]Mortality Data'!$A$2:$W$201,13,FALSE)</f>
        <v>2.7369803000000001E-3</v>
      </c>
      <c r="BK121">
        <f>VLOOKUP(all_cause_mort[[Country]:[Country]],'[1]Mortality Data'!$A$2:$W$201,14,FALSE)</f>
        <v>3.8686596999999998E-3</v>
      </c>
      <c r="BL121">
        <f>VLOOKUP(all_cause_mort[[Country]:[Country]],'[1]Mortality Data'!$A$2:$W$201,15,FALSE)</f>
        <v>5.6378089999999997E-3</v>
      </c>
      <c r="BM121">
        <f>VLOOKUP(all_cause_mort[[Country]:[Country]],'[1]Mortality Data'!$A$2:$W$201,16,FALSE)</f>
        <v>8.8808813000000007E-3</v>
      </c>
      <c r="BN121">
        <f>VLOOKUP(all_cause_mort[[Country]:[Country]],'[1]Mortality Data'!$A$2:$W$201,17,FALSE)</f>
        <v>1.6377685999999999E-2</v>
      </c>
      <c r="BO121">
        <f>VLOOKUP(all_cause_mort[[Country]:[Country]],'[1]Mortality Data'!$A$2:$W$201,18,FALSE)</f>
        <v>3.0525514E-2</v>
      </c>
      <c r="BP121">
        <f>VLOOKUP(all_cause_mort[[Country]:[Country]],'[1]Mortality Data'!$A$2:$W$201,19,FALSE)</f>
        <v>5.7129930000000002E-2</v>
      </c>
      <c r="BQ121">
        <f>VLOOKUP(all_cause_mort[[Country]:[Country]],'[1]Mortality Data'!$A$2:$W$201,20,FALSE)</f>
        <v>0.10283521</v>
      </c>
      <c r="BR121">
        <f>VLOOKUP(all_cause_mort[[Country]:[Country]],'[1]Mortality Data'!$A$2:$W$201,21,FALSE)</f>
        <v>0.17527654000000001</v>
      </c>
      <c r="BS121">
        <f>VLOOKUP(all_cause_mort[[Country]:[Country]],'[1]Mortality Data'!$A$2:$W$201,22,FALSE)</f>
        <v>0.27737387000000002</v>
      </c>
      <c r="BT121">
        <f>VLOOKUP(all_cause_mort[[Country]:[Country]],'[1]Mortality Data'!$A$2:$W$201,23,FALSE)</f>
        <v>0.42712427052513702</v>
      </c>
      <c r="BU121" s="39" t="e">
        <f>VLOOKUP(all_cause_mort[[#This Row],[Country]],[2]!regions[#Data],3,FALSE)</f>
        <v>#REF!</v>
      </c>
    </row>
    <row r="122" spans="1:73" x14ac:dyDescent="0.35">
      <c r="A122" s="12" t="s">
        <v>122</v>
      </c>
      <c r="B122">
        <v>5447900</v>
      </c>
      <c r="C122">
        <v>5514600</v>
      </c>
      <c r="D122">
        <v>5607200</v>
      </c>
      <c r="E122">
        <v>5719600</v>
      </c>
      <c r="F122">
        <v>5835500</v>
      </c>
      <c r="G122">
        <v>5956900</v>
      </c>
      <c r="H122">
        <v>6079500</v>
      </c>
      <c r="I122">
        <v>6201500</v>
      </c>
      <c r="K122" s="12" t="s">
        <v>122</v>
      </c>
      <c r="L122">
        <v>26</v>
      </c>
      <c r="M122">
        <f>birthrate[[#This Row],[2016]]/1000</f>
        <v>2.5999999999999999E-2</v>
      </c>
      <c r="O122" t="s">
        <v>167</v>
      </c>
      <c r="P122">
        <v>98.9</v>
      </c>
      <c r="Q122">
        <f>facility[[#This Row],[Facility (%)]]/100</f>
        <v>0.9890000000000001</v>
      </c>
      <c r="S122" t="s">
        <v>157</v>
      </c>
      <c r="T122">
        <v>2016</v>
      </c>
      <c r="U122">
        <v>99.1</v>
      </c>
      <c r="V122">
        <f>SBA[[#This Row],[SBA (%)]]/100</f>
        <v>0.99099999999999999</v>
      </c>
      <c r="X122" s="10" t="s">
        <v>182</v>
      </c>
      <c r="Y122" s="10" t="s">
        <v>252</v>
      </c>
      <c r="Z122" s="21">
        <v>4.7999999999999996E-3</v>
      </c>
      <c r="AA122" s="21">
        <v>4.3E-3</v>
      </c>
      <c r="AB122" s="21">
        <v>5.4999999999999997E-3</v>
      </c>
      <c r="AC122" s="31">
        <v>7291436</v>
      </c>
      <c r="AD122" s="27">
        <v>3.571428571428572E-4</v>
      </c>
      <c r="AF122" s="24" t="s">
        <v>150</v>
      </c>
      <c r="AG122" s="24" t="s">
        <v>253</v>
      </c>
      <c r="AH122" s="24"/>
      <c r="AI122" s="25">
        <f>IF(birthdose[[#This Row],[2017]]/100=0, ,birthdose[[#This Row],[2017]]/100)</f>
        <v>0</v>
      </c>
      <c r="AK122" s="24" t="s">
        <v>150</v>
      </c>
      <c r="AL122" s="24" t="s">
        <v>254</v>
      </c>
      <c r="AM122" s="24">
        <v>90</v>
      </c>
      <c r="AN122" s="25">
        <f>IF(fullvax[[#This Row],[2017]]/100=0, ,fullvax[[#This Row],[2017]]/100)</f>
        <v>0.9</v>
      </c>
      <c r="AV122" s="12" t="s">
        <v>170</v>
      </c>
      <c r="AW122" s="14" t="s">
        <v>11</v>
      </c>
      <c r="AX122" s="41">
        <f>VLOOKUP(all_cause_mort[[#This Row],[Country]],[1]!populations[#Data],9,FALSE)*VLOOKUP(all_cause_mort[[#This Row],[Country]],[1]!birthrate[#Data],3,FALSE)</f>
        <v>36644.06925</v>
      </c>
      <c r="AY122">
        <f>VLOOKUP(all_cause_mort[[Country]:[Country]],'[1]Mortality Data'!$A$2:$W$201,2,FALSE)</f>
        <v>1.2497780999999999E-2</v>
      </c>
      <c r="AZ122">
        <f>VLOOKUP(all_cause_mort[[Country]:[Country]],'[1]Mortality Data'!$A$2:$W$201,3,FALSE)</f>
        <v>5.1718494999999996E-4</v>
      </c>
      <c r="BA122">
        <f>VLOOKUP(all_cause_mort[[Country]:[Country]],'[1]Mortality Data'!$A$2:$W$201,4,FALSE)</f>
        <v>2.2586022E-4</v>
      </c>
      <c r="BB122">
        <f>VLOOKUP(all_cause_mort[[Country]:[Country]],'[1]Mortality Data'!$A$2:$W$201,5,FALSE)</f>
        <v>1.7657189000000001E-4</v>
      </c>
      <c r="BC122">
        <f>VLOOKUP(all_cause_mort[[Country]:[Country]],'[1]Mortality Data'!$A$2:$W$201,6,FALSE)</f>
        <v>4.1260755000000003E-4</v>
      </c>
      <c r="BD122">
        <f>VLOOKUP(all_cause_mort[[Country]:[Country]],'[1]Mortality Data'!$A$2:$W$201,7,FALSE)</f>
        <v>5.5911975999999996E-4</v>
      </c>
      <c r="BE122">
        <f>VLOOKUP(all_cause_mort[[Country]:[Country]],'[1]Mortality Data'!$A$2:$W$201,8,FALSE)</f>
        <v>8.4142677999999996E-4</v>
      </c>
      <c r="BF122">
        <f>VLOOKUP(all_cause_mort[[Country]:[Country]],'[1]Mortality Data'!$A$2:$W$201,9,FALSE)</f>
        <v>1.2949722E-3</v>
      </c>
      <c r="BG122">
        <f>VLOOKUP(all_cause_mort[[Country]:[Country]],'[1]Mortality Data'!$A$2:$W$201,10,FALSE)</f>
        <v>2.3213779000000002E-3</v>
      </c>
      <c r="BH122">
        <f>VLOOKUP(all_cause_mort[[Country]:[Country]],'[1]Mortality Data'!$A$2:$W$201,11,FALSE)</f>
        <v>3.2717982999999999E-3</v>
      </c>
      <c r="BI122">
        <f>VLOOKUP(all_cause_mort[[Country]:[Country]],'[1]Mortality Data'!$A$2:$W$201,12,FALSE)</f>
        <v>5.8364449000000004E-3</v>
      </c>
      <c r="BJ122">
        <f>VLOOKUP(all_cause_mort[[Country]:[Country]],'[1]Mortality Data'!$A$2:$W$201,13,FALSE)</f>
        <v>8.7272137E-3</v>
      </c>
      <c r="BK122">
        <f>VLOOKUP(all_cause_mort[[Country]:[Country]],'[1]Mortality Data'!$A$2:$W$201,14,FALSE)</f>
        <v>1.3217298000000001E-2</v>
      </c>
      <c r="BL122">
        <f>VLOOKUP(all_cause_mort[[Country]:[Country]],'[1]Mortality Data'!$A$2:$W$201,15,FALSE)</f>
        <v>2.2206703000000001E-2</v>
      </c>
      <c r="BM122">
        <f>VLOOKUP(all_cause_mort[[Country]:[Country]],'[1]Mortality Data'!$A$2:$W$201,16,FALSE)</f>
        <v>2.9300192999999999E-2</v>
      </c>
      <c r="BN122">
        <f>VLOOKUP(all_cause_mort[[Country]:[Country]],'[1]Mortality Data'!$A$2:$W$201,17,FALSE)</f>
        <v>4.7245299999999997E-2</v>
      </c>
      <c r="BO122">
        <f>VLOOKUP(all_cause_mort[[Country]:[Country]],'[1]Mortality Data'!$A$2:$W$201,18,FALSE)</f>
        <v>7.5620133000000006E-2</v>
      </c>
      <c r="BP122">
        <f>VLOOKUP(all_cause_mort[[Country]:[Country]],'[1]Mortality Data'!$A$2:$W$201,19,FALSE)</f>
        <v>0.12060365000000001</v>
      </c>
      <c r="BQ122">
        <f>VLOOKUP(all_cause_mort[[Country]:[Country]],'[1]Mortality Data'!$A$2:$W$201,20,FALSE)</f>
        <v>0.18658807999999999</v>
      </c>
      <c r="BR122">
        <f>VLOOKUP(all_cause_mort[[Country]:[Country]],'[1]Mortality Data'!$A$2:$W$201,21,FALSE)</f>
        <v>0.26555773999999999</v>
      </c>
      <c r="BS122">
        <f>VLOOKUP(all_cause_mort[[Country]:[Country]],'[1]Mortality Data'!$A$2:$W$201,22,FALSE)</f>
        <v>0.37921319999999997</v>
      </c>
      <c r="BT122">
        <f>VLOOKUP(all_cause_mort[[Country]:[Country]],'[1]Mortality Data'!$A$2:$W$201,23,FALSE)</f>
        <v>0.53613418409250202</v>
      </c>
      <c r="BU122" s="39" t="e">
        <f>VLOOKUP(all_cause_mort[[#This Row],[Country]],[2]!regions[#Data],3,FALSE)</f>
        <v>#REF!</v>
      </c>
    </row>
    <row r="123" spans="1:73" x14ac:dyDescent="0.35">
      <c r="A123" t="s">
        <v>56</v>
      </c>
      <c r="B123">
        <v>14308740</v>
      </c>
      <c r="C123">
        <v>14537886</v>
      </c>
      <c r="D123">
        <v>14776866</v>
      </c>
      <c r="E123">
        <v>15022692</v>
      </c>
      <c r="F123">
        <v>15270790</v>
      </c>
      <c r="G123">
        <v>15517635</v>
      </c>
      <c r="H123">
        <v>15762370</v>
      </c>
      <c r="I123">
        <v>16005373</v>
      </c>
      <c r="K123" t="s">
        <v>56</v>
      </c>
      <c r="L123">
        <v>23.295999999999999</v>
      </c>
      <c r="M123">
        <f>birthrate[[#This Row],[2016]]/1000</f>
        <v>2.3296000000000001E-2</v>
      </c>
      <c r="O123" t="s">
        <v>168</v>
      </c>
      <c r="P123">
        <v>98.9</v>
      </c>
      <c r="Q123">
        <f>facility[[#This Row],[Facility (%)]]/100</f>
        <v>0.9890000000000001</v>
      </c>
      <c r="S123" t="s">
        <v>158</v>
      </c>
      <c r="T123">
        <v>2014</v>
      </c>
      <c r="U123">
        <v>99.7</v>
      </c>
      <c r="V123">
        <f>SBA[[#This Row],[SBA (%)]]/100</f>
        <v>0.997</v>
      </c>
      <c r="X123" s="13" t="s">
        <v>183</v>
      </c>
      <c r="Y123" s="13" t="s">
        <v>252</v>
      </c>
      <c r="Z123" s="26">
        <v>4.7999999999999996E-3</v>
      </c>
      <c r="AA123" s="26">
        <v>1.1999999999999999E-3</v>
      </c>
      <c r="AB123" s="26">
        <v>8.9999999999999993E-3</v>
      </c>
      <c r="AC123" s="31">
        <v>89770</v>
      </c>
      <c r="AD123" s="27">
        <v>2.142857142857143E-3</v>
      </c>
      <c r="AF123" s="29" t="s">
        <v>151</v>
      </c>
      <c r="AG123" s="24" t="s">
        <v>253</v>
      </c>
      <c r="AH123" s="24"/>
      <c r="AI123" s="25">
        <f>IF(birthdose[[#This Row],[2017]]/100=0, ,birthdose[[#This Row],[2017]]/100)</f>
        <v>0</v>
      </c>
      <c r="AK123" s="29" t="s">
        <v>151</v>
      </c>
      <c r="AL123" s="24" t="s">
        <v>254</v>
      </c>
      <c r="AM123" s="24">
        <v>92</v>
      </c>
      <c r="AN123" s="25">
        <f>IF(fullvax[[#This Row],[2017]]/100=0, ,fullvax[[#This Row],[2017]]/100)</f>
        <v>0.92</v>
      </c>
      <c r="AV123" s="8" t="s">
        <v>171</v>
      </c>
      <c r="AW123" s="11" t="s">
        <v>11</v>
      </c>
      <c r="AX123" s="41">
        <f>VLOOKUP(all_cause_mort[[#This Row],[Country]],[1]!populations[#Data],9,FALSE)*VLOOKUP(all_cause_mort[[#This Row],[Country]],[1]!birthrate[#Data],3,FALSE)</f>
        <v>188030.77439999999</v>
      </c>
      <c r="AY123">
        <f>VLOOKUP(all_cause_mort[[Country]:[Country]],'[1]Mortality Data'!$A$2:$W$201,2,FALSE)</f>
        <v>6.7261932999999998E-3</v>
      </c>
      <c r="AZ123">
        <f>VLOOKUP(all_cause_mort[[Country]:[Country]],'[1]Mortality Data'!$A$2:$W$201,3,FALSE)</f>
        <v>3.0340724999999998E-4</v>
      </c>
      <c r="BA123">
        <f>VLOOKUP(all_cause_mort[[Country]:[Country]],'[1]Mortality Data'!$A$2:$W$201,4,FALSE)</f>
        <v>1.4255436E-4</v>
      </c>
      <c r="BB123">
        <f>VLOOKUP(all_cause_mort[[Country]:[Country]],'[1]Mortality Data'!$A$2:$W$201,5,FALSE)</f>
        <v>1.9492794E-4</v>
      </c>
      <c r="BC123">
        <f>VLOOKUP(all_cause_mort[[Country]:[Country]],'[1]Mortality Data'!$A$2:$W$201,6,FALSE)</f>
        <v>3.6145421999999997E-4</v>
      </c>
      <c r="BD123">
        <f>VLOOKUP(all_cause_mort[[Country]:[Country]],'[1]Mortality Data'!$A$2:$W$201,7,FALSE)</f>
        <v>4.6977742E-4</v>
      </c>
      <c r="BE123">
        <f>VLOOKUP(all_cause_mort[[Country]:[Country]],'[1]Mortality Data'!$A$2:$W$201,8,FALSE)</f>
        <v>6.5225114000000005E-4</v>
      </c>
      <c r="BF123">
        <f>VLOOKUP(all_cause_mort[[Country]:[Country]],'[1]Mortality Data'!$A$2:$W$201,9,FALSE)</f>
        <v>7.4660329999999997E-4</v>
      </c>
      <c r="BG123">
        <f>VLOOKUP(all_cause_mort[[Country]:[Country]],'[1]Mortality Data'!$A$2:$W$201,10,FALSE)</f>
        <v>1.2057799E-3</v>
      </c>
      <c r="BH123">
        <f>VLOOKUP(all_cause_mort[[Country]:[Country]],'[1]Mortality Data'!$A$2:$W$201,11,FALSE)</f>
        <v>2.2559578000000001E-3</v>
      </c>
      <c r="BI123">
        <f>VLOOKUP(all_cause_mort[[Country]:[Country]],'[1]Mortality Data'!$A$2:$W$201,12,FALSE)</f>
        <v>3.5659852999999999E-3</v>
      </c>
      <c r="BJ123">
        <f>VLOOKUP(all_cause_mort[[Country]:[Country]],'[1]Mortality Data'!$A$2:$W$201,13,FALSE)</f>
        <v>6.4333741999999996E-3</v>
      </c>
      <c r="BK123">
        <f>VLOOKUP(all_cause_mort[[Country]:[Country]],'[1]Mortality Data'!$A$2:$W$201,14,FALSE)</f>
        <v>1.0907198E-2</v>
      </c>
      <c r="BL123">
        <f>VLOOKUP(all_cause_mort[[Country]:[Country]],'[1]Mortality Data'!$A$2:$W$201,15,FALSE)</f>
        <v>1.5947491000000001E-2</v>
      </c>
      <c r="BM123">
        <f>VLOOKUP(all_cause_mort[[Country]:[Country]],'[1]Mortality Data'!$A$2:$W$201,16,FALSE)</f>
        <v>2.0975173E-2</v>
      </c>
      <c r="BN123">
        <f>VLOOKUP(all_cause_mort[[Country]:[Country]],'[1]Mortality Data'!$A$2:$W$201,17,FALSE)</f>
        <v>3.1056001E-2</v>
      </c>
      <c r="BO123">
        <f>VLOOKUP(all_cause_mort[[Country]:[Country]],'[1]Mortality Data'!$A$2:$W$201,18,FALSE)</f>
        <v>5.1986715000000003E-2</v>
      </c>
      <c r="BP123">
        <f>VLOOKUP(all_cause_mort[[Country]:[Country]],'[1]Mortality Data'!$A$2:$W$201,19,FALSE)</f>
        <v>8.9787669000000001E-2</v>
      </c>
      <c r="BQ123">
        <f>VLOOKUP(all_cause_mort[[Country]:[Country]],'[1]Mortality Data'!$A$2:$W$201,20,FALSE)</f>
        <v>0.15165044</v>
      </c>
      <c r="BR123">
        <f>VLOOKUP(all_cause_mort[[Country]:[Country]],'[1]Mortality Data'!$A$2:$W$201,21,FALSE)</f>
        <v>0.23939450000000001</v>
      </c>
      <c r="BS123">
        <f>VLOOKUP(all_cause_mort[[Country]:[Country]],'[1]Mortality Data'!$A$2:$W$201,22,FALSE)</f>
        <v>0.34927784000000001</v>
      </c>
      <c r="BT123">
        <f>VLOOKUP(all_cause_mort[[Country]:[Country]],'[1]Mortality Data'!$A$2:$W$201,23,FALSE)</f>
        <v>0.490322624932366</v>
      </c>
      <c r="BU123" s="39" t="e">
        <f>VLOOKUP(all_cause_mort[[#This Row],[Country]],[2]!regions[#Data],3,FALSE)</f>
        <v>#REF!</v>
      </c>
    </row>
    <row r="124" spans="1:73" x14ac:dyDescent="0.35">
      <c r="A124" t="s">
        <v>120</v>
      </c>
      <c r="B124">
        <v>102652</v>
      </c>
      <c r="C124">
        <v>104656</v>
      </c>
      <c r="D124">
        <v>106613</v>
      </c>
      <c r="E124">
        <v>108535</v>
      </c>
      <c r="F124">
        <v>110458</v>
      </c>
      <c r="G124">
        <v>112407</v>
      </c>
      <c r="H124">
        <v>114395</v>
      </c>
      <c r="I124">
        <v>116398</v>
      </c>
      <c r="K124" t="s">
        <v>120</v>
      </c>
      <c r="L124">
        <v>28.224</v>
      </c>
      <c r="M124">
        <f>birthrate[[#This Row],[2016]]/1000</f>
        <v>2.8223999999999999E-2</v>
      </c>
      <c r="O124" t="s">
        <v>169</v>
      </c>
      <c r="P124">
        <v>99.99</v>
      </c>
      <c r="Q124">
        <f>facility[[#This Row],[Facility (%)]]/100</f>
        <v>0.9998999999999999</v>
      </c>
      <c r="S124" t="s">
        <v>159</v>
      </c>
      <c r="T124" t="s">
        <v>326</v>
      </c>
      <c r="U124">
        <v>55</v>
      </c>
      <c r="V124">
        <f>SBA[[#This Row],[SBA (%)]]/100</f>
        <v>0.55000000000000004</v>
      </c>
      <c r="X124" s="10" t="s">
        <v>184</v>
      </c>
      <c r="Y124" s="10" t="s">
        <v>252</v>
      </c>
      <c r="Z124" s="21">
        <v>8.4199999999999997E-2</v>
      </c>
      <c r="AA124" s="21">
        <v>5.9900000000000002E-2</v>
      </c>
      <c r="AB124" s="21">
        <v>0.1173</v>
      </c>
      <c r="AC124" s="31">
        <v>6458720</v>
      </c>
      <c r="AD124" s="27">
        <v>1.6887755102040818E-2</v>
      </c>
      <c r="AF124" s="24" t="s">
        <v>152</v>
      </c>
      <c r="AG124" s="24" t="s">
        <v>253</v>
      </c>
      <c r="AH124" s="24"/>
      <c r="AI124" s="25">
        <f>IF(birthdose[[#This Row],[2017]]/100=0, ,birthdose[[#This Row],[2017]]/100)</f>
        <v>0</v>
      </c>
      <c r="AK124" s="24" t="s">
        <v>152</v>
      </c>
      <c r="AL124" s="24" t="s">
        <v>254</v>
      </c>
      <c r="AM124" s="24">
        <v>94</v>
      </c>
      <c r="AN124" s="25">
        <f>IF(fullvax[[#This Row],[2017]]/100=0, ,fullvax[[#This Row],[2017]]/100)</f>
        <v>0.94</v>
      </c>
      <c r="AV124" s="12" t="s">
        <v>172</v>
      </c>
      <c r="AW124" s="14" t="s">
        <v>11</v>
      </c>
      <c r="AX124" s="41">
        <f>VLOOKUP(all_cause_mort[[#This Row],[Country]],[1]!populations[#Data],9,FALSE)*VLOOKUP(all_cause_mort[[#This Row],[Country]],[1]!birthrate[#Data],3,FALSE)</f>
        <v>1863986.0676</v>
      </c>
      <c r="AY124">
        <f>VLOOKUP(all_cause_mort[[Country]:[Country]],'[1]Mortality Data'!$A$2:$W$201,2,FALSE)</f>
        <v>5.7897723E-3</v>
      </c>
      <c r="AZ124">
        <f>VLOOKUP(all_cause_mort[[Country]:[Country]],'[1]Mortality Data'!$A$2:$W$201,3,FALSE)</f>
        <v>3.4099009999999998E-4</v>
      </c>
      <c r="BA124">
        <f>VLOOKUP(all_cause_mort[[Country]:[Country]],'[1]Mortality Data'!$A$2:$W$201,4,FALSE)</f>
        <v>1.9724649000000001E-4</v>
      </c>
      <c r="BB124">
        <f>VLOOKUP(all_cause_mort[[Country]:[Country]],'[1]Mortality Data'!$A$2:$W$201,5,FALSE)</f>
        <v>2.6013388000000002E-4</v>
      </c>
      <c r="BC124">
        <f>VLOOKUP(all_cause_mort[[Country]:[Country]],'[1]Mortality Data'!$A$2:$W$201,6,FALSE)</f>
        <v>6.2719060000000001E-4</v>
      </c>
      <c r="BD124">
        <f>VLOOKUP(all_cause_mort[[Country]:[Country]],'[1]Mortality Data'!$A$2:$W$201,7,FALSE)</f>
        <v>1.113476E-3</v>
      </c>
      <c r="BE124">
        <f>VLOOKUP(all_cause_mort[[Country]:[Country]],'[1]Mortality Data'!$A$2:$W$201,8,FALSE)</f>
        <v>1.7910211999999999E-3</v>
      </c>
      <c r="BF124">
        <f>VLOOKUP(all_cause_mort[[Country]:[Country]],'[1]Mortality Data'!$A$2:$W$201,9,FALSE)</f>
        <v>3.0143118999999999E-3</v>
      </c>
      <c r="BG124">
        <f>VLOOKUP(all_cause_mort[[Country]:[Country]],'[1]Mortality Data'!$A$2:$W$201,10,FALSE)</f>
        <v>4.4363613000000003E-3</v>
      </c>
      <c r="BH124">
        <f>VLOOKUP(all_cause_mort[[Country]:[Country]],'[1]Mortality Data'!$A$2:$W$201,11,FALSE)</f>
        <v>5.3360504999999999E-3</v>
      </c>
      <c r="BI124">
        <f>VLOOKUP(all_cause_mort[[Country]:[Country]],'[1]Mortality Data'!$A$2:$W$201,12,FALSE)</f>
        <v>6.5753735000000004E-3</v>
      </c>
      <c r="BJ124">
        <f>VLOOKUP(all_cause_mort[[Country]:[Country]],'[1]Mortality Data'!$A$2:$W$201,13,FALSE)</f>
        <v>9.0223766999999993E-3</v>
      </c>
      <c r="BK124">
        <f>VLOOKUP(all_cause_mort[[Country]:[Country]],'[1]Mortality Data'!$A$2:$W$201,14,FALSE)</f>
        <v>1.2703552E-2</v>
      </c>
      <c r="BL124">
        <f>VLOOKUP(all_cause_mort[[Country]:[Country]],'[1]Mortality Data'!$A$2:$W$201,15,FALSE)</f>
        <v>1.8522239999999999E-2</v>
      </c>
      <c r="BM124">
        <f>VLOOKUP(all_cause_mort[[Country]:[Country]],'[1]Mortality Data'!$A$2:$W$201,16,FALSE)</f>
        <v>2.5452905000000001E-2</v>
      </c>
      <c r="BN124">
        <f>VLOOKUP(all_cause_mort[[Country]:[Country]],'[1]Mortality Data'!$A$2:$W$201,17,FALSE)</f>
        <v>3.5942321999999999E-2</v>
      </c>
      <c r="BO124">
        <f>VLOOKUP(all_cause_mort[[Country]:[Country]],'[1]Mortality Data'!$A$2:$W$201,18,FALSE)</f>
        <v>5.6476540999999998E-2</v>
      </c>
      <c r="BP124">
        <f>VLOOKUP(all_cause_mort[[Country]:[Country]],'[1]Mortality Data'!$A$2:$W$201,19,FALSE)</f>
        <v>9.1954353000000003E-2</v>
      </c>
      <c r="BQ124">
        <f>VLOOKUP(all_cause_mort[[Country]:[Country]],'[1]Mortality Data'!$A$2:$W$201,20,FALSE)</f>
        <v>0.13639747999999999</v>
      </c>
      <c r="BR124">
        <f>VLOOKUP(all_cause_mort[[Country]:[Country]],'[1]Mortality Data'!$A$2:$W$201,21,FALSE)</f>
        <v>0.20671281</v>
      </c>
      <c r="BS124">
        <f>VLOOKUP(all_cause_mort[[Country]:[Country]],'[1]Mortality Data'!$A$2:$W$201,22,FALSE)</f>
        <v>0.29838428</v>
      </c>
      <c r="BT124">
        <f>VLOOKUP(all_cause_mort[[Country]:[Country]],'[1]Mortality Data'!$A$2:$W$201,23,FALSE)</f>
        <v>0.42473476906427299</v>
      </c>
      <c r="BU124" s="39" t="e">
        <f>VLOOKUP(all_cause_mort[[#This Row],[Country]],[2]!regions[#Data],3,FALSE)</f>
        <v>#REF!</v>
      </c>
    </row>
    <row r="125" spans="1:73" x14ac:dyDescent="0.35">
      <c r="A125" t="s">
        <v>327</v>
      </c>
      <c r="B125">
        <v>51445</v>
      </c>
      <c r="C125">
        <v>52006</v>
      </c>
      <c r="D125">
        <v>52591</v>
      </c>
      <c r="E125">
        <v>53169</v>
      </c>
      <c r="F125">
        <v>53739</v>
      </c>
      <c r="G125">
        <v>54288</v>
      </c>
      <c r="H125">
        <v>54821</v>
      </c>
      <c r="I125">
        <v>55345</v>
      </c>
      <c r="K125" t="s">
        <v>327</v>
      </c>
      <c r="M125">
        <f>birthrate[[#This Row],[2016]]/1000</f>
        <v>0</v>
      </c>
      <c r="O125" t="s">
        <v>170</v>
      </c>
      <c r="P125">
        <v>99.4</v>
      </c>
      <c r="Q125">
        <f>facility[[#This Row],[Facility (%)]]/100</f>
        <v>0.99400000000000011</v>
      </c>
      <c r="S125" t="s">
        <v>160</v>
      </c>
      <c r="T125">
        <v>2016</v>
      </c>
      <c r="U125">
        <v>99.99</v>
      </c>
      <c r="V125">
        <f>SBA[[#This Row],[SBA (%)]]/100</f>
        <v>0.9998999999999999</v>
      </c>
      <c r="X125" s="10" t="s">
        <v>185</v>
      </c>
      <c r="Y125" s="10" t="s">
        <v>256</v>
      </c>
      <c r="Z125" s="21">
        <v>2.4E-2</v>
      </c>
      <c r="AA125" s="21">
        <v>2.1000000000000001E-2</v>
      </c>
      <c r="AB125" s="21">
        <v>2.7E-2</v>
      </c>
      <c r="AC125" s="30">
        <v>5612253</v>
      </c>
      <c r="AD125" s="27">
        <v>1.5306122448979589E-3</v>
      </c>
      <c r="AF125" s="24" t="s">
        <v>153</v>
      </c>
      <c r="AG125" s="24" t="s">
        <v>253</v>
      </c>
      <c r="AH125" s="24"/>
      <c r="AI125" s="25">
        <f>IF(birthdose[[#This Row],[2017]]/100=0, ,birthdose[[#This Row],[2017]]/100)</f>
        <v>0</v>
      </c>
      <c r="AK125" s="24" t="s">
        <v>153</v>
      </c>
      <c r="AL125" s="24" t="s">
        <v>254</v>
      </c>
      <c r="AM125" s="24">
        <v>98</v>
      </c>
      <c r="AN125" s="25">
        <f>IF(fullvax[[#This Row],[2017]]/100=0, ,fullvax[[#This Row],[2017]]/100)</f>
        <v>0.98</v>
      </c>
      <c r="AV125" s="8" t="s">
        <v>173</v>
      </c>
      <c r="AW125" s="11" t="s">
        <v>15</v>
      </c>
      <c r="AX125" s="41">
        <f>VLOOKUP(all_cause_mort[[#This Row],[Country]],[1]!populations[#Data],9,FALSE)*VLOOKUP(all_cause_mort[[#This Row],[Country]],[1]!birthrate[#Data],3,FALSE)</f>
        <v>379742.49973500002</v>
      </c>
      <c r="AY125">
        <f>VLOOKUP(all_cause_mort[[Country]:[Country]],'[1]Mortality Data'!$A$2:$W$201,2,FALSE)</f>
        <v>2.9954709E-2</v>
      </c>
      <c r="AZ125">
        <f>VLOOKUP(all_cause_mort[[Country]:[Country]],'[1]Mortality Data'!$A$2:$W$201,3,FALSE)</f>
        <v>2.3863735E-3</v>
      </c>
      <c r="BA125">
        <f>VLOOKUP(all_cause_mort[[Country]:[Country]],'[1]Mortality Data'!$A$2:$W$201,4,FALSE)</f>
        <v>9.5066290999999995E-4</v>
      </c>
      <c r="BB125">
        <f>VLOOKUP(all_cause_mort[[Country]:[Country]],'[1]Mortality Data'!$A$2:$W$201,5,FALSE)</f>
        <v>7.3551564999999996E-4</v>
      </c>
      <c r="BC125">
        <f>VLOOKUP(all_cause_mort[[Country]:[Country]],'[1]Mortality Data'!$A$2:$W$201,6,FALSE)</f>
        <v>1.2867931000000001E-3</v>
      </c>
      <c r="BD125">
        <f>VLOOKUP(all_cause_mort[[Country]:[Country]],'[1]Mortality Data'!$A$2:$W$201,7,FALSE)</f>
        <v>1.9402588999999999E-3</v>
      </c>
      <c r="BE125">
        <f>VLOOKUP(all_cause_mort[[Country]:[Country]],'[1]Mortality Data'!$A$2:$W$201,8,FALSE)</f>
        <v>2.3448914000000001E-3</v>
      </c>
      <c r="BF125">
        <f>VLOOKUP(all_cause_mort[[Country]:[Country]],'[1]Mortality Data'!$A$2:$W$201,9,FALSE)</f>
        <v>2.8246602000000002E-3</v>
      </c>
      <c r="BG125">
        <f>VLOOKUP(all_cause_mort[[Country]:[Country]],'[1]Mortality Data'!$A$2:$W$201,10,FALSE)</f>
        <v>3.5480882000000001E-3</v>
      </c>
      <c r="BH125">
        <f>VLOOKUP(all_cause_mort[[Country]:[Country]],'[1]Mortality Data'!$A$2:$W$201,11,FALSE)</f>
        <v>4.5664147000000002E-3</v>
      </c>
      <c r="BI125">
        <f>VLOOKUP(all_cause_mort[[Country]:[Country]],'[1]Mortality Data'!$A$2:$W$201,12,FALSE)</f>
        <v>5.9046825999999998E-3</v>
      </c>
      <c r="BJ125">
        <f>VLOOKUP(all_cause_mort[[Country]:[Country]],'[1]Mortality Data'!$A$2:$W$201,13,FALSE)</f>
        <v>8.5881515000000002E-3</v>
      </c>
      <c r="BK125">
        <f>VLOOKUP(all_cause_mort[[Country]:[Country]],'[1]Mortality Data'!$A$2:$W$201,14,FALSE)</f>
        <v>1.1652312999999999E-2</v>
      </c>
      <c r="BL125">
        <f>VLOOKUP(all_cause_mort[[Country]:[Country]],'[1]Mortality Data'!$A$2:$W$201,15,FALSE)</f>
        <v>1.7655196000000001E-2</v>
      </c>
      <c r="BM125">
        <f>VLOOKUP(all_cause_mort[[Country]:[Country]],'[1]Mortality Data'!$A$2:$W$201,16,FALSE)</f>
        <v>2.7792724000000001E-2</v>
      </c>
      <c r="BN125">
        <f>VLOOKUP(all_cause_mort[[Country]:[Country]],'[1]Mortality Data'!$A$2:$W$201,17,FALSE)</f>
        <v>4.4643474000000002E-2</v>
      </c>
      <c r="BO125">
        <f>VLOOKUP(all_cause_mort[[Country]:[Country]],'[1]Mortality Data'!$A$2:$W$201,18,FALSE)</f>
        <v>7.3626358000000003E-2</v>
      </c>
      <c r="BP125">
        <f>VLOOKUP(all_cause_mort[[Country]:[Country]],'[1]Mortality Data'!$A$2:$W$201,19,FALSE)</f>
        <v>0.12529543000000001</v>
      </c>
      <c r="BQ125">
        <f>VLOOKUP(all_cause_mort[[Country]:[Country]],'[1]Mortality Data'!$A$2:$W$201,20,FALSE)</f>
        <v>0.21214658</v>
      </c>
      <c r="BR125">
        <f>VLOOKUP(all_cause_mort[[Country]:[Country]],'[1]Mortality Data'!$A$2:$W$201,21,FALSE)</f>
        <v>0.36240097999999998</v>
      </c>
      <c r="BS125">
        <f>VLOOKUP(all_cause_mort[[Country]:[Country]],'[1]Mortality Data'!$A$2:$W$201,22,FALSE)</f>
        <v>0.53210800999999996</v>
      </c>
      <c r="BT125">
        <f>VLOOKUP(all_cause_mort[[Country]:[Country]],'[1]Mortality Data'!$A$2:$W$201,23,FALSE)</f>
        <v>0.72019190521583099</v>
      </c>
      <c r="BU125" s="39" t="e">
        <f>VLOOKUP(all_cause_mort[[#This Row],[Country]],[2]!regions[#Data],3,FALSE)</f>
        <v>#REF!</v>
      </c>
    </row>
    <row r="126" spans="1:73" x14ac:dyDescent="0.35">
      <c r="A126" s="8" t="s">
        <v>169</v>
      </c>
      <c r="B126">
        <v>49554112</v>
      </c>
      <c r="C126">
        <v>49936638</v>
      </c>
      <c r="D126">
        <v>50199853</v>
      </c>
      <c r="E126">
        <v>50428893</v>
      </c>
      <c r="F126">
        <v>50746659</v>
      </c>
      <c r="G126">
        <v>51014947</v>
      </c>
      <c r="H126">
        <v>51245707</v>
      </c>
      <c r="I126">
        <v>51466201</v>
      </c>
      <c r="K126" s="8" t="s">
        <v>169</v>
      </c>
      <c r="L126">
        <v>7.9</v>
      </c>
      <c r="M126">
        <f>birthrate[[#This Row],[2016]]/1000</f>
        <v>7.9000000000000008E-3</v>
      </c>
      <c r="O126" t="s">
        <v>171</v>
      </c>
      <c r="P126">
        <v>94.9</v>
      </c>
      <c r="Q126">
        <f>facility[[#This Row],[Facility (%)]]/100</f>
        <v>0.94900000000000007</v>
      </c>
      <c r="S126" t="s">
        <v>161</v>
      </c>
      <c r="T126">
        <v>2016</v>
      </c>
      <c r="U126">
        <v>94.6</v>
      </c>
      <c r="V126">
        <f>SBA[[#This Row],[SBA (%)]]/100</f>
        <v>0.94599999999999995</v>
      </c>
      <c r="X126" s="13" t="s">
        <v>186</v>
      </c>
      <c r="Y126" s="13" t="s">
        <v>256</v>
      </c>
      <c r="Z126" s="26">
        <v>1.6E-2</v>
      </c>
      <c r="AA126" s="26">
        <v>7.0000000000000001E-3</v>
      </c>
      <c r="AB126" s="26">
        <v>1.7999999999999999E-2</v>
      </c>
      <c r="AC126" s="30">
        <v>5439892</v>
      </c>
      <c r="AD126" s="27">
        <v>1.0204081632653053E-3</v>
      </c>
      <c r="AF126" s="29" t="s">
        <v>154</v>
      </c>
      <c r="AG126" s="24" t="s">
        <v>253</v>
      </c>
      <c r="AH126" s="24"/>
      <c r="AI126" s="25">
        <f>IF(birthdose[[#This Row],[2017]]/100=0, ,birthdose[[#This Row],[2017]]/100)</f>
        <v>0</v>
      </c>
      <c r="AK126" s="29" t="s">
        <v>154</v>
      </c>
      <c r="AL126" s="24" t="s">
        <v>254</v>
      </c>
      <c r="AM126" s="24">
        <v>81</v>
      </c>
      <c r="AN126" s="25">
        <f>IF(fullvax[[#This Row],[2017]]/100=0, ,fullvax[[#This Row],[2017]]/100)</f>
        <v>0.81</v>
      </c>
      <c r="AV126" s="12" t="s">
        <v>174</v>
      </c>
      <c r="AW126" s="14" t="s">
        <v>23</v>
      </c>
      <c r="AX126" s="41">
        <f>VLOOKUP(all_cause_mort[[#This Row],[Country]],[1]!populations[#Data],9,FALSE)*VLOOKUP(all_cause_mort[[#This Row],[Country]],[1]!birthrate[#Data],3,FALSE)</f>
        <v>730.55399999999997</v>
      </c>
      <c r="BU126" s="39" t="e">
        <f>VLOOKUP(all_cause_mort[[#This Row],[Country]],[2]!regions[#Data],3,FALSE)</f>
        <v>#REF!</v>
      </c>
    </row>
    <row r="127" spans="1:73" x14ac:dyDescent="0.35">
      <c r="A127" t="s">
        <v>121</v>
      </c>
      <c r="B127">
        <v>2998083</v>
      </c>
      <c r="C127">
        <v>3191051</v>
      </c>
      <c r="D127">
        <v>3395556</v>
      </c>
      <c r="E127">
        <v>3598385</v>
      </c>
      <c r="F127">
        <v>3782450</v>
      </c>
      <c r="G127">
        <v>3935794</v>
      </c>
      <c r="H127">
        <v>4052584</v>
      </c>
      <c r="I127">
        <v>4136528</v>
      </c>
      <c r="K127" t="s">
        <v>121</v>
      </c>
      <c r="L127">
        <v>16.416</v>
      </c>
      <c r="M127">
        <f>birthrate[[#This Row],[2016]]/1000</f>
        <v>1.6416E-2</v>
      </c>
      <c r="O127" t="s">
        <v>172</v>
      </c>
      <c r="P127">
        <v>98.7</v>
      </c>
      <c r="Q127">
        <f>facility[[#This Row],[Facility (%)]]/100</f>
        <v>0.98699999999999999</v>
      </c>
      <c r="S127" t="s">
        <v>162</v>
      </c>
      <c r="T127">
        <v>2016</v>
      </c>
      <c r="U127">
        <v>40</v>
      </c>
      <c r="V127">
        <f>SBA[[#This Row],[SBA (%)]]/100</f>
        <v>0.4</v>
      </c>
      <c r="X127" s="10" t="s">
        <v>187</v>
      </c>
      <c r="Y127" s="10" t="s">
        <v>256</v>
      </c>
      <c r="Z127" s="21">
        <v>0.01</v>
      </c>
      <c r="AA127" s="21">
        <v>4.0000000000000001E-3</v>
      </c>
      <c r="AB127" s="21">
        <v>1.0999999999999999E-2</v>
      </c>
      <c r="AC127" s="30">
        <v>2066748</v>
      </c>
      <c r="AD127" s="27">
        <v>5.1020408163265267E-4</v>
      </c>
      <c r="AF127" s="24" t="s">
        <v>155</v>
      </c>
      <c r="AG127" s="24" t="s">
        <v>253</v>
      </c>
      <c r="AH127" s="24">
        <v>30</v>
      </c>
      <c r="AI127" s="25">
        <f>IF(birthdose[[#This Row],[2017]]/100=0, ,birthdose[[#This Row],[2017]]/100)</f>
        <v>0.3</v>
      </c>
      <c r="AK127" s="24" t="s">
        <v>155</v>
      </c>
      <c r="AL127" s="24" t="s">
        <v>254</v>
      </c>
      <c r="AM127" s="24">
        <v>42</v>
      </c>
      <c r="AN127" s="25">
        <f>IF(fullvax[[#This Row],[2017]]/100=0, ,fullvax[[#This Row],[2017]]/100)</f>
        <v>0.42</v>
      </c>
      <c r="AV127" s="8" t="s">
        <v>175</v>
      </c>
      <c r="AW127" s="11" t="s">
        <v>23</v>
      </c>
      <c r="AX127" s="41">
        <f>VLOOKUP(all_cause_mort[[#This Row],[Country]],[1]!populations[#Data],9,FALSE)*VLOOKUP(all_cause_mort[[#This Row],[Country]],[1]!birthrate[#Data],3,FALSE)</f>
        <v>2165.4431520000003</v>
      </c>
      <c r="AY127">
        <f>VLOOKUP(all_cause_mort[[Country]:[Country]],'[1]Mortality Data'!$A$2:$W$201,2,FALSE)</f>
        <v>1.2635176E-2</v>
      </c>
      <c r="AZ127">
        <f>VLOOKUP(all_cause_mort[[Country]:[Country]],'[1]Mortality Data'!$A$2:$W$201,3,FALSE)</f>
        <v>9.2521200000000002E-4</v>
      </c>
      <c r="BA127">
        <f>VLOOKUP(all_cause_mort[[Country]:[Country]],'[1]Mortality Data'!$A$2:$W$201,4,FALSE)</f>
        <v>3.3770734999999998E-4</v>
      </c>
      <c r="BB127">
        <f>VLOOKUP(all_cause_mort[[Country]:[Country]],'[1]Mortality Data'!$A$2:$W$201,5,FALSE)</f>
        <v>3.1369895E-4</v>
      </c>
      <c r="BC127">
        <f>VLOOKUP(all_cause_mort[[Country]:[Country]],'[1]Mortality Data'!$A$2:$W$201,6,FALSE)</f>
        <v>7.4183444E-4</v>
      </c>
      <c r="BD127">
        <f>VLOOKUP(all_cause_mort[[Country]:[Country]],'[1]Mortality Data'!$A$2:$W$201,7,FALSE)</f>
        <v>1.0129577999999999E-3</v>
      </c>
      <c r="BE127">
        <f>VLOOKUP(all_cause_mort[[Country]:[Country]],'[1]Mortality Data'!$A$2:$W$201,8,FALSE)</f>
        <v>1.0756056999999999E-3</v>
      </c>
      <c r="BF127">
        <f>VLOOKUP(all_cause_mort[[Country]:[Country]],'[1]Mortality Data'!$A$2:$W$201,9,FALSE)</f>
        <v>1.2922591000000001E-3</v>
      </c>
      <c r="BG127">
        <f>VLOOKUP(all_cause_mort[[Country]:[Country]],'[1]Mortality Data'!$A$2:$W$201,10,FALSE)</f>
        <v>1.7795374E-3</v>
      </c>
      <c r="BH127">
        <f>VLOOKUP(all_cause_mort[[Country]:[Country]],'[1]Mortality Data'!$A$2:$W$201,11,FALSE)</f>
        <v>2.6343921999999998E-3</v>
      </c>
      <c r="BI127">
        <f>VLOOKUP(all_cause_mort[[Country]:[Country]],'[1]Mortality Data'!$A$2:$W$201,12,FALSE)</f>
        <v>4.1353350000000004E-3</v>
      </c>
      <c r="BJ127">
        <f>VLOOKUP(all_cause_mort[[Country]:[Country]],'[1]Mortality Data'!$A$2:$W$201,13,FALSE)</f>
        <v>6.5300319000000003E-3</v>
      </c>
      <c r="BK127">
        <f>VLOOKUP(all_cause_mort[[Country]:[Country]],'[1]Mortality Data'!$A$2:$W$201,14,FALSE)</f>
        <v>1.0217173E-2</v>
      </c>
      <c r="BL127">
        <f>VLOOKUP(all_cause_mort[[Country]:[Country]],'[1]Mortality Data'!$A$2:$W$201,15,FALSE)</f>
        <v>1.2982967E-2</v>
      </c>
      <c r="BM127">
        <f>VLOOKUP(all_cause_mort[[Country]:[Country]],'[1]Mortality Data'!$A$2:$W$201,16,FALSE)</f>
        <v>1.6715843000000001E-2</v>
      </c>
      <c r="BN127">
        <f>VLOOKUP(all_cause_mort[[Country]:[Country]],'[1]Mortality Data'!$A$2:$W$201,17,FALSE)</f>
        <v>2.4874704000000001E-2</v>
      </c>
      <c r="BO127">
        <f>VLOOKUP(all_cause_mort[[Country]:[Country]],'[1]Mortality Data'!$A$2:$W$201,18,FALSE)</f>
        <v>4.3315355E-2</v>
      </c>
      <c r="BP127">
        <f>VLOOKUP(all_cause_mort[[Country]:[Country]],'[1]Mortality Data'!$A$2:$W$201,19,FALSE)</f>
        <v>7.3372701999999998E-2</v>
      </c>
      <c r="BQ127">
        <f>VLOOKUP(all_cause_mort[[Country]:[Country]],'[1]Mortality Data'!$A$2:$W$201,20,FALSE)</f>
        <v>0.12041904</v>
      </c>
      <c r="BR127">
        <f>VLOOKUP(all_cause_mort[[Country]:[Country]],'[1]Mortality Data'!$A$2:$W$201,21,FALSE)</f>
        <v>0.18248128</v>
      </c>
      <c r="BS127">
        <f>VLOOKUP(all_cause_mort[[Country]:[Country]],'[1]Mortality Data'!$A$2:$W$201,22,FALSE)</f>
        <v>0.25413714999999998</v>
      </c>
      <c r="BT127">
        <f>VLOOKUP(all_cause_mort[[Country]:[Country]],'[1]Mortality Data'!$A$2:$W$201,23,FALSE)</f>
        <v>0.33605463656934498</v>
      </c>
      <c r="BU127" s="39" t="e">
        <f>VLOOKUP(all_cause_mort[[#This Row],[Country]],[2]!regions[#Data],3,FALSE)</f>
        <v>#REF!</v>
      </c>
    </row>
    <row r="128" spans="1:73" x14ac:dyDescent="0.35">
      <c r="A128" t="s">
        <v>328</v>
      </c>
      <c r="B128">
        <v>524870761</v>
      </c>
      <c r="C128">
        <v>531283625</v>
      </c>
      <c r="D128">
        <v>537645733</v>
      </c>
      <c r="E128">
        <v>543940758</v>
      </c>
      <c r="F128">
        <v>550149862</v>
      </c>
      <c r="G128">
        <v>556257851</v>
      </c>
      <c r="H128">
        <v>562254848</v>
      </c>
      <c r="I128">
        <v>568136842</v>
      </c>
      <c r="K128" t="s">
        <v>328</v>
      </c>
      <c r="L128">
        <v>16.987515393173737</v>
      </c>
      <c r="M128">
        <f>birthrate[[#This Row],[2016]]/1000</f>
        <v>1.6987515393173738E-2</v>
      </c>
      <c r="O128" t="s">
        <v>173</v>
      </c>
      <c r="P128">
        <v>90.7</v>
      </c>
      <c r="Q128">
        <f>facility[[#This Row],[Facility (%)]]/100</f>
        <v>0.90700000000000003</v>
      </c>
      <c r="S128" t="s">
        <v>163</v>
      </c>
      <c r="T128" t="s">
        <v>263</v>
      </c>
      <c r="U128">
        <v>95.5</v>
      </c>
      <c r="V128">
        <f>SBA[[#This Row],[SBA (%)]]/100</f>
        <v>0.95499999999999996</v>
      </c>
      <c r="X128" s="13" t="s">
        <v>188</v>
      </c>
      <c r="Y128" s="13" t="s">
        <v>252</v>
      </c>
      <c r="Z128" s="26">
        <v>0.1883</v>
      </c>
      <c r="AA128" s="26">
        <v>0.1757</v>
      </c>
      <c r="AB128" s="26">
        <v>0.20150000000000001</v>
      </c>
      <c r="AC128" s="31">
        <v>527790</v>
      </c>
      <c r="AD128" s="27">
        <v>6.7346938775510292E-3</v>
      </c>
      <c r="AF128" s="24" t="s">
        <v>156</v>
      </c>
      <c r="AG128" s="24" t="s">
        <v>253</v>
      </c>
      <c r="AH128" s="24">
        <v>84</v>
      </c>
      <c r="AI128" s="25">
        <f>IF(birthdose[[#This Row],[2017]]/100=0, ,birthdose[[#This Row],[2017]]/100)</f>
        <v>0.84</v>
      </c>
      <c r="AK128" s="24" t="s">
        <v>156</v>
      </c>
      <c r="AL128" s="24" t="s">
        <v>254</v>
      </c>
      <c r="AM128" s="24">
        <v>99</v>
      </c>
      <c r="AN128" s="25">
        <f>IF(fullvax[[#This Row],[2017]]/100=0, ,fullvax[[#This Row],[2017]]/100)</f>
        <v>0.99</v>
      </c>
      <c r="AV128" s="12" t="s">
        <v>176</v>
      </c>
      <c r="AW128" s="14" t="s">
        <v>23</v>
      </c>
      <c r="AX128" s="41">
        <f>VLOOKUP(all_cause_mort[[#This Row],[Country]],[1]!populations[#Data],9,FALSE)*VLOOKUP(all_cause_mort[[#This Row],[Country]],[1]!birthrate[#Data],3,FALSE)</f>
        <v>1704.172779</v>
      </c>
      <c r="AY128">
        <f>VLOOKUP(all_cause_mort[[Country]:[Country]],'[1]Mortality Data'!$A$2:$W$201,2,FALSE)</f>
        <v>1.4862032000000001E-2</v>
      </c>
      <c r="AZ128">
        <f>VLOOKUP(all_cause_mort[[Country]:[Country]],'[1]Mortality Data'!$A$2:$W$201,3,FALSE)</f>
        <v>3.404956E-4</v>
      </c>
      <c r="BA128">
        <f>VLOOKUP(all_cause_mort[[Country]:[Country]],'[1]Mortality Data'!$A$2:$W$201,4,FALSE)</f>
        <v>4.2683378999999999E-4</v>
      </c>
      <c r="BB128">
        <f>VLOOKUP(all_cause_mort[[Country]:[Country]],'[1]Mortality Data'!$A$2:$W$201,5,FALSE)</f>
        <v>4.1188520999999999E-4</v>
      </c>
      <c r="BC128">
        <f>VLOOKUP(all_cause_mort[[Country]:[Country]],'[1]Mortality Data'!$A$2:$W$201,6,FALSE)</f>
        <v>1.0006774999999999E-3</v>
      </c>
      <c r="BD128">
        <f>VLOOKUP(all_cause_mort[[Country]:[Country]],'[1]Mortality Data'!$A$2:$W$201,7,FALSE)</f>
        <v>1.4096149000000001E-3</v>
      </c>
      <c r="BE128">
        <f>VLOOKUP(all_cause_mort[[Country]:[Country]],'[1]Mortality Data'!$A$2:$W$201,8,FALSE)</f>
        <v>1.536681E-3</v>
      </c>
      <c r="BF128">
        <f>VLOOKUP(all_cause_mort[[Country]:[Country]],'[1]Mortality Data'!$A$2:$W$201,9,FALSE)</f>
        <v>1.8326064E-3</v>
      </c>
      <c r="BG128">
        <f>VLOOKUP(all_cause_mort[[Country]:[Country]],'[1]Mortality Data'!$A$2:$W$201,10,FALSE)</f>
        <v>2.4444193999999999E-3</v>
      </c>
      <c r="BH128">
        <f>VLOOKUP(all_cause_mort[[Country]:[Country]],'[1]Mortality Data'!$A$2:$W$201,11,FALSE)</f>
        <v>3.5001016E-3</v>
      </c>
      <c r="BI128">
        <f>VLOOKUP(all_cause_mort[[Country]:[Country]],'[1]Mortality Data'!$A$2:$W$201,12,FALSE)</f>
        <v>5.2736989000000001E-3</v>
      </c>
      <c r="BJ128">
        <f>VLOOKUP(all_cause_mort[[Country]:[Country]],'[1]Mortality Data'!$A$2:$W$201,13,FALSE)</f>
        <v>7.9972917000000008E-3</v>
      </c>
      <c r="BK128">
        <f>VLOOKUP(all_cause_mort[[Country]:[Country]],'[1]Mortality Data'!$A$2:$W$201,14,FALSE)</f>
        <v>1.2145157E-2</v>
      </c>
      <c r="BL128">
        <f>VLOOKUP(all_cause_mort[[Country]:[Country]],'[1]Mortality Data'!$A$2:$W$201,15,FALSE)</f>
        <v>1.7280294000000002E-2</v>
      </c>
      <c r="BM128">
        <f>VLOOKUP(all_cause_mort[[Country]:[Country]],'[1]Mortality Data'!$A$2:$W$201,16,FALSE)</f>
        <v>2.4563299E-2</v>
      </c>
      <c r="BN128">
        <f>VLOOKUP(all_cause_mort[[Country]:[Country]],'[1]Mortality Data'!$A$2:$W$201,17,FALSE)</f>
        <v>3.7452007000000002E-2</v>
      </c>
      <c r="BO128">
        <f>VLOOKUP(all_cause_mort[[Country]:[Country]],'[1]Mortality Data'!$A$2:$W$201,18,FALSE)</f>
        <v>6.1087258999999998E-2</v>
      </c>
      <c r="BP128">
        <f>VLOOKUP(all_cause_mort[[Country]:[Country]],'[1]Mortality Data'!$A$2:$W$201,19,FALSE)</f>
        <v>9.9393161999999993E-2</v>
      </c>
      <c r="BQ128">
        <f>VLOOKUP(all_cause_mort[[Country]:[Country]],'[1]Mortality Data'!$A$2:$W$201,20,FALSE)</f>
        <v>0.15928957999999999</v>
      </c>
      <c r="BR128">
        <f>VLOOKUP(all_cause_mort[[Country]:[Country]],'[1]Mortality Data'!$A$2:$W$201,21,FALSE)</f>
        <v>0.24279701000000001</v>
      </c>
      <c r="BS128">
        <f>VLOOKUP(all_cause_mort[[Country]:[Country]],'[1]Mortality Data'!$A$2:$W$201,22,FALSE)</f>
        <v>0.35271546999999998</v>
      </c>
      <c r="BT128">
        <f>VLOOKUP(all_cause_mort[[Country]:[Country]],'[1]Mortality Data'!$A$2:$W$201,23,FALSE)</f>
        <v>0.48479397637666799</v>
      </c>
      <c r="BU128" s="39" t="e">
        <f>VLOOKUP(all_cause_mort[[#This Row],[Country]],[2]!regions[#Data],3,FALSE)</f>
        <v>#REF!</v>
      </c>
    </row>
    <row r="129" spans="1:73" x14ac:dyDescent="0.35">
      <c r="A129" s="8" t="s">
        <v>123</v>
      </c>
      <c r="B129">
        <v>6246274</v>
      </c>
      <c r="C129">
        <v>6333487</v>
      </c>
      <c r="D129">
        <v>6415169</v>
      </c>
      <c r="E129">
        <v>6494557</v>
      </c>
      <c r="F129">
        <v>6576397</v>
      </c>
      <c r="G129">
        <v>6663967</v>
      </c>
      <c r="H129">
        <v>6758353</v>
      </c>
      <c r="I129">
        <v>6858160</v>
      </c>
      <c r="K129" s="8" t="s">
        <v>123</v>
      </c>
      <c r="L129">
        <v>23.85</v>
      </c>
      <c r="M129">
        <f>birthrate[[#This Row],[2016]]/1000</f>
        <v>2.3850000000000003E-2</v>
      </c>
      <c r="O129" t="s">
        <v>175</v>
      </c>
      <c r="P129">
        <v>99.99</v>
      </c>
      <c r="Q129">
        <f>facility[[#This Row],[Facility (%)]]/100</f>
        <v>0.9998999999999999</v>
      </c>
      <c r="S129" t="s">
        <v>164</v>
      </c>
      <c r="T129" t="s">
        <v>265</v>
      </c>
      <c r="U129">
        <v>92.4</v>
      </c>
      <c r="V129">
        <f>SBA[[#This Row],[SBA (%)]]/100</f>
        <v>0.92400000000000004</v>
      </c>
      <c r="X129" s="10" t="s">
        <v>189</v>
      </c>
      <c r="Y129" s="10" t="s">
        <v>252</v>
      </c>
      <c r="Z129" s="21">
        <v>0.1477</v>
      </c>
      <c r="AA129" s="21">
        <v>0.13769999999999999</v>
      </c>
      <c r="AB129" s="21">
        <v>0.15840000000000001</v>
      </c>
      <c r="AC129" s="31">
        <v>12053223</v>
      </c>
      <c r="AD129" s="27">
        <v>5.459183673469396E-3</v>
      </c>
      <c r="AF129" s="24" t="s">
        <v>157</v>
      </c>
      <c r="AG129" s="24" t="s">
        <v>253</v>
      </c>
      <c r="AH129" s="24"/>
      <c r="AI129" s="25">
        <f>IF(birthdose[[#This Row],[2017]]/100=0, ,birthdose[[#This Row],[2017]]/100)</f>
        <v>0</v>
      </c>
      <c r="AK129" s="24" t="s">
        <v>157</v>
      </c>
      <c r="AL129" s="24" t="s">
        <v>254</v>
      </c>
      <c r="AM129" s="24"/>
      <c r="AN129" s="25">
        <f>IF(fullvax[[#This Row],[2017]]/100=0, ,fullvax[[#This Row],[2017]]/100)</f>
        <v>0</v>
      </c>
      <c r="AV129" s="8" t="s">
        <v>177</v>
      </c>
      <c r="AW129" s="11" t="s">
        <v>58</v>
      </c>
      <c r="AX129" s="41">
        <f>VLOOKUP(all_cause_mort[[#This Row],[Country]],[1]!populations[#Data],9,FALSE)*VLOOKUP(all_cause_mort[[#This Row],[Country]],[1]!birthrate[#Data],3,FALSE)</f>
        <v>4849.9071599999997</v>
      </c>
      <c r="AY129">
        <f>VLOOKUP(all_cause_mort[[Country]:[Country]],'[1]Mortality Data'!$A$2:$W$201,2,FALSE)</f>
        <v>1.3619459E-2</v>
      </c>
      <c r="AZ129">
        <f>VLOOKUP(all_cause_mort[[Country]:[Country]],'[1]Mortality Data'!$A$2:$W$201,3,FALSE)</f>
        <v>6.9369883999999998E-4</v>
      </c>
      <c r="BA129">
        <f>VLOOKUP(all_cause_mort[[Country]:[Country]],'[1]Mortality Data'!$A$2:$W$201,4,FALSE)</f>
        <v>2.7290753999999998E-4</v>
      </c>
      <c r="BB129">
        <f>VLOOKUP(all_cause_mort[[Country]:[Country]],'[1]Mortality Data'!$A$2:$W$201,5,FALSE)</f>
        <v>2.4881863000000002E-4</v>
      </c>
      <c r="BC129">
        <f>VLOOKUP(all_cause_mort[[Country]:[Country]],'[1]Mortality Data'!$A$2:$W$201,6,FALSE)</f>
        <v>5.7707774999999999E-4</v>
      </c>
      <c r="BD129">
        <f>VLOOKUP(all_cause_mort[[Country]:[Country]],'[1]Mortality Data'!$A$2:$W$201,7,FALSE)</f>
        <v>7.5020697999999999E-4</v>
      </c>
      <c r="BE129">
        <f>VLOOKUP(all_cause_mort[[Country]:[Country]],'[1]Mortality Data'!$A$2:$W$201,8,FALSE)</f>
        <v>7.6786260999999996E-4</v>
      </c>
      <c r="BF129">
        <f>VLOOKUP(all_cause_mort[[Country]:[Country]],'[1]Mortality Data'!$A$2:$W$201,9,FALSE)</f>
        <v>9.2014482999999995E-4</v>
      </c>
      <c r="BG129">
        <f>VLOOKUP(all_cause_mort[[Country]:[Country]],'[1]Mortality Data'!$A$2:$W$201,10,FALSE)</f>
        <v>1.2895789000000001E-3</v>
      </c>
      <c r="BH129">
        <f>VLOOKUP(all_cause_mort[[Country]:[Country]],'[1]Mortality Data'!$A$2:$W$201,11,FALSE)</f>
        <v>1.9906466000000002E-3</v>
      </c>
      <c r="BI129">
        <f>VLOOKUP(all_cause_mort[[Country]:[Country]],'[1]Mortality Data'!$A$2:$W$201,12,FALSE)</f>
        <v>3.2896677999999999E-3</v>
      </c>
      <c r="BJ129">
        <f>VLOOKUP(all_cause_mort[[Country]:[Country]],'[1]Mortality Data'!$A$2:$W$201,13,FALSE)</f>
        <v>5.3850284000000002E-3</v>
      </c>
      <c r="BK129">
        <f>VLOOKUP(all_cause_mort[[Country]:[Country]],'[1]Mortality Data'!$A$2:$W$201,14,FALSE)</f>
        <v>8.7768015000000005E-3</v>
      </c>
      <c r="BL129">
        <f>VLOOKUP(all_cause_mort[[Country]:[Country]],'[1]Mortality Data'!$A$2:$W$201,15,FALSE)</f>
        <v>1.5764291E-2</v>
      </c>
      <c r="BM129">
        <f>VLOOKUP(all_cause_mort[[Country]:[Country]],'[1]Mortality Data'!$A$2:$W$201,16,FALSE)</f>
        <v>2.8201343E-2</v>
      </c>
      <c r="BN129">
        <f>VLOOKUP(all_cause_mort[[Country]:[Country]],'[1]Mortality Data'!$A$2:$W$201,17,FALSE)</f>
        <v>4.8257095E-2</v>
      </c>
      <c r="BO129">
        <f>VLOOKUP(all_cause_mort[[Country]:[Country]],'[1]Mortality Data'!$A$2:$W$201,18,FALSE)</f>
        <v>8.0932924000000003E-2</v>
      </c>
      <c r="BP129">
        <f>VLOOKUP(all_cause_mort[[Country]:[Country]],'[1]Mortality Data'!$A$2:$W$201,19,FALSE)</f>
        <v>0.13405503999999999</v>
      </c>
      <c r="BQ129">
        <f>VLOOKUP(all_cause_mort[[Country]:[Country]],'[1]Mortality Data'!$A$2:$W$201,20,FALSE)</f>
        <v>0.21751577</v>
      </c>
      <c r="BR129">
        <f>VLOOKUP(all_cause_mort[[Country]:[Country]],'[1]Mortality Data'!$A$2:$W$201,21,FALSE)</f>
        <v>0.33408251</v>
      </c>
      <c r="BS129">
        <f>VLOOKUP(all_cause_mort[[Country]:[Country]],'[1]Mortality Data'!$A$2:$W$201,22,FALSE)</f>
        <v>0.48425148000000001</v>
      </c>
      <c r="BT129">
        <f>VLOOKUP(all_cause_mort[[Country]:[Country]],'[1]Mortality Data'!$A$2:$W$201,23,FALSE)</f>
        <v>0.66030855558493895</v>
      </c>
      <c r="BU129" s="39" t="e">
        <f>VLOOKUP(all_cause_mort[[#This Row],[Country]],[2]!regions[#Data],3,FALSE)</f>
        <v>#REF!</v>
      </c>
    </row>
    <row r="130" spans="1:73" x14ac:dyDescent="0.35">
      <c r="A130" t="s">
        <v>125</v>
      </c>
      <c r="B130">
        <v>4337141</v>
      </c>
      <c r="C130">
        <v>4588368</v>
      </c>
      <c r="D130">
        <v>4916404</v>
      </c>
      <c r="E130">
        <v>5276102</v>
      </c>
      <c r="F130">
        <v>5603279</v>
      </c>
      <c r="G130">
        <v>5851479</v>
      </c>
      <c r="H130">
        <v>6006668</v>
      </c>
      <c r="I130">
        <v>6082357</v>
      </c>
      <c r="K130" t="s">
        <v>125</v>
      </c>
      <c r="L130">
        <v>15.47</v>
      </c>
      <c r="M130">
        <f>birthrate[[#This Row],[2016]]/1000</f>
        <v>1.5470000000000001E-2</v>
      </c>
      <c r="O130" t="s">
        <v>177</v>
      </c>
      <c r="P130">
        <v>81.900000000000006</v>
      </c>
      <c r="Q130">
        <f>facility[[#This Row],[Facility (%)]]/100</f>
        <v>0.81900000000000006</v>
      </c>
      <c r="S130" t="s">
        <v>165</v>
      </c>
      <c r="T130" t="s">
        <v>293</v>
      </c>
      <c r="U130">
        <v>72.8</v>
      </c>
      <c r="V130">
        <f>SBA[[#This Row],[SBA (%)]]/100</f>
        <v>0.72799999999999998</v>
      </c>
      <c r="X130" s="13" t="s">
        <v>190</v>
      </c>
      <c r="Y130" s="13" t="s">
        <v>252</v>
      </c>
      <c r="Z130" s="26">
        <v>6.7000000000000004E-2</v>
      </c>
      <c r="AA130" s="26">
        <v>6.5600000000000006E-2</v>
      </c>
      <c r="AB130" s="26">
        <v>6.83E-2</v>
      </c>
      <c r="AC130" s="31">
        <v>51584663</v>
      </c>
      <c r="AD130" s="27">
        <v>6.6326530612244674E-4</v>
      </c>
      <c r="AF130" s="24" t="s">
        <v>158</v>
      </c>
      <c r="AG130" s="24" t="s">
        <v>253</v>
      </c>
      <c r="AH130" s="24">
        <v>99</v>
      </c>
      <c r="AI130" s="25">
        <f>IF(birthdose[[#This Row],[2017]]/100=0, ,birthdose[[#This Row],[2017]]/100)</f>
        <v>0.99</v>
      </c>
      <c r="AK130" s="24" t="s">
        <v>158</v>
      </c>
      <c r="AL130" s="24" t="s">
        <v>254</v>
      </c>
      <c r="AM130" s="24">
        <v>99</v>
      </c>
      <c r="AN130" s="25">
        <f>IF(fullvax[[#This Row],[2017]]/100=0, ,fullvax[[#This Row],[2017]]/100)</f>
        <v>0.99</v>
      </c>
      <c r="AV130" s="8" t="s">
        <v>179</v>
      </c>
      <c r="AW130" s="11" t="s">
        <v>15</v>
      </c>
      <c r="AX130" s="41">
        <f>VLOOKUP(all_cause_mort[[#This Row],[Country]],[1]!populations[#Data],9,FALSE)*VLOOKUP(all_cause_mort[[#This Row],[Country]],[1]!birthrate[#Data],3,FALSE)</f>
        <v>6913.1997180000008</v>
      </c>
      <c r="AY130">
        <f>VLOOKUP(all_cause_mort[[Country]:[Country]],'[1]Mortality Data'!$A$2:$W$201,2,FALSE)</f>
        <v>2.7059248000000001E-2</v>
      </c>
      <c r="AZ130">
        <f>VLOOKUP(all_cause_mort[[Country]:[Country]],'[1]Mortality Data'!$A$2:$W$201,3,FALSE)</f>
        <v>1.5256554E-3</v>
      </c>
      <c r="BA130">
        <f>VLOOKUP(all_cause_mort[[Country]:[Country]],'[1]Mortality Data'!$A$2:$W$201,4,FALSE)</f>
        <v>5.9281853999999996E-4</v>
      </c>
      <c r="BB130">
        <f>VLOOKUP(all_cause_mort[[Country]:[Country]],'[1]Mortality Data'!$A$2:$W$201,5,FALSE)</f>
        <v>4.9451753999999999E-4</v>
      </c>
      <c r="BC130">
        <f>VLOOKUP(all_cause_mort[[Country]:[Country]],'[1]Mortality Data'!$A$2:$W$201,6,FALSE)</f>
        <v>9.7242830999999996E-4</v>
      </c>
      <c r="BD130">
        <f>VLOOKUP(all_cause_mort[[Country]:[Country]],'[1]Mortality Data'!$A$2:$W$201,7,FALSE)</f>
        <v>1.2764427E-3</v>
      </c>
      <c r="BE130">
        <f>VLOOKUP(all_cause_mort[[Country]:[Country]],'[1]Mortality Data'!$A$2:$W$201,8,FALSE)</f>
        <v>1.3534716E-3</v>
      </c>
      <c r="BF130">
        <f>VLOOKUP(all_cause_mort[[Country]:[Country]],'[1]Mortality Data'!$A$2:$W$201,9,FALSE)</f>
        <v>1.6131747E-3</v>
      </c>
      <c r="BG130">
        <f>VLOOKUP(all_cause_mort[[Country]:[Country]],'[1]Mortality Data'!$A$2:$W$201,10,FALSE)</f>
        <v>2.1734437E-3</v>
      </c>
      <c r="BH130">
        <f>VLOOKUP(all_cause_mort[[Country]:[Country]],'[1]Mortality Data'!$A$2:$W$201,11,FALSE)</f>
        <v>3.1177086000000001E-3</v>
      </c>
      <c r="BI130">
        <f>VLOOKUP(all_cause_mort[[Country]:[Country]],'[1]Mortality Data'!$A$2:$W$201,12,FALSE)</f>
        <v>4.7895207999999996E-3</v>
      </c>
      <c r="BJ130">
        <f>VLOOKUP(all_cause_mort[[Country]:[Country]],'[1]Mortality Data'!$A$2:$W$201,13,FALSE)</f>
        <v>7.4343227E-3</v>
      </c>
      <c r="BK130">
        <f>VLOOKUP(all_cause_mort[[Country]:[Country]],'[1]Mortality Data'!$A$2:$W$201,14,FALSE)</f>
        <v>1.1605492E-2</v>
      </c>
      <c r="BL130">
        <f>VLOOKUP(all_cause_mort[[Country]:[Country]],'[1]Mortality Data'!$A$2:$W$201,15,FALSE)</f>
        <v>1.8499109999999999E-2</v>
      </c>
      <c r="BM130">
        <f>VLOOKUP(all_cause_mort[[Country]:[Country]],'[1]Mortality Data'!$A$2:$W$201,16,FALSE)</f>
        <v>2.9826255999999999E-2</v>
      </c>
      <c r="BN130">
        <f>VLOOKUP(all_cause_mort[[Country]:[Country]],'[1]Mortality Data'!$A$2:$W$201,17,FALSE)</f>
        <v>4.8686436E-2</v>
      </c>
      <c r="BO130">
        <f>VLOOKUP(all_cause_mort[[Country]:[Country]],'[1]Mortality Data'!$A$2:$W$201,18,FALSE)</f>
        <v>7.9508494999999998E-2</v>
      </c>
      <c r="BP130">
        <f>VLOOKUP(all_cause_mort[[Country]:[Country]],'[1]Mortality Data'!$A$2:$W$201,19,FALSE)</f>
        <v>0.12702053999999999</v>
      </c>
      <c r="BQ130">
        <f>VLOOKUP(all_cause_mort[[Country]:[Country]],'[1]Mortality Data'!$A$2:$W$201,20,FALSE)</f>
        <v>0.19783127</v>
      </c>
      <c r="BR130">
        <f>VLOOKUP(all_cause_mort[[Country]:[Country]],'[1]Mortality Data'!$A$2:$W$201,21,FALSE)</f>
        <v>0.29238006999999999</v>
      </c>
      <c r="BS130">
        <f>VLOOKUP(all_cause_mort[[Country]:[Country]],'[1]Mortality Data'!$A$2:$W$201,22,FALSE)</f>
        <v>0.41454090999999998</v>
      </c>
      <c r="BT130">
        <f>VLOOKUP(all_cause_mort[[Country]:[Country]],'[1]Mortality Data'!$A$2:$W$201,23,FALSE)</f>
        <v>0.55323917387007104</v>
      </c>
      <c r="BU130" s="39" t="e">
        <f>VLOOKUP(all_cause_mort[[#This Row],[Country]],[2]!regions[#Data],3,FALSE)</f>
        <v>#REF!</v>
      </c>
    </row>
    <row r="131" spans="1:73" x14ac:dyDescent="0.35">
      <c r="A131" t="s">
        <v>127</v>
      </c>
      <c r="B131">
        <v>3948125</v>
      </c>
      <c r="C131">
        <v>4070167</v>
      </c>
      <c r="D131">
        <v>4181563</v>
      </c>
      <c r="E131">
        <v>4286291</v>
      </c>
      <c r="F131">
        <v>4390737</v>
      </c>
      <c r="G131">
        <v>4499621</v>
      </c>
      <c r="H131">
        <v>4613823</v>
      </c>
      <c r="I131">
        <v>4731906</v>
      </c>
      <c r="K131" t="s">
        <v>127</v>
      </c>
      <c r="L131">
        <v>34.317999999999998</v>
      </c>
      <c r="M131">
        <f>birthrate[[#This Row],[2016]]/1000</f>
        <v>3.4318000000000001E-2</v>
      </c>
      <c r="O131" t="s">
        <v>179</v>
      </c>
      <c r="P131">
        <v>91</v>
      </c>
      <c r="Q131">
        <f>facility[[#This Row],[Facility (%)]]/100</f>
        <v>0.91</v>
      </c>
      <c r="S131" t="s">
        <v>166</v>
      </c>
      <c r="T131">
        <v>2016</v>
      </c>
      <c r="U131">
        <v>99.8</v>
      </c>
      <c r="V131">
        <f>SBA[[#This Row],[SBA (%)]]/100</f>
        <v>0.998</v>
      </c>
      <c r="X131" s="10" t="s">
        <v>191</v>
      </c>
      <c r="Y131" s="10" t="s">
        <v>252</v>
      </c>
      <c r="Z131" s="21">
        <v>0.2238</v>
      </c>
      <c r="AA131" s="21">
        <v>0.20100000000000001</v>
      </c>
      <c r="AB131" s="21">
        <v>0.24829999999999999</v>
      </c>
      <c r="AC131" s="31">
        <v>10067192</v>
      </c>
      <c r="AD131" s="27">
        <v>1.2499999999999997E-2</v>
      </c>
      <c r="AF131" s="24" t="s">
        <v>159</v>
      </c>
      <c r="AG131" s="24" t="s">
        <v>253</v>
      </c>
      <c r="AH131" s="24"/>
      <c r="AI131" s="25">
        <f>IF(birthdose[[#This Row],[2017]]/100=0, ,birthdose[[#This Row],[2017]]/100)</f>
        <v>0</v>
      </c>
      <c r="AK131" s="24" t="s">
        <v>159</v>
      </c>
      <c r="AL131" s="24" t="s">
        <v>254</v>
      </c>
      <c r="AM131" s="24">
        <v>75</v>
      </c>
      <c r="AN131" s="25">
        <f>IF(fullvax[[#This Row],[2017]]/100=0, ,fullvax[[#This Row],[2017]]/100)</f>
        <v>0.75</v>
      </c>
      <c r="AV131" s="12" t="s">
        <v>180</v>
      </c>
      <c r="AW131" s="14" t="s">
        <v>7</v>
      </c>
      <c r="AX131" s="41">
        <f>VLOOKUP(all_cause_mort[[#This Row],[Country]],[1]!populations[#Data],9,FALSE)*VLOOKUP(all_cause_mort[[#This Row],[Country]],[1]!birthrate[#Data],3,FALSE)</f>
        <v>644337.32270599995</v>
      </c>
      <c r="AY131">
        <f>VLOOKUP(all_cause_mort[[Country]:[Country]],'[1]Mortality Data'!$A$2:$W$201,2,FALSE)</f>
        <v>6.3419968999999998E-3</v>
      </c>
      <c r="AZ131">
        <f>VLOOKUP(all_cause_mort[[Country]:[Country]],'[1]Mortality Data'!$A$2:$W$201,3,FALSE)</f>
        <v>2.6451985000000003E-4</v>
      </c>
      <c r="BA131">
        <f>VLOOKUP(all_cause_mort[[Country]:[Country]],'[1]Mortality Data'!$A$2:$W$201,4,FALSE)</f>
        <v>5.4277182999999999E-4</v>
      </c>
      <c r="BB131">
        <f>VLOOKUP(all_cause_mort[[Country]:[Country]],'[1]Mortality Data'!$A$2:$W$201,5,FALSE)</f>
        <v>5.6212410000000003E-4</v>
      </c>
      <c r="BC131">
        <f>VLOOKUP(all_cause_mort[[Country]:[Country]],'[1]Mortality Data'!$A$2:$W$201,6,FALSE)</f>
        <v>8.9592507000000004E-4</v>
      </c>
      <c r="BD131">
        <f>VLOOKUP(all_cause_mort[[Country]:[Country]],'[1]Mortality Data'!$A$2:$W$201,7,FALSE)</f>
        <v>9.8567514999999993E-4</v>
      </c>
      <c r="BE131">
        <f>VLOOKUP(all_cause_mort[[Country]:[Country]],'[1]Mortality Data'!$A$2:$W$201,8,FALSE)</f>
        <v>6.0824421E-4</v>
      </c>
      <c r="BF131">
        <f>VLOOKUP(all_cause_mort[[Country]:[Country]],'[1]Mortality Data'!$A$2:$W$201,9,FALSE)</f>
        <v>5.2892651000000001E-4</v>
      </c>
      <c r="BG131">
        <f>VLOOKUP(all_cause_mort[[Country]:[Country]],'[1]Mortality Data'!$A$2:$W$201,10,FALSE)</f>
        <v>9.4709446999999996E-4</v>
      </c>
      <c r="BH131">
        <f>VLOOKUP(all_cause_mort[[Country]:[Country]],'[1]Mortality Data'!$A$2:$W$201,11,FALSE)</f>
        <v>1.7079094E-3</v>
      </c>
      <c r="BI131">
        <f>VLOOKUP(all_cause_mort[[Country]:[Country]],'[1]Mortality Data'!$A$2:$W$201,12,FALSE)</f>
        <v>2.1528374E-3</v>
      </c>
      <c r="BJ131">
        <f>VLOOKUP(all_cause_mort[[Country]:[Country]],'[1]Mortality Data'!$A$2:$W$201,13,FALSE)</f>
        <v>3.9719137999999999E-3</v>
      </c>
      <c r="BK131">
        <f>VLOOKUP(all_cause_mort[[Country]:[Country]],'[1]Mortality Data'!$A$2:$W$201,14,FALSE)</f>
        <v>6.2684940999999999E-3</v>
      </c>
      <c r="BL131">
        <f>VLOOKUP(all_cause_mort[[Country]:[Country]],'[1]Mortality Data'!$A$2:$W$201,15,FALSE)</f>
        <v>1.6787277999999999E-2</v>
      </c>
      <c r="BM131">
        <f>VLOOKUP(all_cause_mort[[Country]:[Country]],'[1]Mortality Data'!$A$2:$W$201,16,FALSE)</f>
        <v>2.4004711000000001E-2</v>
      </c>
      <c r="BN131">
        <f>VLOOKUP(all_cause_mort[[Country]:[Country]],'[1]Mortality Data'!$A$2:$W$201,17,FALSE)</f>
        <v>4.9622014999999998E-2</v>
      </c>
      <c r="BO131">
        <f>VLOOKUP(all_cause_mort[[Country]:[Country]],'[1]Mortality Data'!$A$2:$W$201,18,FALSE)</f>
        <v>6.6967876999999995E-2</v>
      </c>
      <c r="BP131">
        <f>VLOOKUP(all_cause_mort[[Country]:[Country]],'[1]Mortality Data'!$A$2:$W$201,19,FALSE)</f>
        <v>0.11426190999999999</v>
      </c>
      <c r="BQ131">
        <f>VLOOKUP(all_cause_mort[[Country]:[Country]],'[1]Mortality Data'!$A$2:$W$201,20,FALSE)</f>
        <v>0.16728042000000001</v>
      </c>
      <c r="BR131">
        <f>VLOOKUP(all_cause_mort[[Country]:[Country]],'[1]Mortality Data'!$A$2:$W$201,21,FALSE)</f>
        <v>0.2357051</v>
      </c>
      <c r="BS131">
        <f>VLOOKUP(all_cause_mort[[Country]:[Country]],'[1]Mortality Data'!$A$2:$W$201,22,FALSE)</f>
        <v>0.33073139000000001</v>
      </c>
      <c r="BT131">
        <f>VLOOKUP(all_cause_mort[[Country]:[Country]],'[1]Mortality Data'!$A$2:$W$201,23,FALSE)</f>
        <v>0.46075220562080799</v>
      </c>
      <c r="BU131" s="39" t="e">
        <f>VLOOKUP(all_cause_mort[[#This Row],[Country]],[2]!regions[#Data],3,FALSE)</f>
        <v>#REF!</v>
      </c>
    </row>
    <row r="132" spans="1:73" x14ac:dyDescent="0.35">
      <c r="A132" t="s">
        <v>128</v>
      </c>
      <c r="B132">
        <v>6169140</v>
      </c>
      <c r="C132">
        <v>6193501</v>
      </c>
      <c r="D132">
        <v>6198258</v>
      </c>
      <c r="E132">
        <v>6195970</v>
      </c>
      <c r="F132">
        <v>6204108</v>
      </c>
      <c r="G132">
        <v>6234955</v>
      </c>
      <c r="H132">
        <v>6293253</v>
      </c>
      <c r="I132">
        <v>6374616</v>
      </c>
      <c r="K132" t="s">
        <v>128</v>
      </c>
      <c r="L132">
        <v>19.672000000000001</v>
      </c>
      <c r="M132">
        <f>birthrate[[#This Row],[2016]]/1000</f>
        <v>1.9672000000000002E-2</v>
      </c>
      <c r="O132" t="s">
        <v>180</v>
      </c>
      <c r="P132">
        <v>91</v>
      </c>
      <c r="Q132">
        <f>facility[[#This Row],[Facility (%)]]/100</f>
        <v>0.91</v>
      </c>
      <c r="S132" t="s">
        <v>167</v>
      </c>
      <c r="T132">
        <v>2016</v>
      </c>
      <c r="U132">
        <v>98.8</v>
      </c>
      <c r="V132">
        <f>SBA[[#This Row],[SBA (%)]]/100</f>
        <v>0.98799999999999999</v>
      </c>
      <c r="X132" s="13" t="s">
        <v>192</v>
      </c>
      <c r="Y132" s="13" t="s">
        <v>256</v>
      </c>
      <c r="Z132" s="26">
        <v>6.0000000000000001E-3</v>
      </c>
      <c r="AA132" s="26">
        <v>4.0000000000000001E-3</v>
      </c>
      <c r="AB132" s="26">
        <v>8.9999999999999993E-3</v>
      </c>
      <c r="AC132" s="30">
        <v>46572028</v>
      </c>
      <c r="AD132" s="27">
        <v>1.5306122448979589E-3</v>
      </c>
      <c r="AF132" s="24" t="s">
        <v>160</v>
      </c>
      <c r="AG132" s="24" t="s">
        <v>253</v>
      </c>
      <c r="AH132" s="24">
        <v>99</v>
      </c>
      <c r="AI132" s="25">
        <f>IF(birthdose[[#This Row],[2017]]/100=0, ,birthdose[[#This Row],[2017]]/100)</f>
        <v>0.99</v>
      </c>
      <c r="AK132" s="24" t="s">
        <v>160</v>
      </c>
      <c r="AL132" s="24" t="s">
        <v>254</v>
      </c>
      <c r="AM132" s="24">
        <v>98</v>
      </c>
      <c r="AN132" s="25">
        <f>IF(fullvax[[#This Row],[2017]]/100=0, ,fullvax[[#This Row],[2017]]/100)</f>
        <v>0.98</v>
      </c>
      <c r="AV132" s="8" t="s">
        <v>181</v>
      </c>
      <c r="AW132" s="11" t="s">
        <v>15</v>
      </c>
      <c r="AX132" s="41">
        <f>VLOOKUP(all_cause_mort[[#This Row],[Country]],[1]!populations[#Data],9,FALSE)*VLOOKUP(all_cause_mort[[#This Row],[Country]],[1]!birthrate[#Data],3,FALSE)</f>
        <v>564264.33463299996</v>
      </c>
      <c r="AY132">
        <f>VLOOKUP(all_cause_mort[[Country]:[Country]],'[1]Mortality Data'!$A$2:$W$201,2,FALSE)</f>
        <v>3.3701546999999998E-2</v>
      </c>
      <c r="AZ132">
        <f>VLOOKUP(all_cause_mort[[Country]:[Country]],'[1]Mortality Data'!$A$2:$W$201,3,FALSE)</f>
        <v>3.0930983E-3</v>
      </c>
      <c r="BA132">
        <f>VLOOKUP(all_cause_mort[[Country]:[Country]],'[1]Mortality Data'!$A$2:$W$201,4,FALSE)</f>
        <v>1.2407778E-3</v>
      </c>
      <c r="BB132">
        <f>VLOOKUP(all_cause_mort[[Country]:[Country]],'[1]Mortality Data'!$A$2:$W$201,5,FALSE)</f>
        <v>8.6711961999999998E-4</v>
      </c>
      <c r="BC132">
        <f>VLOOKUP(all_cause_mort[[Country]:[Country]],'[1]Mortality Data'!$A$2:$W$201,6,FALSE)</f>
        <v>1.3511974999999999E-3</v>
      </c>
      <c r="BD132">
        <f>VLOOKUP(all_cause_mort[[Country]:[Country]],'[1]Mortality Data'!$A$2:$W$201,7,FALSE)</f>
        <v>1.9678428999999999E-3</v>
      </c>
      <c r="BE132">
        <f>VLOOKUP(all_cause_mort[[Country]:[Country]],'[1]Mortality Data'!$A$2:$W$201,8,FALSE)</f>
        <v>2.1377251000000001E-3</v>
      </c>
      <c r="BF132">
        <f>VLOOKUP(all_cause_mort[[Country]:[Country]],'[1]Mortality Data'!$A$2:$W$201,9,FALSE)</f>
        <v>2.4965353999999999E-3</v>
      </c>
      <c r="BG132">
        <f>VLOOKUP(all_cause_mort[[Country]:[Country]],'[1]Mortality Data'!$A$2:$W$201,10,FALSE)</f>
        <v>2.9943255000000001E-3</v>
      </c>
      <c r="BH132">
        <f>VLOOKUP(all_cause_mort[[Country]:[Country]],'[1]Mortality Data'!$A$2:$W$201,11,FALSE)</f>
        <v>3.967089E-3</v>
      </c>
      <c r="BI132">
        <f>VLOOKUP(all_cause_mort[[Country]:[Country]],'[1]Mortality Data'!$A$2:$W$201,12,FALSE)</f>
        <v>5.3099808999999996E-3</v>
      </c>
      <c r="BJ132">
        <f>VLOOKUP(all_cause_mort[[Country]:[Country]],'[1]Mortality Data'!$A$2:$W$201,13,FALSE)</f>
        <v>7.8618781000000006E-3</v>
      </c>
      <c r="BK132">
        <f>VLOOKUP(all_cause_mort[[Country]:[Country]],'[1]Mortality Data'!$A$2:$W$201,14,FALSE)</f>
        <v>1.1597504999999999E-2</v>
      </c>
      <c r="BL132">
        <f>VLOOKUP(all_cause_mort[[Country]:[Country]],'[1]Mortality Data'!$A$2:$W$201,15,FALSE)</f>
        <v>1.8480442999999999E-2</v>
      </c>
      <c r="BM132">
        <f>VLOOKUP(all_cause_mort[[Country]:[Country]],'[1]Mortality Data'!$A$2:$W$201,16,FALSE)</f>
        <v>2.9956621999999999E-2</v>
      </c>
      <c r="BN132">
        <f>VLOOKUP(all_cause_mort[[Country]:[Country]],'[1]Mortality Data'!$A$2:$W$201,17,FALSE)</f>
        <v>5.2323379000000003E-2</v>
      </c>
      <c r="BO132">
        <f>VLOOKUP(all_cause_mort[[Country]:[Country]],'[1]Mortality Data'!$A$2:$W$201,18,FALSE)</f>
        <v>9.1602731000000007E-2</v>
      </c>
      <c r="BP132">
        <f>VLOOKUP(all_cause_mort[[Country]:[Country]],'[1]Mortality Data'!$A$2:$W$201,19,FALSE)</f>
        <v>0.15743705</v>
      </c>
      <c r="BQ132">
        <f>VLOOKUP(all_cause_mort[[Country]:[Country]],'[1]Mortality Data'!$A$2:$W$201,20,FALSE)</f>
        <v>0.25368640999999997</v>
      </c>
      <c r="BR132">
        <f>VLOOKUP(all_cause_mort[[Country]:[Country]],'[1]Mortality Data'!$A$2:$W$201,21,FALSE)</f>
        <v>0.38221699999999997</v>
      </c>
      <c r="BS132">
        <f>VLOOKUP(all_cause_mort[[Country]:[Country]],'[1]Mortality Data'!$A$2:$W$201,22,FALSE)</f>
        <v>0.51628342999999999</v>
      </c>
      <c r="BT132">
        <f>VLOOKUP(all_cause_mort[[Country]:[Country]],'[1]Mortality Data'!$A$2:$W$201,23,FALSE)</f>
        <v>0.84393733562738005</v>
      </c>
      <c r="BU132" s="39" t="e">
        <f>VLOOKUP(all_cause_mort[[#This Row],[Country]],[2]!regions[#Data],3,FALSE)</f>
        <v>#REF!</v>
      </c>
    </row>
    <row r="133" spans="1:73" x14ac:dyDescent="0.35">
      <c r="A133" s="8" t="s">
        <v>175</v>
      </c>
      <c r="B133">
        <v>172580</v>
      </c>
      <c r="C133">
        <v>173832</v>
      </c>
      <c r="D133">
        <v>174835</v>
      </c>
      <c r="E133">
        <v>175660</v>
      </c>
      <c r="F133">
        <v>176421</v>
      </c>
      <c r="G133">
        <v>177206</v>
      </c>
      <c r="H133">
        <v>178015</v>
      </c>
      <c r="I133">
        <v>178844</v>
      </c>
      <c r="K133" s="8" t="s">
        <v>175</v>
      </c>
      <c r="L133">
        <v>12.108000000000001</v>
      </c>
      <c r="M133">
        <f>birthrate[[#This Row],[2016]]/1000</f>
        <v>1.2108000000000001E-2</v>
      </c>
      <c r="O133" t="s">
        <v>181</v>
      </c>
      <c r="P133">
        <v>74.5</v>
      </c>
      <c r="Q133">
        <f>facility[[#This Row],[Facility (%)]]/100</f>
        <v>0.745</v>
      </c>
      <c r="S133" t="s">
        <v>168</v>
      </c>
      <c r="T133">
        <v>2015</v>
      </c>
      <c r="U133">
        <v>99.9</v>
      </c>
      <c r="V133">
        <f>SBA[[#This Row],[SBA (%)]]/100</f>
        <v>0.99900000000000011</v>
      </c>
      <c r="X133" s="13" t="s">
        <v>193</v>
      </c>
      <c r="Y133" s="13" t="s">
        <v>252</v>
      </c>
      <c r="Z133" s="26">
        <v>2.5100000000000001E-2</v>
      </c>
      <c r="AA133" s="26">
        <v>1.9E-2</v>
      </c>
      <c r="AB133" s="26">
        <v>3.3099999999999997E-2</v>
      </c>
      <c r="AC133" s="31">
        <v>20198353</v>
      </c>
      <c r="AD133" s="27">
        <v>4.0816326530612231E-3</v>
      </c>
      <c r="AF133" s="24" t="s">
        <v>161</v>
      </c>
      <c r="AG133" s="24" t="s">
        <v>253</v>
      </c>
      <c r="AH133" s="24">
        <v>87</v>
      </c>
      <c r="AI133" s="25">
        <f>IF(birthdose[[#This Row],[2017]]/100=0, ,birthdose[[#This Row],[2017]]/100)</f>
        <v>0.87</v>
      </c>
      <c r="AK133" s="24" t="s">
        <v>161</v>
      </c>
      <c r="AL133" s="24" t="s">
        <v>254</v>
      </c>
      <c r="AM133" s="24">
        <v>81</v>
      </c>
      <c r="AN133" s="25">
        <f>IF(fullvax[[#This Row],[2017]]/100=0, ,fullvax[[#This Row],[2017]]/100)</f>
        <v>0.81</v>
      </c>
      <c r="AV133" s="8" t="s">
        <v>183</v>
      </c>
      <c r="AW133" s="11" t="s">
        <v>15</v>
      </c>
      <c r="AX133" s="41">
        <f>VLOOKUP(all_cause_mort[[#This Row],[Country]],[1]!populations[#Data],9,FALSE)*VLOOKUP(all_cause_mort[[#This Row],[Country]],[1]!birthrate[#Data],3,FALSE)</f>
        <v>1667.6681999999998</v>
      </c>
      <c r="AY133">
        <f>VLOOKUP(all_cause_mort[[Country]:[Country]],'[1]Mortality Data'!$A$2:$W$201,2,FALSE)</f>
        <v>1.0983855000000001E-2</v>
      </c>
      <c r="AZ133">
        <f>VLOOKUP(all_cause_mort[[Country]:[Country]],'[1]Mortality Data'!$A$2:$W$201,3,FALSE)</f>
        <v>7.4946199000000004E-4</v>
      </c>
      <c r="BA133">
        <f>VLOOKUP(all_cause_mort[[Country]:[Country]],'[1]Mortality Data'!$A$2:$W$201,4,FALSE)</f>
        <v>3.3198705000000002E-4</v>
      </c>
      <c r="BB133">
        <f>VLOOKUP(all_cause_mort[[Country]:[Country]],'[1]Mortality Data'!$A$2:$W$201,5,FALSE)</f>
        <v>3.1725337999999998E-4</v>
      </c>
      <c r="BC133">
        <f>VLOOKUP(all_cause_mort[[Country]:[Country]],'[1]Mortality Data'!$A$2:$W$201,6,FALSE)</f>
        <v>8.1078488999999996E-4</v>
      </c>
      <c r="BD133">
        <f>VLOOKUP(all_cause_mort[[Country]:[Country]],'[1]Mortality Data'!$A$2:$W$201,7,FALSE)</f>
        <v>1.1831374E-3</v>
      </c>
      <c r="BE133">
        <f>VLOOKUP(all_cause_mort[[Country]:[Country]],'[1]Mortality Data'!$A$2:$W$201,8,FALSE)</f>
        <v>1.3087878999999999E-3</v>
      </c>
      <c r="BF133">
        <f>VLOOKUP(all_cause_mort[[Country]:[Country]],'[1]Mortality Data'!$A$2:$W$201,9,FALSE)</f>
        <v>1.5996134000000001E-3</v>
      </c>
      <c r="BG133">
        <f>VLOOKUP(all_cause_mort[[Country]:[Country]],'[1]Mortality Data'!$A$2:$W$201,10,FALSE)</f>
        <v>2.1708414999999999E-3</v>
      </c>
      <c r="BH133">
        <f>VLOOKUP(all_cause_mort[[Country]:[Country]],'[1]Mortality Data'!$A$2:$W$201,11,FALSE)</f>
        <v>3.1424388999999999E-3</v>
      </c>
      <c r="BI133">
        <f>VLOOKUP(all_cause_mort[[Country]:[Country]],'[1]Mortality Data'!$A$2:$W$201,12,FALSE)</f>
        <v>4.7761705999999999E-3</v>
      </c>
      <c r="BJ133">
        <f>VLOOKUP(all_cause_mort[[Country]:[Country]],'[1]Mortality Data'!$A$2:$W$201,13,FALSE)</f>
        <v>7.2788896000000004E-3</v>
      </c>
      <c r="BK133">
        <f>VLOOKUP(all_cause_mort[[Country]:[Country]],'[1]Mortality Data'!$A$2:$W$201,14,FALSE)</f>
        <v>1.1065886E-2</v>
      </c>
      <c r="BL133">
        <f>VLOOKUP(all_cause_mort[[Country]:[Country]],'[1]Mortality Data'!$A$2:$W$201,15,FALSE)</f>
        <v>1.6527305999999999E-2</v>
      </c>
      <c r="BM133">
        <f>VLOOKUP(all_cause_mort[[Country]:[Country]],'[1]Mortality Data'!$A$2:$W$201,16,FALSE)</f>
        <v>2.4555975000000001E-2</v>
      </c>
      <c r="BN133">
        <f>VLOOKUP(all_cause_mort[[Country]:[Country]],'[1]Mortality Data'!$A$2:$W$201,17,FALSE)</f>
        <v>3.7669215999999998E-2</v>
      </c>
      <c r="BO133">
        <f>VLOOKUP(all_cause_mort[[Country]:[Country]],'[1]Mortality Data'!$A$2:$W$201,18,FALSE)</f>
        <v>5.9531967999999998E-2</v>
      </c>
      <c r="BP133">
        <f>VLOOKUP(all_cause_mort[[Country]:[Country]],'[1]Mortality Data'!$A$2:$W$201,19,FALSE)</f>
        <v>9.5749103000000002E-2</v>
      </c>
      <c r="BQ133">
        <f>VLOOKUP(all_cause_mort[[Country]:[Country]],'[1]Mortality Data'!$A$2:$W$201,20,FALSE)</f>
        <v>0.15336752000000001</v>
      </c>
      <c r="BR133">
        <f>VLOOKUP(all_cause_mort[[Country]:[Country]],'[1]Mortality Data'!$A$2:$W$201,21,FALSE)</f>
        <v>0.23427697</v>
      </c>
      <c r="BS133">
        <f>VLOOKUP(all_cause_mort[[Country]:[Country]],'[1]Mortality Data'!$A$2:$W$201,22,FALSE)</f>
        <v>0.34262757999999999</v>
      </c>
      <c r="BT133">
        <f>VLOOKUP(all_cause_mort[[Country]:[Country]],'[1]Mortality Data'!$A$2:$W$201,23,FALSE)</f>
        <v>0.47382895779141099</v>
      </c>
      <c r="BU133" s="39" t="e">
        <f>VLOOKUP(all_cause_mort[[#This Row],[Country]],[2]!regions[#Data],3,FALSE)</f>
        <v>#REF!</v>
      </c>
    </row>
    <row r="134" spans="1:73" x14ac:dyDescent="0.35">
      <c r="A134" t="s">
        <v>329</v>
      </c>
      <c r="B134">
        <v>596478519</v>
      </c>
      <c r="C134">
        <v>603537118</v>
      </c>
      <c r="D134">
        <v>610547919</v>
      </c>
      <c r="E134">
        <v>617495658</v>
      </c>
      <c r="F134">
        <v>624335544</v>
      </c>
      <c r="G134">
        <v>631062657</v>
      </c>
      <c r="H134">
        <v>637663890</v>
      </c>
      <c r="I134">
        <v>644137666</v>
      </c>
      <c r="K134" t="s">
        <v>329</v>
      </c>
      <c r="L134">
        <v>16.83901785926971</v>
      </c>
      <c r="M134">
        <f>birthrate[[#This Row],[2016]]/1000</f>
        <v>1.6839017859269709E-2</v>
      </c>
      <c r="O134" t="s">
        <v>182</v>
      </c>
      <c r="P134">
        <v>98.2</v>
      </c>
      <c r="Q134">
        <f>facility[[#This Row],[Facility (%)]]/100</f>
        <v>0.98199999999999998</v>
      </c>
      <c r="S134" t="s">
        <v>169</v>
      </c>
      <c r="T134" t="s">
        <v>307</v>
      </c>
      <c r="U134">
        <v>99.99</v>
      </c>
      <c r="V134">
        <f>SBA[[#This Row],[SBA (%)]]/100</f>
        <v>0.9998999999999999</v>
      </c>
      <c r="X134" s="10" t="s">
        <v>194</v>
      </c>
      <c r="Y134" s="10" t="s">
        <v>256</v>
      </c>
      <c r="Z134" s="21">
        <v>5.2999999999999999E-2</v>
      </c>
      <c r="AA134" s="21">
        <v>4.2000000000000003E-2</v>
      </c>
      <c r="AB134" s="21">
        <v>6.2E-2</v>
      </c>
      <c r="AC134" s="30">
        <v>40533330</v>
      </c>
      <c r="AD134" s="27">
        <v>4.591836734693878E-3</v>
      </c>
      <c r="AF134" s="24" t="s">
        <v>162</v>
      </c>
      <c r="AG134" s="24" t="s">
        <v>253</v>
      </c>
      <c r="AH134" s="24">
        <v>33</v>
      </c>
      <c r="AI134" s="25">
        <f>IF(birthdose[[#This Row],[2017]]/100=0, ,birthdose[[#This Row],[2017]]/100)</f>
        <v>0.33</v>
      </c>
      <c r="AK134" s="24" t="s">
        <v>162</v>
      </c>
      <c r="AL134" s="24" t="s">
        <v>254</v>
      </c>
      <c r="AM134" s="24">
        <v>56</v>
      </c>
      <c r="AN134" s="25">
        <f>IF(fullvax[[#This Row],[2017]]/100=0, ,fullvax[[#This Row],[2017]]/100)</f>
        <v>0.56000000000000005</v>
      </c>
      <c r="AV134" s="12" t="s">
        <v>184</v>
      </c>
      <c r="AW134" s="14" t="s">
        <v>15</v>
      </c>
      <c r="AX134" s="41">
        <f>VLOOKUP(all_cause_mort[[#This Row],[Country]],[1]!populations[#Data],9,FALSE)*VLOOKUP(all_cause_mort[[#This Row],[Country]],[1]!birthrate[#Data],3,FALSE)</f>
        <v>264547.76327200001</v>
      </c>
      <c r="AY134">
        <f>VLOOKUP(all_cause_mort[[Country]:[Country]],'[1]Mortality Data'!$A$2:$W$201,2,FALSE)</f>
        <v>8.5754638999999994E-2</v>
      </c>
      <c r="AZ134">
        <f>VLOOKUP(all_cause_mort[[Country]:[Country]],'[1]Mortality Data'!$A$2:$W$201,3,FALSE)</f>
        <v>8.2215147999999995E-3</v>
      </c>
      <c r="BA134">
        <f>VLOOKUP(all_cause_mort[[Country]:[Country]],'[1]Mortality Data'!$A$2:$W$201,4,FALSE)</f>
        <v>3.5928784E-3</v>
      </c>
      <c r="BB134">
        <f>VLOOKUP(all_cause_mort[[Country]:[Country]],'[1]Mortality Data'!$A$2:$W$201,5,FALSE)</f>
        <v>2.6331943999999999E-3</v>
      </c>
      <c r="BC134">
        <f>VLOOKUP(all_cause_mort[[Country]:[Country]],'[1]Mortality Data'!$A$2:$W$201,6,FALSE)</f>
        <v>4.3489514000000003E-3</v>
      </c>
      <c r="BD134">
        <f>VLOOKUP(all_cause_mort[[Country]:[Country]],'[1]Mortality Data'!$A$2:$W$201,7,FALSE)</f>
        <v>6.0803122000000001E-3</v>
      </c>
      <c r="BE134">
        <f>VLOOKUP(all_cause_mort[[Country]:[Country]],'[1]Mortality Data'!$A$2:$W$201,8,FALSE)</f>
        <v>6.6875366000000002E-3</v>
      </c>
      <c r="BF134">
        <f>VLOOKUP(all_cause_mort[[Country]:[Country]],'[1]Mortality Data'!$A$2:$W$201,9,FALSE)</f>
        <v>7.3661012E-3</v>
      </c>
      <c r="BG134">
        <f>VLOOKUP(all_cause_mort[[Country]:[Country]],'[1]Mortality Data'!$A$2:$W$201,10,FALSE)</f>
        <v>8.5249733000000005E-3</v>
      </c>
      <c r="BH134">
        <f>VLOOKUP(all_cause_mort[[Country]:[Country]],'[1]Mortality Data'!$A$2:$W$201,11,FALSE)</f>
        <v>1.0129334E-2</v>
      </c>
      <c r="BI134">
        <f>VLOOKUP(all_cause_mort[[Country]:[Country]],'[1]Mortality Data'!$A$2:$W$201,12,FALSE)</f>
        <v>1.2491432E-2</v>
      </c>
      <c r="BJ134">
        <f>VLOOKUP(all_cause_mort[[Country]:[Country]],'[1]Mortality Data'!$A$2:$W$201,13,FALSE)</f>
        <v>1.6501821E-2</v>
      </c>
      <c r="BK134">
        <f>VLOOKUP(all_cause_mort[[Country]:[Country]],'[1]Mortality Data'!$A$2:$W$201,14,FALSE)</f>
        <v>2.2236571E-2</v>
      </c>
      <c r="BL134">
        <f>VLOOKUP(all_cause_mort[[Country]:[Country]],'[1]Mortality Data'!$A$2:$W$201,15,FALSE)</f>
        <v>3.2018854999999999E-2</v>
      </c>
      <c r="BM134">
        <f>VLOOKUP(all_cause_mort[[Country]:[Country]],'[1]Mortality Data'!$A$2:$W$201,16,FALSE)</f>
        <v>4.6838433999999998E-2</v>
      </c>
      <c r="BN134">
        <f>VLOOKUP(all_cause_mort[[Country]:[Country]],'[1]Mortality Data'!$A$2:$W$201,17,FALSE)</f>
        <v>7.1225826000000006E-2</v>
      </c>
      <c r="BO134">
        <f>VLOOKUP(all_cause_mort[[Country]:[Country]],'[1]Mortality Data'!$A$2:$W$201,18,FALSE)</f>
        <v>0.10785986</v>
      </c>
      <c r="BP134">
        <f>VLOOKUP(all_cause_mort[[Country]:[Country]],'[1]Mortality Data'!$A$2:$W$201,19,FALSE)</f>
        <v>0.16141699000000001</v>
      </c>
      <c r="BQ134">
        <f>VLOOKUP(all_cause_mort[[Country]:[Country]],'[1]Mortality Data'!$A$2:$W$201,20,FALSE)</f>
        <v>0.23598997999999999</v>
      </c>
      <c r="BR134">
        <f>VLOOKUP(all_cause_mort[[Country]:[Country]],'[1]Mortality Data'!$A$2:$W$201,21,FALSE)</f>
        <v>0.32729246000000001</v>
      </c>
      <c r="BS134">
        <f>VLOOKUP(all_cause_mort[[Country]:[Country]],'[1]Mortality Data'!$A$2:$W$201,22,FALSE)</f>
        <v>0.44617088999999999</v>
      </c>
      <c r="BT134">
        <f>VLOOKUP(all_cause_mort[[Country]:[Country]],'[1]Mortality Data'!$A$2:$W$201,23,FALSE)</f>
        <v>0.57380803860305096</v>
      </c>
      <c r="BU134" s="39" t="e">
        <f>VLOOKUP(all_cause_mort[[#This Row],[Country]],[2]!regions[#Data],3,FALSE)</f>
        <v>#REF!</v>
      </c>
    </row>
    <row r="135" spans="1:73" x14ac:dyDescent="0.35">
      <c r="A135" t="s">
        <v>330</v>
      </c>
      <c r="B135">
        <v>848791962</v>
      </c>
      <c r="C135">
        <v>869298106</v>
      </c>
      <c r="D135">
        <v>890423474</v>
      </c>
      <c r="E135">
        <v>912093996</v>
      </c>
      <c r="F135">
        <v>934192321</v>
      </c>
      <c r="G135">
        <v>956631108</v>
      </c>
      <c r="H135">
        <v>979387925</v>
      </c>
      <c r="I135">
        <v>1002485957</v>
      </c>
      <c r="K135" t="s">
        <v>330</v>
      </c>
      <c r="L135">
        <v>32.166850860601542</v>
      </c>
      <c r="M135">
        <f>birthrate[[#This Row],[2016]]/1000</f>
        <v>3.2166850860601545E-2</v>
      </c>
      <c r="O135" t="s">
        <v>184</v>
      </c>
      <c r="P135">
        <v>54.4</v>
      </c>
      <c r="Q135">
        <f>facility[[#This Row],[Facility (%)]]/100</f>
        <v>0.54400000000000004</v>
      </c>
      <c r="S135" t="s">
        <v>170</v>
      </c>
      <c r="T135">
        <v>2014</v>
      </c>
      <c r="U135">
        <v>99.7</v>
      </c>
      <c r="V135">
        <f>SBA[[#This Row],[SBA (%)]]/100</f>
        <v>0.997</v>
      </c>
      <c r="X135" s="10" t="s">
        <v>195</v>
      </c>
      <c r="Y135" s="10" t="s">
        <v>252</v>
      </c>
      <c r="Z135" s="21">
        <v>3.9100000000000003E-2</v>
      </c>
      <c r="AA135" s="21">
        <v>2.9700000000000001E-2</v>
      </c>
      <c r="AB135" s="21">
        <v>5.1400000000000001E-2</v>
      </c>
      <c r="AC135" s="31">
        <v>526103</v>
      </c>
      <c r="AD135" s="27">
        <v>6.2755102040816316E-3</v>
      </c>
      <c r="AF135" s="24" t="s">
        <v>163</v>
      </c>
      <c r="AG135" s="24" t="s">
        <v>253</v>
      </c>
      <c r="AH135" s="24">
        <v>52</v>
      </c>
      <c r="AI135" s="25">
        <f>IF(birthdose[[#This Row],[2017]]/100=0, ,birthdose[[#This Row],[2017]]/100)</f>
        <v>0.52</v>
      </c>
      <c r="AK135" s="24" t="s">
        <v>163</v>
      </c>
      <c r="AL135" s="24" t="s">
        <v>254</v>
      </c>
      <c r="AM135" s="24">
        <v>91</v>
      </c>
      <c r="AN135" s="25">
        <f>IF(fullvax[[#This Row],[2017]]/100=0, ,fullvax[[#This Row],[2017]]/100)</f>
        <v>0.91</v>
      </c>
      <c r="AV135" s="12" t="s">
        <v>186</v>
      </c>
      <c r="AW135" s="14" t="s">
        <v>11</v>
      </c>
      <c r="AX135" s="41">
        <f>VLOOKUP(all_cause_mort[[#This Row],[Country]],[1]!populations[#Data],9,FALSE)*VLOOKUP(all_cause_mort[[#This Row],[Country]],[1]!birthrate[#Data],3,FALSE)</f>
        <v>57662.855199999998</v>
      </c>
      <c r="AY135">
        <f>VLOOKUP(all_cause_mort[[Country]:[Country]],'[1]Mortality Data'!$A$2:$W$201,2,FALSE)</f>
        <v>4.7810960999999999E-3</v>
      </c>
      <c r="AZ135">
        <f>VLOOKUP(all_cause_mort[[Country]:[Country]],'[1]Mortality Data'!$A$2:$W$201,3,FALSE)</f>
        <v>2.3301611999999999E-4</v>
      </c>
      <c r="BA135">
        <f>VLOOKUP(all_cause_mort[[Country]:[Country]],'[1]Mortality Data'!$A$2:$W$201,4,FALSE)</f>
        <v>1.1320912E-4</v>
      </c>
      <c r="BB135">
        <f>VLOOKUP(all_cause_mort[[Country]:[Country]],'[1]Mortality Data'!$A$2:$W$201,5,FALSE)</f>
        <v>1.2963436E-4</v>
      </c>
      <c r="BC135">
        <f>VLOOKUP(all_cause_mort[[Country]:[Country]],'[1]Mortality Data'!$A$2:$W$201,6,FALSE)</f>
        <v>3.468419E-4</v>
      </c>
      <c r="BD135">
        <f>VLOOKUP(all_cause_mort[[Country]:[Country]],'[1]Mortality Data'!$A$2:$W$201,7,FALSE)</f>
        <v>4.9431408000000004E-4</v>
      </c>
      <c r="BE135">
        <f>VLOOKUP(all_cause_mort[[Country]:[Country]],'[1]Mortality Data'!$A$2:$W$201,8,FALSE)</f>
        <v>5.5980380000000005E-4</v>
      </c>
      <c r="BF135">
        <f>VLOOKUP(all_cause_mort[[Country]:[Country]],'[1]Mortality Data'!$A$2:$W$201,9,FALSE)</f>
        <v>7.2783338E-4</v>
      </c>
      <c r="BG135">
        <f>VLOOKUP(all_cause_mort[[Country]:[Country]],'[1]Mortality Data'!$A$2:$W$201,10,FALSE)</f>
        <v>1.0861054999999999E-3</v>
      </c>
      <c r="BH135">
        <f>VLOOKUP(all_cause_mort[[Country]:[Country]],'[1]Mortality Data'!$A$2:$W$201,11,FALSE)</f>
        <v>1.8135708999999999E-3</v>
      </c>
      <c r="BI135">
        <f>VLOOKUP(all_cause_mort[[Country]:[Country]],'[1]Mortality Data'!$A$2:$W$201,12,FALSE)</f>
        <v>3.1116971000000001E-3</v>
      </c>
      <c r="BJ135">
        <f>VLOOKUP(all_cause_mort[[Country]:[Country]],'[1]Mortality Data'!$A$2:$W$201,13,FALSE)</f>
        <v>5.422362E-3</v>
      </c>
      <c r="BK135">
        <f>VLOOKUP(all_cause_mort[[Country]:[Country]],'[1]Mortality Data'!$A$2:$W$201,14,FALSE)</f>
        <v>8.4119841000000004E-3</v>
      </c>
      <c r="BL135">
        <f>VLOOKUP(all_cause_mort[[Country]:[Country]],'[1]Mortality Data'!$A$2:$W$201,15,FALSE)</f>
        <v>1.3451371E-2</v>
      </c>
      <c r="BM135">
        <f>VLOOKUP(all_cause_mort[[Country]:[Country]],'[1]Mortality Data'!$A$2:$W$201,16,FALSE)</f>
        <v>1.8940954999999999E-2</v>
      </c>
      <c r="BN135">
        <f>VLOOKUP(all_cause_mort[[Country]:[Country]],'[1]Mortality Data'!$A$2:$W$201,17,FALSE)</f>
        <v>2.8285491999999999E-2</v>
      </c>
      <c r="BO135">
        <f>VLOOKUP(all_cause_mort[[Country]:[Country]],'[1]Mortality Data'!$A$2:$W$201,18,FALSE)</f>
        <v>4.5669538000000003E-2</v>
      </c>
      <c r="BP135">
        <f>VLOOKUP(all_cause_mort[[Country]:[Country]],'[1]Mortality Data'!$A$2:$W$201,19,FALSE)</f>
        <v>8.2348149999999995E-2</v>
      </c>
      <c r="BQ135">
        <f>VLOOKUP(all_cause_mort[[Country]:[Country]],'[1]Mortality Data'!$A$2:$W$201,20,FALSE)</f>
        <v>0.14435397</v>
      </c>
      <c r="BR135">
        <f>VLOOKUP(all_cause_mort[[Country]:[Country]],'[1]Mortality Data'!$A$2:$W$201,21,FALSE)</f>
        <v>0.25274701999999999</v>
      </c>
      <c r="BS135">
        <f>VLOOKUP(all_cause_mort[[Country]:[Country]],'[1]Mortality Data'!$A$2:$W$201,22,FALSE)</f>
        <v>0.39711840999999998</v>
      </c>
      <c r="BT135">
        <f>VLOOKUP(all_cause_mort[[Country]:[Country]],'[1]Mortality Data'!$A$2:$W$201,23,FALSE)</f>
        <v>0.53873023223690597</v>
      </c>
      <c r="BU135" s="39" t="e">
        <f>VLOOKUP(all_cause_mort[[#This Row],[Country]],[2]!regions[#Data],3,FALSE)</f>
        <v>#REF!</v>
      </c>
    </row>
    <row r="136" spans="1:73" x14ac:dyDescent="0.35">
      <c r="A136" t="s">
        <v>331</v>
      </c>
      <c r="B136">
        <v>612274687</v>
      </c>
      <c r="C136">
        <v>628504663</v>
      </c>
      <c r="D136">
        <v>644901894</v>
      </c>
      <c r="E136">
        <v>661550623</v>
      </c>
      <c r="F136">
        <v>678572076</v>
      </c>
      <c r="G136">
        <v>696058453</v>
      </c>
      <c r="H136">
        <v>714022293</v>
      </c>
      <c r="I136">
        <v>732448558</v>
      </c>
      <c r="K136" t="s">
        <v>331</v>
      </c>
      <c r="L136">
        <v>35.035457492425948</v>
      </c>
      <c r="M136">
        <f>birthrate[[#This Row],[2016]]/1000</f>
        <v>3.5035457492425946E-2</v>
      </c>
      <c r="O136" t="s">
        <v>185</v>
      </c>
      <c r="P136">
        <v>99.6</v>
      </c>
      <c r="Q136">
        <f>facility[[#This Row],[Facility (%)]]/100</f>
        <v>0.996</v>
      </c>
      <c r="S136" t="s">
        <v>171</v>
      </c>
      <c r="T136">
        <v>2015</v>
      </c>
      <c r="U136">
        <v>95.2</v>
      </c>
      <c r="V136">
        <f>SBA[[#This Row],[SBA (%)]]/100</f>
        <v>0.95200000000000007</v>
      </c>
      <c r="X136" s="13" t="s">
        <v>196</v>
      </c>
      <c r="Y136" s="13" t="s">
        <v>252</v>
      </c>
      <c r="Z136" s="26">
        <v>0.19</v>
      </c>
      <c r="AA136" s="26">
        <v>0.17649999999999999</v>
      </c>
      <c r="AB136" s="26">
        <v>0.20430000000000001</v>
      </c>
      <c r="AC136" s="31">
        <v>1193148</v>
      </c>
      <c r="AD136" s="27">
        <v>7.2959183673469421E-3</v>
      </c>
      <c r="AF136" s="24" t="s">
        <v>164</v>
      </c>
      <c r="AG136" s="24" t="s">
        <v>253</v>
      </c>
      <c r="AH136" s="24">
        <v>75</v>
      </c>
      <c r="AI136" s="25">
        <f>IF(birthdose[[#This Row],[2017]]/100=0, ,birthdose[[#This Row],[2017]]/100)</f>
        <v>0.75</v>
      </c>
      <c r="AK136" s="24" t="s">
        <v>164</v>
      </c>
      <c r="AL136" s="24" t="s">
        <v>254</v>
      </c>
      <c r="AM136" s="24">
        <v>83</v>
      </c>
      <c r="AN136" s="25">
        <f>IF(fullvax[[#This Row],[2017]]/100=0, ,fullvax[[#This Row],[2017]]/100)</f>
        <v>0.83</v>
      </c>
      <c r="AV136" s="12" t="s">
        <v>188</v>
      </c>
      <c r="AW136" s="14" t="s">
        <v>58</v>
      </c>
      <c r="AX136" s="41">
        <f>VLOOKUP(all_cause_mort[[#This Row],[Country]],[1]!populations[#Data],9,FALSE)*VLOOKUP(all_cause_mort[[#This Row],[Country]],[1]!birthrate[#Data],3,FALSE)</f>
        <v>17553.491559000002</v>
      </c>
      <c r="AY136">
        <f>VLOOKUP(all_cause_mort[[Country]:[Country]],'[1]Mortality Data'!$A$2:$W$201,2,FALSE)</f>
        <v>1.5676563000000001E-2</v>
      </c>
      <c r="AZ136">
        <f>VLOOKUP(all_cause_mort[[Country]:[Country]],'[1]Mortality Data'!$A$2:$W$201,3,FALSE)</f>
        <v>1.1885070000000001E-3</v>
      </c>
      <c r="BA136">
        <f>VLOOKUP(all_cause_mort[[Country]:[Country]],'[1]Mortality Data'!$A$2:$W$201,4,FALSE)</f>
        <v>4.3504211000000001E-4</v>
      </c>
      <c r="BB136">
        <f>VLOOKUP(all_cause_mort[[Country]:[Country]],'[1]Mortality Data'!$A$2:$W$201,5,FALSE)</f>
        <v>4.0059477000000001E-4</v>
      </c>
      <c r="BC136">
        <f>VLOOKUP(all_cause_mort[[Country]:[Country]],'[1]Mortality Data'!$A$2:$W$201,6,FALSE)</f>
        <v>8.8013375E-4</v>
      </c>
      <c r="BD136">
        <f>VLOOKUP(all_cause_mort[[Country]:[Country]],'[1]Mortality Data'!$A$2:$W$201,7,FALSE)</f>
        <v>1.1545195000000001E-3</v>
      </c>
      <c r="BE136">
        <f>VLOOKUP(all_cause_mort[[Country]:[Country]],'[1]Mortality Data'!$A$2:$W$201,8,FALSE)</f>
        <v>1.2182426E-3</v>
      </c>
      <c r="BF136">
        <f>VLOOKUP(all_cause_mort[[Country]:[Country]],'[1]Mortality Data'!$A$2:$W$201,9,FALSE)</f>
        <v>1.4485531E-3</v>
      </c>
      <c r="BG136">
        <f>VLOOKUP(all_cause_mort[[Country]:[Country]],'[1]Mortality Data'!$A$2:$W$201,10,FALSE)</f>
        <v>1.9529415000000001E-3</v>
      </c>
      <c r="BH136">
        <f>VLOOKUP(all_cause_mort[[Country]:[Country]],'[1]Mortality Data'!$A$2:$W$201,11,FALSE)</f>
        <v>2.8183841000000002E-3</v>
      </c>
      <c r="BI136">
        <f>VLOOKUP(all_cause_mort[[Country]:[Country]],'[1]Mortality Data'!$A$2:$W$201,12,FALSE)</f>
        <v>4.3580193999999996E-3</v>
      </c>
      <c r="BJ136">
        <f>VLOOKUP(all_cause_mort[[Country]:[Country]],'[1]Mortality Data'!$A$2:$W$201,13,FALSE)</f>
        <v>6.8130214E-3</v>
      </c>
      <c r="BK136">
        <f>VLOOKUP(all_cause_mort[[Country]:[Country]],'[1]Mortality Data'!$A$2:$W$201,14,FALSE)</f>
        <v>1.0731584000000001E-2</v>
      </c>
      <c r="BL136">
        <f>VLOOKUP(all_cause_mort[[Country]:[Country]],'[1]Mortality Data'!$A$2:$W$201,15,FALSE)</f>
        <v>1.6194627999999999E-2</v>
      </c>
      <c r="BM136">
        <f>VLOOKUP(all_cause_mort[[Country]:[Country]],'[1]Mortality Data'!$A$2:$W$201,16,FALSE)</f>
        <v>2.4325448999999999E-2</v>
      </c>
      <c r="BN136">
        <f>VLOOKUP(all_cause_mort[[Country]:[Country]],'[1]Mortality Data'!$A$2:$W$201,17,FALSE)</f>
        <v>3.8457981000000002E-2</v>
      </c>
      <c r="BO136">
        <f>VLOOKUP(all_cause_mort[[Country]:[Country]],'[1]Mortality Data'!$A$2:$W$201,18,FALSE)</f>
        <v>6.4409590000000003E-2</v>
      </c>
      <c r="BP136">
        <f>VLOOKUP(all_cause_mort[[Country]:[Country]],'[1]Mortality Data'!$A$2:$W$201,19,FALSE)</f>
        <v>0.10541418</v>
      </c>
      <c r="BQ136">
        <f>VLOOKUP(all_cause_mort[[Country]:[Country]],'[1]Mortality Data'!$A$2:$W$201,20,FALSE)</f>
        <v>0.16893850999999999</v>
      </c>
      <c r="BR136">
        <f>VLOOKUP(all_cause_mort[[Country]:[Country]],'[1]Mortality Data'!$A$2:$W$201,21,FALSE)</f>
        <v>0.25410733000000002</v>
      </c>
      <c r="BS136">
        <f>VLOOKUP(all_cause_mort[[Country]:[Country]],'[1]Mortality Data'!$A$2:$W$201,22,FALSE)</f>
        <v>0.36252000000000001</v>
      </c>
      <c r="BT136">
        <f>VLOOKUP(all_cause_mort[[Country]:[Country]],'[1]Mortality Data'!$A$2:$W$201,23,FALSE)</f>
        <v>0.49190680491084299</v>
      </c>
      <c r="BU136" s="39" t="e">
        <f>VLOOKUP(all_cause_mort[[#This Row],[Country]],[2]!regions[#Data],3,FALSE)</f>
        <v>#REF!</v>
      </c>
    </row>
    <row r="137" spans="1:73" x14ac:dyDescent="0.35">
      <c r="A137" t="s">
        <v>332</v>
      </c>
      <c r="B137">
        <v>36003</v>
      </c>
      <c r="C137">
        <v>36264</v>
      </c>
      <c r="D137">
        <v>36545</v>
      </c>
      <c r="E137">
        <v>36834</v>
      </c>
      <c r="F137">
        <v>37127</v>
      </c>
      <c r="G137">
        <v>37403</v>
      </c>
      <c r="H137">
        <v>37666</v>
      </c>
      <c r="I137">
        <v>37922</v>
      </c>
      <c r="K137" t="s">
        <v>332</v>
      </c>
      <c r="L137">
        <v>10</v>
      </c>
      <c r="M137">
        <f>birthrate[[#This Row],[2016]]/1000</f>
        <v>0.01</v>
      </c>
      <c r="O137" t="s">
        <v>187</v>
      </c>
      <c r="P137">
        <v>99.8</v>
      </c>
      <c r="Q137">
        <f>facility[[#This Row],[Facility (%)]]/100</f>
        <v>0.998</v>
      </c>
      <c r="S137" t="s">
        <v>172</v>
      </c>
      <c r="T137">
        <v>2014</v>
      </c>
      <c r="U137">
        <v>99.7</v>
      </c>
      <c r="V137">
        <f>SBA[[#This Row],[SBA (%)]]/100</f>
        <v>0.997</v>
      </c>
      <c r="X137" s="13" t="s">
        <v>197</v>
      </c>
      <c r="Y137" s="13" t="s">
        <v>256</v>
      </c>
      <c r="Z137" s="26">
        <v>2E-3</v>
      </c>
      <c r="AA137" s="26">
        <v>1E-3</v>
      </c>
      <c r="AB137" s="26">
        <v>2E-3</v>
      </c>
      <c r="AC137" s="30">
        <v>10067744</v>
      </c>
      <c r="AD137" s="27">
        <v>5.102040816326522E-5</v>
      </c>
      <c r="AF137" s="29" t="s">
        <v>165</v>
      </c>
      <c r="AG137" s="24" t="s">
        <v>253</v>
      </c>
      <c r="AH137" s="24">
        <v>67</v>
      </c>
      <c r="AI137" s="25">
        <f>IF(birthdose[[#This Row],[2017]]/100=0, ,birthdose[[#This Row],[2017]]/100)</f>
        <v>0.67</v>
      </c>
      <c r="AK137" s="29" t="s">
        <v>165</v>
      </c>
      <c r="AL137" s="24" t="s">
        <v>254</v>
      </c>
      <c r="AM137" s="24">
        <v>88</v>
      </c>
      <c r="AN137" s="25">
        <f>IF(fullvax[[#This Row],[2017]]/100=0, ,fullvax[[#This Row],[2017]]/100)</f>
        <v>0.88</v>
      </c>
      <c r="AV137" s="8" t="s">
        <v>189</v>
      </c>
      <c r="AW137" s="11" t="s">
        <v>7</v>
      </c>
      <c r="AX137" s="41">
        <f>VLOOKUP(all_cause_mort[[#This Row],[Country]],[1]!populations[#Data],9,FALSE)*VLOOKUP(all_cause_mort[[#This Row],[Country]],[1]!birthrate[#Data],3,FALSE)</f>
        <v>639265.28232600004</v>
      </c>
      <c r="AY137">
        <f>VLOOKUP(all_cause_mort[[Country]:[Country]],'[1]Mortality Data'!$A$2:$W$201,2,FALSE)</f>
        <v>7.3125238999999995E-2</v>
      </c>
      <c r="AZ137">
        <f>VLOOKUP(all_cause_mort[[Country]:[Country]],'[1]Mortality Data'!$A$2:$W$201,3,FALSE)</f>
        <v>1.2694178E-2</v>
      </c>
      <c r="BA137">
        <f>VLOOKUP(all_cause_mort[[Country]:[Country]],'[1]Mortality Data'!$A$2:$W$201,4,FALSE)</f>
        <v>4.0955938999999997E-3</v>
      </c>
      <c r="BB137">
        <f>VLOOKUP(all_cause_mort[[Country]:[Country]],'[1]Mortality Data'!$A$2:$W$201,5,FALSE)</f>
        <v>2.9352803999999999E-3</v>
      </c>
      <c r="BC137">
        <f>VLOOKUP(all_cause_mort[[Country]:[Country]],'[1]Mortality Data'!$A$2:$W$201,6,FALSE)</f>
        <v>3.1212481000000001E-3</v>
      </c>
      <c r="BD137">
        <f>VLOOKUP(all_cause_mort[[Country]:[Country]],'[1]Mortality Data'!$A$2:$W$201,7,FALSE)</f>
        <v>4.1151557000000004E-3</v>
      </c>
      <c r="BE137">
        <f>VLOOKUP(all_cause_mort[[Country]:[Country]],'[1]Mortality Data'!$A$2:$W$201,8,FALSE)</f>
        <v>4.9872513000000004E-3</v>
      </c>
      <c r="BF137">
        <f>VLOOKUP(all_cause_mort[[Country]:[Country]],'[1]Mortality Data'!$A$2:$W$201,9,FALSE)</f>
        <v>5.8857952999999998E-3</v>
      </c>
      <c r="BG137">
        <f>VLOOKUP(all_cause_mort[[Country]:[Country]],'[1]Mortality Data'!$A$2:$W$201,10,FALSE)</f>
        <v>7.2656203999999997E-3</v>
      </c>
      <c r="BH137">
        <f>VLOOKUP(all_cause_mort[[Country]:[Country]],'[1]Mortality Data'!$A$2:$W$201,11,FALSE)</f>
        <v>8.2658595000000001E-3</v>
      </c>
      <c r="BI137">
        <f>VLOOKUP(all_cause_mort[[Country]:[Country]],'[1]Mortality Data'!$A$2:$W$201,12,FALSE)</f>
        <v>9.5494933999999993E-3</v>
      </c>
      <c r="BJ137">
        <f>VLOOKUP(all_cause_mort[[Country]:[Country]],'[1]Mortality Data'!$A$2:$W$201,13,FALSE)</f>
        <v>1.1925677000000001E-2</v>
      </c>
      <c r="BK137">
        <f>VLOOKUP(all_cause_mort[[Country]:[Country]],'[1]Mortality Data'!$A$2:$W$201,14,FALSE)</f>
        <v>1.6128118E-2</v>
      </c>
      <c r="BL137">
        <f>VLOOKUP(all_cause_mort[[Country]:[Country]],'[1]Mortality Data'!$A$2:$W$201,15,FALSE)</f>
        <v>2.3677421000000001E-2</v>
      </c>
      <c r="BM137">
        <f>VLOOKUP(all_cause_mort[[Country]:[Country]],'[1]Mortality Data'!$A$2:$W$201,16,FALSE)</f>
        <v>3.6483201999999999E-2</v>
      </c>
      <c r="BN137">
        <f>VLOOKUP(all_cause_mort[[Country]:[Country]],'[1]Mortality Data'!$A$2:$W$201,17,FALSE)</f>
        <v>5.7470052000000001E-2</v>
      </c>
      <c r="BO137">
        <f>VLOOKUP(all_cause_mort[[Country]:[Country]],'[1]Mortality Data'!$A$2:$W$201,18,FALSE)</f>
        <v>9.0395739000000003E-2</v>
      </c>
      <c r="BP137">
        <f>VLOOKUP(all_cause_mort[[Country]:[Country]],'[1]Mortality Data'!$A$2:$W$201,19,FALSE)</f>
        <v>0.13973501999999999</v>
      </c>
      <c r="BQ137">
        <f>VLOOKUP(all_cause_mort[[Country]:[Country]],'[1]Mortality Data'!$A$2:$W$201,20,FALSE)</f>
        <v>0.20860641999999999</v>
      </c>
      <c r="BR137">
        <f>VLOOKUP(all_cause_mort[[Country]:[Country]],'[1]Mortality Data'!$A$2:$W$201,21,FALSE)</f>
        <v>0.29863645999999999</v>
      </c>
      <c r="BS137">
        <f>VLOOKUP(all_cause_mort[[Country]:[Country]],'[1]Mortality Data'!$A$2:$W$201,22,FALSE)</f>
        <v>0.40705142999999999</v>
      </c>
      <c r="BT137">
        <f>VLOOKUP(all_cause_mort[[Country]:[Country]],'[1]Mortality Data'!$A$2:$W$201,23,FALSE)</f>
        <v>0.51264781623052202</v>
      </c>
      <c r="BU137" s="39" t="e">
        <f>VLOOKUP(all_cause_mort[[#This Row],[Country]],[2]!regions[#Data],3,FALSE)</f>
        <v>#REF!</v>
      </c>
    </row>
    <row r="138" spans="1:73" x14ac:dyDescent="0.35">
      <c r="A138" t="s">
        <v>193</v>
      </c>
      <c r="B138">
        <v>20198353</v>
      </c>
      <c r="C138">
        <v>20315017</v>
      </c>
      <c r="D138">
        <v>20425000</v>
      </c>
      <c r="E138">
        <v>20585000</v>
      </c>
      <c r="F138">
        <v>20771000</v>
      </c>
      <c r="G138">
        <v>20966000</v>
      </c>
      <c r="H138">
        <v>21203000</v>
      </c>
      <c r="I138">
        <v>21444000</v>
      </c>
      <c r="K138" t="s">
        <v>193</v>
      </c>
      <c r="L138">
        <v>15.292</v>
      </c>
      <c r="M138">
        <f>birthrate[[#This Row],[2016]]/1000</f>
        <v>1.5292E-2</v>
      </c>
      <c r="O138" t="s">
        <v>188</v>
      </c>
      <c r="P138">
        <v>84.5</v>
      </c>
      <c r="Q138">
        <f>facility[[#This Row],[Facility (%)]]/100</f>
        <v>0.84499999999999997</v>
      </c>
      <c r="S138" t="s">
        <v>173</v>
      </c>
      <c r="T138" t="s">
        <v>267</v>
      </c>
      <c r="U138">
        <v>90.7</v>
      </c>
      <c r="V138">
        <f>SBA[[#This Row],[SBA (%)]]/100</f>
        <v>0.90700000000000003</v>
      </c>
      <c r="X138" s="10" t="s">
        <v>198</v>
      </c>
      <c r="Y138" s="10" t="s">
        <v>256</v>
      </c>
      <c r="Z138" s="21">
        <v>5.0000000000000001E-3</v>
      </c>
      <c r="AA138" s="21">
        <v>3.0000000000000001E-3</v>
      </c>
      <c r="AB138" s="21">
        <v>8.9999999999999993E-3</v>
      </c>
      <c r="AC138" s="30">
        <v>8466017</v>
      </c>
      <c r="AD138" s="27">
        <v>2.040816326530612E-3</v>
      </c>
      <c r="AF138" s="24" t="s">
        <v>166</v>
      </c>
      <c r="AG138" s="24" t="s">
        <v>253</v>
      </c>
      <c r="AH138" s="24">
        <v>93</v>
      </c>
      <c r="AI138" s="25">
        <f>IF(birthdose[[#This Row],[2017]]/100=0, ,birthdose[[#This Row],[2017]]/100)</f>
        <v>0.93</v>
      </c>
      <c r="AK138" s="24" t="s">
        <v>166</v>
      </c>
      <c r="AL138" s="24" t="s">
        <v>254</v>
      </c>
      <c r="AM138" s="24">
        <v>95</v>
      </c>
      <c r="AN138" s="25">
        <f>IF(fullvax[[#This Row],[2017]]/100=0, ,fullvax[[#This Row],[2017]]/100)</f>
        <v>0.95</v>
      </c>
      <c r="AV138" s="12" t="s">
        <v>190</v>
      </c>
      <c r="AW138" s="14" t="s">
        <v>15</v>
      </c>
      <c r="AX138" s="41">
        <f>VLOOKUP(all_cause_mort[[#This Row],[Country]],[1]!populations[#Data],9,FALSE)*VLOOKUP(all_cause_mort[[#This Row],[Country]],[1]!birthrate[#Data],3,FALSE)</f>
        <v>1189982.6500360002</v>
      </c>
      <c r="AY138">
        <f>VLOOKUP(all_cause_mort[[Country]:[Country]],'[1]Mortality Data'!$A$2:$W$201,2,FALSE)</f>
        <v>2.7909070000000001E-2</v>
      </c>
      <c r="AZ138">
        <f>VLOOKUP(all_cause_mort[[Country]:[Country]],'[1]Mortality Data'!$A$2:$W$201,3,FALSE)</f>
        <v>2.1218449000000002E-3</v>
      </c>
      <c r="BA138">
        <f>VLOOKUP(all_cause_mort[[Country]:[Country]],'[1]Mortality Data'!$A$2:$W$201,4,FALSE)</f>
        <v>9.0383431999999997E-4</v>
      </c>
      <c r="BB138">
        <f>VLOOKUP(all_cause_mort[[Country]:[Country]],'[1]Mortality Data'!$A$2:$W$201,5,FALSE)</f>
        <v>7.5496861000000001E-4</v>
      </c>
      <c r="BC138">
        <f>VLOOKUP(all_cause_mort[[Country]:[Country]],'[1]Mortality Data'!$A$2:$W$201,6,FALSE)</f>
        <v>1.2856090000000001E-3</v>
      </c>
      <c r="BD138">
        <f>VLOOKUP(all_cause_mort[[Country]:[Country]],'[1]Mortality Data'!$A$2:$W$201,7,FALSE)</f>
        <v>2.298259E-3</v>
      </c>
      <c r="BE138">
        <f>VLOOKUP(all_cause_mort[[Country]:[Country]],'[1]Mortality Data'!$A$2:$W$201,8,FALSE)</f>
        <v>3.8612385000000001E-3</v>
      </c>
      <c r="BF138">
        <f>VLOOKUP(all_cause_mort[[Country]:[Country]],'[1]Mortality Data'!$A$2:$W$201,9,FALSE)</f>
        <v>5.6595014000000001E-3</v>
      </c>
      <c r="BG138">
        <f>VLOOKUP(all_cause_mort[[Country]:[Country]],'[1]Mortality Data'!$A$2:$W$201,10,FALSE)</f>
        <v>8.2823536000000003E-3</v>
      </c>
      <c r="BH138">
        <f>VLOOKUP(all_cause_mort[[Country]:[Country]],'[1]Mortality Data'!$A$2:$W$201,11,FALSE)</f>
        <v>1.0016407999999999E-2</v>
      </c>
      <c r="BI138">
        <f>VLOOKUP(all_cause_mort[[Country]:[Country]],'[1]Mortality Data'!$A$2:$W$201,12,FALSE)</f>
        <v>1.2063865E-2</v>
      </c>
      <c r="BJ138">
        <f>VLOOKUP(all_cause_mort[[Country]:[Country]],'[1]Mortality Data'!$A$2:$W$201,13,FALSE)</f>
        <v>1.4736122000000001E-2</v>
      </c>
      <c r="BK138">
        <f>VLOOKUP(all_cause_mort[[Country]:[Country]],'[1]Mortality Data'!$A$2:$W$201,14,FALSE)</f>
        <v>1.8084685E-2</v>
      </c>
      <c r="BL138">
        <f>VLOOKUP(all_cause_mort[[Country]:[Country]],'[1]Mortality Data'!$A$2:$W$201,15,FALSE)</f>
        <v>2.4283699999999998E-2</v>
      </c>
      <c r="BM138">
        <f>VLOOKUP(all_cause_mort[[Country]:[Country]],'[1]Mortality Data'!$A$2:$W$201,16,FALSE)</f>
        <v>3.4975309000000003E-2</v>
      </c>
      <c r="BN138">
        <f>VLOOKUP(all_cause_mort[[Country]:[Country]],'[1]Mortality Data'!$A$2:$W$201,17,FALSE)</f>
        <v>5.3042563000000001E-2</v>
      </c>
      <c r="BO138">
        <f>VLOOKUP(all_cause_mort[[Country]:[Country]],'[1]Mortality Data'!$A$2:$W$201,18,FALSE)</f>
        <v>8.2962307999999998E-2</v>
      </c>
      <c r="BP138">
        <f>VLOOKUP(all_cause_mort[[Country]:[Country]],'[1]Mortality Data'!$A$2:$W$201,19,FALSE)</f>
        <v>0.13974455999999999</v>
      </c>
      <c r="BQ138">
        <f>VLOOKUP(all_cause_mort[[Country]:[Country]],'[1]Mortality Data'!$A$2:$W$201,20,FALSE)</f>
        <v>0.23894778999999999</v>
      </c>
      <c r="BR138">
        <f>VLOOKUP(all_cause_mort[[Country]:[Country]],'[1]Mortality Data'!$A$2:$W$201,21,FALSE)</f>
        <v>0.39206336000000003</v>
      </c>
      <c r="BS138">
        <f>VLOOKUP(all_cause_mort[[Country]:[Country]],'[1]Mortality Data'!$A$2:$W$201,22,FALSE)</f>
        <v>0.55045809999999995</v>
      </c>
      <c r="BT138">
        <f>VLOOKUP(all_cause_mort[[Country]:[Country]],'[1]Mortality Data'!$A$2:$W$201,23,FALSE)</f>
        <v>0.71037610863071499</v>
      </c>
      <c r="BU138" s="39" t="e">
        <f>VLOOKUP(all_cause_mort[[#This Row],[Country]],[2]!regions[#Data],3,FALSE)</f>
        <v>#REF!</v>
      </c>
    </row>
    <row r="139" spans="1:73" x14ac:dyDescent="0.35">
      <c r="A139" t="s">
        <v>333</v>
      </c>
      <c r="B139">
        <v>2681264749</v>
      </c>
      <c r="C139">
        <v>2722672277</v>
      </c>
      <c r="D139">
        <v>2764105969</v>
      </c>
      <c r="E139">
        <v>2805845772</v>
      </c>
      <c r="F139">
        <v>2847559084</v>
      </c>
      <c r="G139">
        <v>2889349899</v>
      </c>
      <c r="H139">
        <v>2931075528</v>
      </c>
      <c r="I139">
        <v>2972642807</v>
      </c>
      <c r="K139" t="s">
        <v>333</v>
      </c>
      <c r="L139">
        <v>22.357750518232983</v>
      </c>
      <c r="M139">
        <f>birthrate[[#This Row],[2016]]/1000</f>
        <v>2.2357750518232983E-2</v>
      </c>
      <c r="O139" t="s">
        <v>189</v>
      </c>
      <c r="P139">
        <v>9.4</v>
      </c>
      <c r="Q139">
        <f>facility[[#This Row],[Facility (%)]]/100</f>
        <v>9.4E-2</v>
      </c>
      <c r="S139" t="s">
        <v>174</v>
      </c>
      <c r="T139">
        <v>2014</v>
      </c>
      <c r="U139">
        <v>99.99</v>
      </c>
      <c r="V139">
        <f>SBA[[#This Row],[SBA (%)]]/100</f>
        <v>0.9998999999999999</v>
      </c>
      <c r="X139" s="13" t="s">
        <v>199</v>
      </c>
      <c r="Y139" s="13" t="s">
        <v>256</v>
      </c>
      <c r="Z139" s="26">
        <v>5.7000000000000002E-2</v>
      </c>
      <c r="AA139" s="26">
        <v>3.2000000000000001E-2</v>
      </c>
      <c r="AB139" s="26">
        <v>6.5000000000000002E-2</v>
      </c>
      <c r="AC139" s="30">
        <v>18269868</v>
      </c>
      <c r="AD139" s="27">
        <v>4.0816326530612249E-3</v>
      </c>
      <c r="AF139" s="24" t="s">
        <v>167</v>
      </c>
      <c r="AG139" s="24" t="s">
        <v>253</v>
      </c>
      <c r="AH139" s="24">
        <v>97</v>
      </c>
      <c r="AI139" s="25">
        <f>IF(birthdose[[#This Row],[2017]]/100=0, ,birthdose[[#This Row],[2017]]/100)</f>
        <v>0.97</v>
      </c>
      <c r="AK139" s="24" t="s">
        <v>167</v>
      </c>
      <c r="AL139" s="24" t="s">
        <v>254</v>
      </c>
      <c r="AM139" s="24">
        <v>98</v>
      </c>
      <c r="AN139" s="25">
        <f>IF(fullvax[[#This Row],[2017]]/100=0, ,fullvax[[#This Row],[2017]]/100)</f>
        <v>0.98</v>
      </c>
      <c r="AV139" s="8" t="s">
        <v>191</v>
      </c>
      <c r="AW139" s="11" t="s">
        <v>15</v>
      </c>
      <c r="AX139" s="41">
        <f>VLOOKUP(all_cause_mort[[#This Row],[Country]],[1]!populations[#Data],9,FALSE)*VLOOKUP(all_cause_mort[[#This Row],[Country]],[1]!birthrate[#Data],3,FALSE)</f>
        <v>451920.85830400005</v>
      </c>
      <c r="AY139">
        <f>VLOOKUP(all_cause_mort[[Country]:[Country]],'[1]Mortality Data'!$A$2:$W$201,2,FALSE)</f>
        <v>6.7728423999999995E-2</v>
      </c>
      <c r="AZ139">
        <f>VLOOKUP(all_cause_mort[[Country]:[Country]],'[1]Mortality Data'!$A$2:$W$201,3,FALSE)</f>
        <v>9.3465102999999994E-3</v>
      </c>
      <c r="BA139">
        <f>VLOOKUP(all_cause_mort[[Country]:[Country]],'[1]Mortality Data'!$A$2:$W$201,4,FALSE)</f>
        <v>3.8002976E-3</v>
      </c>
      <c r="BB139">
        <f>VLOOKUP(all_cause_mort[[Country]:[Country]],'[1]Mortality Data'!$A$2:$W$201,5,FALSE)</f>
        <v>2.3006838999999999E-3</v>
      </c>
      <c r="BC139">
        <f>VLOOKUP(all_cause_mort[[Country]:[Country]],'[1]Mortality Data'!$A$2:$W$201,6,FALSE)</f>
        <v>2.9704152000000002E-3</v>
      </c>
      <c r="BD139">
        <f>VLOOKUP(all_cause_mort[[Country]:[Country]],'[1]Mortality Data'!$A$2:$W$201,7,FALSE)</f>
        <v>4.1192366999999999E-3</v>
      </c>
      <c r="BE139">
        <f>VLOOKUP(all_cause_mort[[Country]:[Country]],'[1]Mortality Data'!$A$2:$W$201,8,FALSE)</f>
        <v>5.5669517999999999E-3</v>
      </c>
      <c r="BF139">
        <f>VLOOKUP(all_cause_mort[[Country]:[Country]],'[1]Mortality Data'!$A$2:$W$201,9,FALSE)</f>
        <v>7.1044489000000001E-3</v>
      </c>
      <c r="BG139">
        <f>VLOOKUP(all_cause_mort[[Country]:[Country]],'[1]Mortality Data'!$A$2:$W$201,10,FALSE)</f>
        <v>9.1361527000000005E-3</v>
      </c>
      <c r="BH139">
        <f>VLOOKUP(all_cause_mort[[Country]:[Country]],'[1]Mortality Data'!$A$2:$W$201,11,FALSE)</f>
        <v>1.0016008E-2</v>
      </c>
      <c r="BI139">
        <f>VLOOKUP(all_cause_mort[[Country]:[Country]],'[1]Mortality Data'!$A$2:$W$201,12,FALSE)</f>
        <v>1.1137097E-2</v>
      </c>
      <c r="BJ139">
        <f>VLOOKUP(all_cause_mort[[Country]:[Country]],'[1]Mortality Data'!$A$2:$W$201,13,FALSE)</f>
        <v>1.3203001000000001E-2</v>
      </c>
      <c r="BK139">
        <f>VLOOKUP(all_cause_mort[[Country]:[Country]],'[1]Mortality Data'!$A$2:$W$201,14,FALSE)</f>
        <v>1.6425408999999998E-2</v>
      </c>
      <c r="BL139">
        <f>VLOOKUP(all_cause_mort[[Country]:[Country]],'[1]Mortality Data'!$A$2:$W$201,15,FALSE)</f>
        <v>2.3767119E-2</v>
      </c>
      <c r="BM139">
        <f>VLOOKUP(all_cause_mort[[Country]:[Country]],'[1]Mortality Data'!$A$2:$W$201,16,FALSE)</f>
        <v>3.4531913999999997E-2</v>
      </c>
      <c r="BN139">
        <f>VLOOKUP(all_cause_mort[[Country]:[Country]],'[1]Mortality Data'!$A$2:$W$201,17,FALSE)</f>
        <v>5.4631733000000002E-2</v>
      </c>
      <c r="BO139">
        <f>VLOOKUP(all_cause_mort[[Country]:[Country]],'[1]Mortality Data'!$A$2:$W$201,18,FALSE)</f>
        <v>8.6265019999999998E-2</v>
      </c>
      <c r="BP139">
        <f>VLOOKUP(all_cause_mort[[Country]:[Country]],'[1]Mortality Data'!$A$2:$W$201,19,FALSE)</f>
        <v>0.13691693999999999</v>
      </c>
      <c r="BQ139">
        <f>VLOOKUP(all_cause_mort[[Country]:[Country]],'[1]Mortality Data'!$A$2:$W$201,20,FALSE)</f>
        <v>0.20671392</v>
      </c>
      <c r="BR139">
        <f>VLOOKUP(all_cause_mort[[Country]:[Country]],'[1]Mortality Data'!$A$2:$W$201,21,FALSE)</f>
        <v>0.29585280000000003</v>
      </c>
      <c r="BS139">
        <f>VLOOKUP(all_cause_mort[[Country]:[Country]],'[1]Mortality Data'!$A$2:$W$201,22,FALSE)</f>
        <v>0.39914906</v>
      </c>
      <c r="BT139">
        <f>VLOOKUP(all_cause_mort[[Country]:[Country]],'[1]Mortality Data'!$A$2:$W$201,23,FALSE)</f>
        <v>0.544192632001814</v>
      </c>
      <c r="BU139" s="39" t="e">
        <f>VLOOKUP(all_cause_mort[[#This Row],[Country]],[2]!regions[#Data],3,FALSE)</f>
        <v>#REF!</v>
      </c>
    </row>
    <row r="140" spans="1:73" x14ac:dyDescent="0.35">
      <c r="A140" t="s">
        <v>334</v>
      </c>
      <c r="B140">
        <v>5734082511</v>
      </c>
      <c r="C140">
        <v>5810352625</v>
      </c>
      <c r="D140">
        <v>5887499549</v>
      </c>
      <c r="E140">
        <v>5965580605</v>
      </c>
      <c r="F140">
        <v>6044110924</v>
      </c>
      <c r="G140">
        <v>6122845409</v>
      </c>
      <c r="H140">
        <v>6202019744</v>
      </c>
      <c r="I140">
        <v>6281293921</v>
      </c>
      <c r="K140" t="s">
        <v>334</v>
      </c>
      <c r="L140">
        <v>20.442578714852786</v>
      </c>
      <c r="M140">
        <f>birthrate[[#This Row],[2016]]/1000</f>
        <v>2.0442578714852788E-2</v>
      </c>
      <c r="O140" t="s">
        <v>190</v>
      </c>
      <c r="P140">
        <v>95.9</v>
      </c>
      <c r="Q140">
        <f>facility[[#This Row],[Facility (%)]]/100</f>
        <v>0.95900000000000007</v>
      </c>
      <c r="S140" t="s">
        <v>175</v>
      </c>
      <c r="T140" t="s">
        <v>257</v>
      </c>
      <c r="U140">
        <v>98.7</v>
      </c>
      <c r="V140">
        <f>SBA[[#This Row],[SBA (%)]]/100</f>
        <v>0.98699999999999999</v>
      </c>
      <c r="X140" s="13" t="s">
        <v>200</v>
      </c>
      <c r="Y140" s="13" t="s">
        <v>256</v>
      </c>
      <c r="Z140" s="26">
        <v>6.7000000000000004E-2</v>
      </c>
      <c r="AA140" s="26">
        <v>5.6000000000000001E-2</v>
      </c>
      <c r="AB140" s="26">
        <v>8.5999999999999993E-2</v>
      </c>
      <c r="AC140" s="30">
        <v>8921343</v>
      </c>
      <c r="AD140" s="27">
        <v>9.693877551020403E-3</v>
      </c>
      <c r="AF140" s="24" t="s">
        <v>168</v>
      </c>
      <c r="AG140" s="24" t="s">
        <v>253</v>
      </c>
      <c r="AH140" s="24">
        <v>97</v>
      </c>
      <c r="AI140" s="25">
        <f>IF(birthdose[[#This Row],[2017]]/100=0, ,birthdose[[#This Row],[2017]]/100)</f>
        <v>0.97</v>
      </c>
      <c r="AK140" s="24" t="s">
        <v>168</v>
      </c>
      <c r="AL140" s="24" t="s">
        <v>254</v>
      </c>
      <c r="AM140" s="24">
        <v>97</v>
      </c>
      <c r="AN140" s="25">
        <f>IF(fullvax[[#This Row],[2017]]/100=0, ,fullvax[[#This Row],[2017]]/100)</f>
        <v>0.97</v>
      </c>
      <c r="AV140" s="8" t="s">
        <v>193</v>
      </c>
      <c r="AW140" s="11" t="s">
        <v>58</v>
      </c>
      <c r="AX140" s="41">
        <f>VLOOKUP(all_cause_mort[[#This Row],[Country]],[1]!populations[#Data],9,FALSE)*VLOOKUP(all_cause_mort[[#This Row],[Country]],[1]!birthrate[#Data],3,FALSE)</f>
        <v>327921.64799999999</v>
      </c>
      <c r="AY140">
        <f>VLOOKUP(all_cause_mort[[Country]:[Country]],'[1]Mortality Data'!$A$2:$W$201,2,FALSE)</f>
        <v>7.6270091000000002E-3</v>
      </c>
      <c r="AZ140">
        <f>VLOOKUP(all_cause_mort[[Country]:[Country]],'[1]Mortality Data'!$A$2:$W$201,3,FALSE)</f>
        <v>2.5716748000000002E-4</v>
      </c>
      <c r="BA140">
        <f>VLOOKUP(all_cause_mort[[Country]:[Country]],'[1]Mortality Data'!$A$2:$W$201,4,FALSE)</f>
        <v>2.9727486999999998E-4</v>
      </c>
      <c r="BB140">
        <f>VLOOKUP(all_cause_mort[[Country]:[Country]],'[1]Mortality Data'!$A$2:$W$201,5,FALSE)</f>
        <v>2.9060316000000002E-4</v>
      </c>
      <c r="BC140">
        <f>VLOOKUP(all_cause_mort[[Country]:[Country]],'[1]Mortality Data'!$A$2:$W$201,6,FALSE)</f>
        <v>5.5561759999999999E-4</v>
      </c>
      <c r="BD140">
        <f>VLOOKUP(all_cause_mort[[Country]:[Country]],'[1]Mortality Data'!$A$2:$W$201,7,FALSE)</f>
        <v>7.9042489999999995E-4</v>
      </c>
      <c r="BE140">
        <f>VLOOKUP(all_cause_mort[[Country]:[Country]],'[1]Mortality Data'!$A$2:$W$201,8,FALSE)</f>
        <v>8.6472074999999996E-4</v>
      </c>
      <c r="BF140">
        <f>VLOOKUP(all_cause_mort[[Country]:[Country]],'[1]Mortality Data'!$A$2:$W$201,9,FALSE)</f>
        <v>9.899798899999999E-4</v>
      </c>
      <c r="BG140">
        <f>VLOOKUP(all_cause_mort[[Country]:[Country]],'[1]Mortality Data'!$A$2:$W$201,10,FALSE)</f>
        <v>1.4254521E-3</v>
      </c>
      <c r="BH140">
        <f>VLOOKUP(all_cause_mort[[Country]:[Country]],'[1]Mortality Data'!$A$2:$W$201,11,FALSE)</f>
        <v>2.0901359000000002E-3</v>
      </c>
      <c r="BI140">
        <f>VLOOKUP(all_cause_mort[[Country]:[Country]],'[1]Mortality Data'!$A$2:$W$201,12,FALSE)</f>
        <v>3.2315922000000002E-3</v>
      </c>
      <c r="BJ140">
        <f>VLOOKUP(all_cause_mort[[Country]:[Country]],'[1]Mortality Data'!$A$2:$W$201,13,FALSE)</f>
        <v>4.9696093000000004E-3</v>
      </c>
      <c r="BK140">
        <f>VLOOKUP(all_cause_mort[[Country]:[Country]],'[1]Mortality Data'!$A$2:$W$201,14,FALSE)</f>
        <v>7.092793E-3</v>
      </c>
      <c r="BL140">
        <f>VLOOKUP(all_cause_mort[[Country]:[Country]],'[1]Mortality Data'!$A$2:$W$201,15,FALSE)</f>
        <v>1.0232006E-2</v>
      </c>
      <c r="BM140">
        <f>VLOOKUP(all_cause_mort[[Country]:[Country]],'[1]Mortality Data'!$A$2:$W$201,16,FALSE)</f>
        <v>1.8234389E-2</v>
      </c>
      <c r="BN140">
        <f>VLOOKUP(all_cause_mort[[Country]:[Country]],'[1]Mortality Data'!$A$2:$W$201,17,FALSE)</f>
        <v>3.3990567999999999E-2</v>
      </c>
      <c r="BO140">
        <f>VLOOKUP(all_cause_mort[[Country]:[Country]],'[1]Mortality Data'!$A$2:$W$201,18,FALSE)</f>
        <v>4.8132476E-2</v>
      </c>
      <c r="BP140">
        <f>VLOOKUP(all_cause_mort[[Country]:[Country]],'[1]Mortality Data'!$A$2:$W$201,19,FALSE)</f>
        <v>8.4353692999999993E-2</v>
      </c>
      <c r="BQ140">
        <f>VLOOKUP(all_cause_mort[[Country]:[Country]],'[1]Mortality Data'!$A$2:$W$201,20,FALSE)</f>
        <v>0.14723432</v>
      </c>
      <c r="BR140">
        <f>VLOOKUP(all_cause_mort[[Country]:[Country]],'[1]Mortality Data'!$A$2:$W$201,21,FALSE)</f>
        <v>0.24261126</v>
      </c>
      <c r="BS140">
        <f>VLOOKUP(all_cause_mort[[Country]:[Country]],'[1]Mortality Data'!$A$2:$W$201,22,FALSE)</f>
        <v>0.36747946999999997</v>
      </c>
      <c r="BT140">
        <f>VLOOKUP(all_cause_mort[[Country]:[Country]],'[1]Mortality Data'!$A$2:$W$201,23,FALSE)</f>
        <v>0.51173343355120904</v>
      </c>
      <c r="BU140" s="39" t="e">
        <f>VLOOKUP(all_cause_mort[[#This Row],[Country]],[2]!regions[#Data],3,FALSE)</f>
        <v>#REF!</v>
      </c>
    </row>
    <row r="141" spans="1:73" x14ac:dyDescent="0.35">
      <c r="A141" t="s">
        <v>126</v>
      </c>
      <c r="B141">
        <v>2040551</v>
      </c>
      <c r="C141">
        <v>2064166</v>
      </c>
      <c r="D141">
        <v>2089928</v>
      </c>
      <c r="E141">
        <v>2117361</v>
      </c>
      <c r="F141">
        <v>2145785</v>
      </c>
      <c r="G141">
        <v>2174645</v>
      </c>
      <c r="H141">
        <v>2203821</v>
      </c>
      <c r="I141">
        <v>2233339</v>
      </c>
      <c r="K141" t="s">
        <v>126</v>
      </c>
      <c r="L141">
        <v>27.872</v>
      </c>
      <c r="M141">
        <f>birthrate[[#This Row],[2016]]/1000</f>
        <v>2.7872000000000001E-2</v>
      </c>
      <c r="O141" t="s">
        <v>191</v>
      </c>
      <c r="P141">
        <v>11.5</v>
      </c>
      <c r="Q141">
        <f>facility[[#This Row],[Facility (%)]]/100</f>
        <v>0.115</v>
      </c>
      <c r="S141" t="s">
        <v>176</v>
      </c>
      <c r="T141">
        <v>2014</v>
      </c>
      <c r="U141">
        <v>99</v>
      </c>
      <c r="V141">
        <f>SBA[[#This Row],[SBA (%)]]/100</f>
        <v>0.99</v>
      </c>
      <c r="X141" s="10" t="s">
        <v>201</v>
      </c>
      <c r="Y141" s="10" t="s">
        <v>256</v>
      </c>
      <c r="Z141" s="21">
        <v>3.5000000000000003E-2</v>
      </c>
      <c r="AA141" s="21">
        <v>1.6E-2</v>
      </c>
      <c r="AB141" s="21">
        <v>0.04</v>
      </c>
      <c r="AC141" s="30">
        <v>69037513</v>
      </c>
      <c r="AD141" s="27">
        <v>2.5510204081632642E-3</v>
      </c>
      <c r="AF141" s="29" t="s">
        <v>169</v>
      </c>
      <c r="AG141" s="24" t="s">
        <v>253</v>
      </c>
      <c r="AH141" s="24">
        <v>92</v>
      </c>
      <c r="AI141" s="25">
        <f>IF(birthdose[[#This Row],[2017]]/100=0, ,birthdose[[#This Row],[2017]]/100)</f>
        <v>0.92</v>
      </c>
      <c r="AK141" s="29" t="s">
        <v>169</v>
      </c>
      <c r="AL141" s="24" t="s">
        <v>254</v>
      </c>
      <c r="AM141" s="24">
        <v>98</v>
      </c>
      <c r="AN141" s="25">
        <f>IF(fullvax[[#This Row],[2017]]/100=0, ,fullvax[[#This Row],[2017]]/100)</f>
        <v>0.98</v>
      </c>
      <c r="AV141" s="12" t="s">
        <v>194</v>
      </c>
      <c r="AW141" s="14" t="s">
        <v>7</v>
      </c>
      <c r="AX141" s="41">
        <f>VLOOKUP(all_cause_mort[[#This Row],[Country]],[1]!populations[#Data],9,FALSE)*VLOOKUP(all_cause_mort[[#This Row],[Country]],[1]!birthrate[#Data],3,FALSE)</f>
        <v>1334600.4235800002</v>
      </c>
      <c r="AY141">
        <f>VLOOKUP(all_cause_mort[[Country]:[Country]],'[1]Mortality Data'!$A$2:$W$201,2,FALSE)</f>
        <v>4.4451098000000001E-2</v>
      </c>
      <c r="AZ141">
        <f>VLOOKUP(all_cause_mort[[Country]:[Country]],'[1]Mortality Data'!$A$2:$W$201,3,FALSE)</f>
        <v>5.5883655999999999E-3</v>
      </c>
      <c r="BA141">
        <f>VLOOKUP(all_cause_mort[[Country]:[Country]],'[1]Mortality Data'!$A$2:$W$201,4,FALSE)</f>
        <v>2.1784857999999998E-3</v>
      </c>
      <c r="BB141">
        <f>VLOOKUP(all_cause_mort[[Country]:[Country]],'[1]Mortality Data'!$A$2:$W$201,5,FALSE)</f>
        <v>1.6332594999999999E-3</v>
      </c>
      <c r="BC141">
        <f>VLOOKUP(all_cause_mort[[Country]:[Country]],'[1]Mortality Data'!$A$2:$W$201,6,FALSE)</f>
        <v>1.9276326999999999E-3</v>
      </c>
      <c r="BD141">
        <f>VLOOKUP(all_cause_mort[[Country]:[Country]],'[1]Mortality Data'!$A$2:$W$201,7,FALSE)</f>
        <v>2.5882509000000001E-3</v>
      </c>
      <c r="BE141">
        <f>VLOOKUP(all_cause_mort[[Country]:[Country]],'[1]Mortality Data'!$A$2:$W$201,8,FALSE)</f>
        <v>3.0767762999999999E-3</v>
      </c>
      <c r="BF141">
        <f>VLOOKUP(all_cause_mort[[Country]:[Country]],'[1]Mortality Data'!$A$2:$W$201,9,FALSE)</f>
        <v>3.5773043E-3</v>
      </c>
      <c r="BG141">
        <f>VLOOKUP(all_cause_mort[[Country]:[Country]],'[1]Mortality Data'!$A$2:$W$201,10,FALSE)</f>
        <v>4.5163316000000004E-3</v>
      </c>
      <c r="BH141">
        <f>VLOOKUP(all_cause_mort[[Country]:[Country]],'[1]Mortality Data'!$A$2:$W$201,11,FALSE)</f>
        <v>5.4830182999999998E-3</v>
      </c>
      <c r="BI141">
        <f>VLOOKUP(all_cause_mort[[Country]:[Country]],'[1]Mortality Data'!$A$2:$W$201,12,FALSE)</f>
        <v>6.7309789000000002E-3</v>
      </c>
      <c r="BJ141">
        <f>VLOOKUP(all_cause_mort[[Country]:[Country]],'[1]Mortality Data'!$A$2:$W$201,13,FALSE)</f>
        <v>9.0234352000000007E-3</v>
      </c>
      <c r="BK141">
        <f>VLOOKUP(all_cause_mort[[Country]:[Country]],'[1]Mortality Data'!$A$2:$W$201,14,FALSE)</f>
        <v>1.227107E-2</v>
      </c>
      <c r="BL141">
        <f>VLOOKUP(all_cause_mort[[Country]:[Country]],'[1]Mortality Data'!$A$2:$W$201,15,FALSE)</f>
        <v>1.8292995999999999E-2</v>
      </c>
      <c r="BM141">
        <f>VLOOKUP(all_cause_mort[[Country]:[Country]],'[1]Mortality Data'!$A$2:$W$201,16,FALSE)</f>
        <v>2.9307429999999999E-2</v>
      </c>
      <c r="BN141">
        <f>VLOOKUP(all_cause_mort[[Country]:[Country]],'[1]Mortality Data'!$A$2:$W$201,17,FALSE)</f>
        <v>4.7429720000000002E-2</v>
      </c>
      <c r="BO141">
        <f>VLOOKUP(all_cause_mort[[Country]:[Country]],'[1]Mortality Data'!$A$2:$W$201,18,FALSE)</f>
        <v>7.5738363000000003E-2</v>
      </c>
      <c r="BP141">
        <f>VLOOKUP(all_cause_mort[[Country]:[Country]],'[1]Mortality Data'!$A$2:$W$201,19,FALSE)</f>
        <v>0.12056936</v>
      </c>
      <c r="BQ141">
        <f>VLOOKUP(all_cause_mort[[Country]:[Country]],'[1]Mortality Data'!$A$2:$W$201,20,FALSE)</f>
        <v>0.18189026</v>
      </c>
      <c r="BR141">
        <f>VLOOKUP(all_cause_mort[[Country]:[Country]],'[1]Mortality Data'!$A$2:$W$201,21,FALSE)</f>
        <v>0.26016973999999998</v>
      </c>
      <c r="BS141">
        <f>VLOOKUP(all_cause_mort[[Country]:[Country]],'[1]Mortality Data'!$A$2:$W$201,22,FALSE)</f>
        <v>0.34929746</v>
      </c>
      <c r="BT141">
        <f>VLOOKUP(all_cause_mort[[Country]:[Country]],'[1]Mortality Data'!$A$2:$W$201,23,FALSE)</f>
        <v>0.47029742549783299</v>
      </c>
      <c r="BU141" s="39" t="e">
        <f>VLOOKUP(all_cause_mort[[#This Row],[Country]],[2]!regions[#Data],3,FALSE)</f>
        <v>#REF!</v>
      </c>
    </row>
    <row r="142" spans="1:73" x14ac:dyDescent="0.35">
      <c r="A142" t="s">
        <v>335</v>
      </c>
      <c r="B142">
        <v>2182871640</v>
      </c>
      <c r="C142">
        <v>2196130364</v>
      </c>
      <c r="D142">
        <v>2209708504</v>
      </c>
      <c r="E142">
        <v>2223457388</v>
      </c>
      <c r="F142">
        <v>2237241890</v>
      </c>
      <c r="G142">
        <v>2250812795</v>
      </c>
      <c r="H142">
        <v>2264568981</v>
      </c>
      <c r="I142">
        <v>2278227192</v>
      </c>
      <c r="K142" t="s">
        <v>335</v>
      </c>
      <c r="L142">
        <v>12.884458353507759</v>
      </c>
      <c r="M142">
        <f>birthrate[[#This Row],[2016]]/1000</f>
        <v>1.2884458353507759E-2</v>
      </c>
      <c r="O142" t="s">
        <v>193</v>
      </c>
      <c r="P142">
        <v>99.7</v>
      </c>
      <c r="Q142">
        <f>facility[[#This Row],[Facility (%)]]/100</f>
        <v>0.997</v>
      </c>
      <c r="S142" t="s">
        <v>177</v>
      </c>
      <c r="T142" t="s">
        <v>271</v>
      </c>
      <c r="U142">
        <v>82.5</v>
      </c>
      <c r="V142">
        <f>SBA[[#This Row],[SBA (%)]]/100</f>
        <v>0.82499999999999996</v>
      </c>
      <c r="X142" s="10" t="s">
        <v>204</v>
      </c>
      <c r="Y142" s="10" t="s">
        <v>252</v>
      </c>
      <c r="Z142" s="21">
        <v>0.1087</v>
      </c>
      <c r="AA142" s="21">
        <v>7.4499999999999997E-2</v>
      </c>
      <c r="AB142" s="21">
        <v>0.15590000000000001</v>
      </c>
      <c r="AC142" s="31">
        <v>6502952</v>
      </c>
      <c r="AD142" s="27">
        <v>2.4081632653061229E-2</v>
      </c>
      <c r="AF142" s="29" t="s">
        <v>170</v>
      </c>
      <c r="AG142" s="24" t="s">
        <v>253</v>
      </c>
      <c r="AH142" s="24">
        <v>96</v>
      </c>
      <c r="AI142" s="25">
        <f>IF(birthdose[[#This Row],[2017]]/100=0, ,birthdose[[#This Row],[2017]]/100)</f>
        <v>0.96</v>
      </c>
      <c r="AK142" s="29" t="s">
        <v>170</v>
      </c>
      <c r="AL142" s="24" t="s">
        <v>254</v>
      </c>
      <c r="AM142" s="24">
        <v>89</v>
      </c>
      <c r="AN142" s="25">
        <f>IF(fullvax[[#This Row],[2017]]/100=0, ,fullvax[[#This Row],[2017]]/100)</f>
        <v>0.89</v>
      </c>
      <c r="AV142" s="8" t="s">
        <v>195</v>
      </c>
      <c r="AW142" s="11" t="s">
        <v>23</v>
      </c>
      <c r="AX142" s="41">
        <f>VLOOKUP(all_cause_mort[[#This Row],[Country]],[1]!populations[#Data],9,FALSE)*VLOOKUP(all_cause_mort[[#This Row],[Country]],[1]!birthrate[#Data],3,FALSE)</f>
        <v>10262.930832</v>
      </c>
      <c r="AY142">
        <f>VLOOKUP(all_cause_mort[[Country]:[Country]],'[1]Mortality Data'!$A$2:$W$201,2,FALSE)</f>
        <v>1.7777304000000001E-2</v>
      </c>
      <c r="AZ142">
        <f>VLOOKUP(all_cause_mort[[Country]:[Country]],'[1]Mortality Data'!$A$2:$W$201,3,FALSE)</f>
        <v>5.2781243000000002E-4</v>
      </c>
      <c r="BA142">
        <f>VLOOKUP(all_cause_mort[[Country]:[Country]],'[1]Mortality Data'!$A$2:$W$201,4,FALSE)</f>
        <v>5.5168294999999995E-4</v>
      </c>
      <c r="BB142">
        <f>VLOOKUP(all_cause_mort[[Country]:[Country]],'[1]Mortality Data'!$A$2:$W$201,5,FALSE)</f>
        <v>3.1566464E-4</v>
      </c>
      <c r="BC142">
        <f>VLOOKUP(all_cause_mort[[Country]:[Country]],'[1]Mortality Data'!$A$2:$W$201,6,FALSE)</f>
        <v>5.7592972999999999E-4</v>
      </c>
      <c r="BD142">
        <f>VLOOKUP(all_cause_mort[[Country]:[Country]],'[1]Mortality Data'!$A$2:$W$201,7,FALSE)</f>
        <v>1.1778171999999999E-3</v>
      </c>
      <c r="BE142">
        <f>VLOOKUP(all_cause_mort[[Country]:[Country]],'[1]Mortality Data'!$A$2:$W$201,8,FALSE)</f>
        <v>1.9046491E-3</v>
      </c>
      <c r="BF142">
        <f>VLOOKUP(all_cause_mort[[Country]:[Country]],'[1]Mortality Data'!$A$2:$W$201,9,FALSE)</f>
        <v>2.5845357E-3</v>
      </c>
      <c r="BG142">
        <f>VLOOKUP(all_cause_mort[[Country]:[Country]],'[1]Mortality Data'!$A$2:$W$201,10,FALSE)</f>
        <v>3.2410093000000001E-3</v>
      </c>
      <c r="BH142">
        <f>VLOOKUP(all_cause_mort[[Country]:[Country]],'[1]Mortality Data'!$A$2:$W$201,11,FALSE)</f>
        <v>3.9719279E-3</v>
      </c>
      <c r="BI142">
        <f>VLOOKUP(all_cause_mort[[Country]:[Country]],'[1]Mortality Data'!$A$2:$W$201,12,FALSE)</f>
        <v>5.1181836999999999E-3</v>
      </c>
      <c r="BJ142">
        <f>VLOOKUP(all_cause_mort[[Country]:[Country]],'[1]Mortality Data'!$A$2:$W$201,13,FALSE)</f>
        <v>7.4558296E-3</v>
      </c>
      <c r="BK142">
        <f>VLOOKUP(all_cause_mort[[Country]:[Country]],'[1]Mortality Data'!$A$2:$W$201,14,FALSE)</f>
        <v>1.1667092E-2</v>
      </c>
      <c r="BL142">
        <f>VLOOKUP(all_cause_mort[[Country]:[Country]],'[1]Mortality Data'!$A$2:$W$201,15,FALSE)</f>
        <v>1.8290562999999999E-2</v>
      </c>
      <c r="BM142">
        <f>VLOOKUP(all_cause_mort[[Country]:[Country]],'[1]Mortality Data'!$A$2:$W$201,16,FALSE)</f>
        <v>2.8251730999999999E-2</v>
      </c>
      <c r="BN142">
        <f>VLOOKUP(all_cause_mort[[Country]:[Country]],'[1]Mortality Data'!$A$2:$W$201,17,FALSE)</f>
        <v>4.3296299000000003E-2</v>
      </c>
      <c r="BO142">
        <f>VLOOKUP(all_cause_mort[[Country]:[Country]],'[1]Mortality Data'!$A$2:$W$201,18,FALSE)</f>
        <v>6.6042428E-2</v>
      </c>
      <c r="BP142">
        <f>VLOOKUP(all_cause_mort[[Country]:[Country]],'[1]Mortality Data'!$A$2:$W$201,19,FALSE)</f>
        <v>0.10010595</v>
      </c>
      <c r="BQ142">
        <f>VLOOKUP(all_cause_mort[[Country]:[Country]],'[1]Mortality Data'!$A$2:$W$201,20,FALSE)</f>
        <v>0.14854708999999999</v>
      </c>
      <c r="BR142">
        <f>VLOOKUP(all_cause_mort[[Country]:[Country]],'[1]Mortality Data'!$A$2:$W$201,21,FALSE)</f>
        <v>0.21396841</v>
      </c>
      <c r="BS142">
        <f>VLOOKUP(all_cause_mort[[Country]:[Country]],'[1]Mortality Data'!$A$2:$W$201,22,FALSE)</f>
        <v>0.29570102999999998</v>
      </c>
      <c r="BT142">
        <f>VLOOKUP(all_cause_mort[[Country]:[Country]],'[1]Mortality Data'!$A$2:$W$201,23,FALSE)</f>
        <v>0.40853488197468102</v>
      </c>
      <c r="BU142" s="39" t="e">
        <f>VLOOKUP(all_cause_mort[[#This Row],[Country]],[2]!regions[#Data],3,FALSE)</f>
        <v>#REF!</v>
      </c>
    </row>
    <row r="143" spans="1:73" x14ac:dyDescent="0.35">
      <c r="A143" t="s">
        <v>129</v>
      </c>
      <c r="B143">
        <v>3097282</v>
      </c>
      <c r="C143">
        <v>3028115</v>
      </c>
      <c r="D143">
        <v>2987773</v>
      </c>
      <c r="E143">
        <v>2957689</v>
      </c>
      <c r="F143">
        <v>2932367</v>
      </c>
      <c r="G143">
        <v>2904910</v>
      </c>
      <c r="H143">
        <v>2868231</v>
      </c>
      <c r="I143">
        <v>2827721</v>
      </c>
      <c r="K143" t="s">
        <v>129</v>
      </c>
      <c r="L143">
        <v>10.7</v>
      </c>
      <c r="M143">
        <f>birthrate[[#This Row],[2016]]/1000</f>
        <v>1.0699999999999999E-2</v>
      </c>
      <c r="O143" t="s">
        <v>297</v>
      </c>
      <c r="P143">
        <v>99.3</v>
      </c>
      <c r="Q143">
        <f>facility[[#This Row],[Facility (%)]]/100</f>
        <v>0.99299999999999999</v>
      </c>
      <c r="S143" t="s">
        <v>179</v>
      </c>
      <c r="T143" t="s">
        <v>264</v>
      </c>
      <c r="U143">
        <v>92.5</v>
      </c>
      <c r="V143">
        <f>SBA[[#This Row],[SBA (%)]]/100</f>
        <v>0.92500000000000004</v>
      </c>
      <c r="X143" s="13" t="s">
        <v>207</v>
      </c>
      <c r="Y143" s="13" t="s">
        <v>256</v>
      </c>
      <c r="Z143" s="26">
        <v>3.9E-2</v>
      </c>
      <c r="AA143" s="26">
        <v>3.5999999999999997E-2</v>
      </c>
      <c r="AB143" s="26">
        <v>4.2000000000000003E-2</v>
      </c>
      <c r="AC143" s="30">
        <v>11532127</v>
      </c>
      <c r="AD143" s="27">
        <v>1.5306122448979606E-3</v>
      </c>
      <c r="AF143" s="24" t="s">
        <v>171</v>
      </c>
      <c r="AG143" s="24" t="s">
        <v>253</v>
      </c>
      <c r="AH143" s="24">
        <v>93</v>
      </c>
      <c r="AI143" s="25">
        <f>IF(birthdose[[#This Row],[2017]]/100=0, ,birthdose[[#This Row],[2017]]/100)</f>
        <v>0.93</v>
      </c>
      <c r="AK143" s="24" t="s">
        <v>171</v>
      </c>
      <c r="AL143" s="24" t="s">
        <v>254</v>
      </c>
      <c r="AM143" s="24">
        <v>92</v>
      </c>
      <c r="AN143" s="25">
        <f>IF(fullvax[[#This Row],[2017]]/100=0, ,fullvax[[#This Row],[2017]]/100)</f>
        <v>0.92</v>
      </c>
      <c r="AV143" s="8" t="s">
        <v>199</v>
      </c>
      <c r="AW143" s="11" t="s">
        <v>7</v>
      </c>
      <c r="AX143" s="41">
        <f>VLOOKUP(all_cause_mort[[#This Row],[Country]],[1]!populations[#Data],9,FALSE)*VLOOKUP(all_cause_mort[[#This Row],[Country]],[1]!birthrate[#Data],3,FALSE)</f>
        <v>392290.60569600004</v>
      </c>
      <c r="AY143">
        <f>VLOOKUP(all_cause_mort[[Country]:[Country]],'[1]Mortality Data'!$A$2:$W$201,2,FALSE)</f>
        <v>1.5766444000000001E-2</v>
      </c>
      <c r="AZ143">
        <f>VLOOKUP(all_cause_mort[[Country]:[Country]],'[1]Mortality Data'!$A$2:$W$201,3,FALSE)</f>
        <v>5.6704656000000002E-4</v>
      </c>
      <c r="BA143">
        <f>VLOOKUP(all_cause_mort[[Country]:[Country]],'[1]Mortality Data'!$A$2:$W$201,4,FALSE)</f>
        <v>3.5489574000000001E-4</v>
      </c>
      <c r="BB143">
        <f>VLOOKUP(all_cause_mort[[Country]:[Country]],'[1]Mortality Data'!$A$2:$W$201,5,FALSE)</f>
        <v>3.1630391999999999E-4</v>
      </c>
      <c r="BC143">
        <f>VLOOKUP(all_cause_mort[[Country]:[Country]],'[1]Mortality Data'!$A$2:$W$201,6,FALSE)</f>
        <v>2.1570409000000001E-3</v>
      </c>
      <c r="BD143">
        <f>VLOOKUP(all_cause_mort[[Country]:[Country]],'[1]Mortality Data'!$A$2:$W$201,7,FALSE)</f>
        <v>3.1574026999999999E-3</v>
      </c>
      <c r="BE143">
        <f>VLOOKUP(all_cause_mort[[Country]:[Country]],'[1]Mortality Data'!$A$2:$W$201,8,FALSE)</f>
        <v>4.7024954999999998E-3</v>
      </c>
      <c r="BF143">
        <f>VLOOKUP(all_cause_mort[[Country]:[Country]],'[1]Mortality Data'!$A$2:$W$201,9,FALSE)</f>
        <v>4.0357984999999999E-3</v>
      </c>
      <c r="BG143">
        <f>VLOOKUP(all_cause_mort[[Country]:[Country]],'[1]Mortality Data'!$A$2:$W$201,10,FALSE)</f>
        <v>2.7400561999999999E-3</v>
      </c>
      <c r="BH143">
        <f>VLOOKUP(all_cause_mort[[Country]:[Country]],'[1]Mortality Data'!$A$2:$W$201,11,FALSE)</f>
        <v>2.7402773999999999E-3</v>
      </c>
      <c r="BI143">
        <f>VLOOKUP(all_cause_mort[[Country]:[Country]],'[1]Mortality Data'!$A$2:$W$201,12,FALSE)</f>
        <v>4.1048001000000001E-3</v>
      </c>
      <c r="BJ143">
        <f>VLOOKUP(all_cause_mort[[Country]:[Country]],'[1]Mortality Data'!$A$2:$W$201,13,FALSE)</f>
        <v>6.7285174999999996E-3</v>
      </c>
      <c r="BK143">
        <f>VLOOKUP(all_cause_mort[[Country]:[Country]],'[1]Mortality Data'!$A$2:$W$201,14,FALSE)</f>
        <v>8.2698318000000003E-3</v>
      </c>
      <c r="BL143">
        <f>VLOOKUP(all_cause_mort[[Country]:[Country]],'[1]Mortality Data'!$A$2:$W$201,15,FALSE)</f>
        <v>1.3416941999999999E-2</v>
      </c>
      <c r="BM143">
        <f>VLOOKUP(all_cause_mort[[Country]:[Country]],'[1]Mortality Data'!$A$2:$W$201,16,FALSE)</f>
        <v>2.2714427999999998E-2</v>
      </c>
      <c r="BN143">
        <f>VLOOKUP(all_cause_mort[[Country]:[Country]],'[1]Mortality Data'!$A$2:$W$201,17,FALSE)</f>
        <v>3.8772622E-2</v>
      </c>
      <c r="BO143">
        <f>VLOOKUP(all_cause_mort[[Country]:[Country]],'[1]Mortality Data'!$A$2:$W$201,18,FALSE)</f>
        <v>5.9679504000000001E-2</v>
      </c>
      <c r="BP143">
        <f>VLOOKUP(all_cause_mort[[Country]:[Country]],'[1]Mortality Data'!$A$2:$W$201,19,FALSE)</f>
        <v>0.10429607</v>
      </c>
      <c r="BQ143">
        <f>VLOOKUP(all_cause_mort[[Country]:[Country]],'[1]Mortality Data'!$A$2:$W$201,20,FALSE)</f>
        <v>0.17082674</v>
      </c>
      <c r="BR143">
        <f>VLOOKUP(all_cause_mort[[Country]:[Country]],'[1]Mortality Data'!$A$2:$W$201,21,FALSE)</f>
        <v>0.26694573999999999</v>
      </c>
      <c r="BS143">
        <f>VLOOKUP(all_cause_mort[[Country]:[Country]],'[1]Mortality Data'!$A$2:$W$201,22,FALSE)</f>
        <v>0.37423364999999997</v>
      </c>
      <c r="BT143">
        <f>VLOOKUP(all_cause_mort[[Country]:[Country]],'[1]Mortality Data'!$A$2:$W$201,23,FALSE)</f>
        <v>0.50454392256663505</v>
      </c>
      <c r="BU143" s="39" t="e">
        <f>VLOOKUP(all_cause_mort[[#This Row],[Country]],[2]!regions[#Data],3,FALSE)</f>
        <v>#REF!</v>
      </c>
    </row>
    <row r="144" spans="1:73" x14ac:dyDescent="0.35">
      <c r="A144" t="s">
        <v>130</v>
      </c>
      <c r="B144">
        <v>506953</v>
      </c>
      <c r="C144">
        <v>518347</v>
      </c>
      <c r="D144">
        <v>530946</v>
      </c>
      <c r="E144">
        <v>543360</v>
      </c>
      <c r="F144">
        <v>556319</v>
      </c>
      <c r="G144">
        <v>569604</v>
      </c>
      <c r="H144">
        <v>582014</v>
      </c>
      <c r="I144">
        <v>599449</v>
      </c>
      <c r="K144" t="s">
        <v>130</v>
      </c>
      <c r="L144">
        <v>10.4</v>
      </c>
      <c r="M144">
        <f>birthrate[[#This Row],[2016]]/1000</f>
        <v>1.04E-2</v>
      </c>
      <c r="O144" t="s">
        <v>194</v>
      </c>
      <c r="P144">
        <v>27.7</v>
      </c>
      <c r="Q144">
        <f>facility[[#This Row],[Facility (%)]]/100</f>
        <v>0.27699999999999997</v>
      </c>
      <c r="S144" t="s">
        <v>180</v>
      </c>
      <c r="T144">
        <v>2013</v>
      </c>
      <c r="U144">
        <v>98</v>
      </c>
      <c r="V144">
        <f>SBA[[#This Row],[SBA (%)]]/100</f>
        <v>0.98</v>
      </c>
      <c r="X144" s="10" t="s">
        <v>208</v>
      </c>
      <c r="Y144" s="10" t="s">
        <v>256</v>
      </c>
      <c r="Z144" s="21">
        <v>2.5999999999999999E-2</v>
      </c>
      <c r="AA144" s="21">
        <v>1.9E-2</v>
      </c>
      <c r="AB144" s="21">
        <v>3.5000000000000003E-2</v>
      </c>
      <c r="AC144" s="30">
        <v>80745020</v>
      </c>
      <c r="AD144" s="27">
        <v>4.5918367346938797E-3</v>
      </c>
      <c r="AF144" s="29" t="s">
        <v>172</v>
      </c>
      <c r="AG144" s="24" t="s">
        <v>253</v>
      </c>
      <c r="AH144" s="24"/>
      <c r="AI144" s="25">
        <f>IF(birthdose[[#This Row],[2017]]/100=0, ,birthdose[[#This Row],[2017]]/100)</f>
        <v>0</v>
      </c>
      <c r="AK144" s="29" t="s">
        <v>172</v>
      </c>
      <c r="AL144" s="24" t="s">
        <v>254</v>
      </c>
      <c r="AM144" s="24">
        <v>97</v>
      </c>
      <c r="AN144" s="25">
        <f>IF(fullvax[[#This Row],[2017]]/100=0, ,fullvax[[#This Row],[2017]]/100)</f>
        <v>0.97</v>
      </c>
      <c r="AV144" s="12" t="s">
        <v>200</v>
      </c>
      <c r="AW144" s="14" t="s">
        <v>11</v>
      </c>
      <c r="AX144" s="41">
        <f>VLOOKUP(all_cause_mort[[#This Row],[Country]],[1]!populations[#Data],9,FALSE)*VLOOKUP(all_cause_mort[[#This Row],[Country]],[1]!birthrate[#Data],3,FALSE)</f>
        <v>257309.37480600001</v>
      </c>
      <c r="AY144">
        <f>VLOOKUP(all_cause_mort[[Country]:[Country]],'[1]Mortality Data'!$A$2:$W$201,2,FALSE)</f>
        <v>3.0038674000000001E-2</v>
      </c>
      <c r="AZ144">
        <f>VLOOKUP(all_cause_mort[[Country]:[Country]],'[1]Mortality Data'!$A$2:$W$201,3,FALSE)</f>
        <v>7.7731125999999998E-4</v>
      </c>
      <c r="BA144">
        <f>VLOOKUP(all_cause_mort[[Country]:[Country]],'[1]Mortality Data'!$A$2:$W$201,4,FALSE)</f>
        <v>1.9162699E-4</v>
      </c>
      <c r="BB144">
        <f>VLOOKUP(all_cause_mort[[Country]:[Country]],'[1]Mortality Data'!$A$2:$W$201,5,FALSE)</f>
        <v>2.0042804999999999E-4</v>
      </c>
      <c r="BC144">
        <f>VLOOKUP(all_cause_mort[[Country]:[Country]],'[1]Mortality Data'!$A$2:$W$201,6,FALSE)</f>
        <v>3.3223292000000002E-4</v>
      </c>
      <c r="BD144">
        <f>VLOOKUP(all_cause_mort[[Country]:[Country]],'[1]Mortality Data'!$A$2:$W$201,7,FALSE)</f>
        <v>5.1142513000000005E-4</v>
      </c>
      <c r="BE144">
        <f>VLOOKUP(all_cause_mort[[Country]:[Country]],'[1]Mortality Data'!$A$2:$W$201,8,FALSE)</f>
        <v>8.5731543E-4</v>
      </c>
      <c r="BF144">
        <f>VLOOKUP(all_cause_mort[[Country]:[Country]],'[1]Mortality Data'!$A$2:$W$201,9,FALSE)</f>
        <v>1.3192203E-3</v>
      </c>
      <c r="BG144">
        <f>VLOOKUP(all_cause_mort[[Country]:[Country]],'[1]Mortality Data'!$A$2:$W$201,10,FALSE)</f>
        <v>2.0217367999999999E-3</v>
      </c>
      <c r="BH144">
        <f>VLOOKUP(all_cause_mort[[Country]:[Country]],'[1]Mortality Data'!$A$2:$W$201,11,FALSE)</f>
        <v>2.5677905000000001E-3</v>
      </c>
      <c r="BI144">
        <f>VLOOKUP(all_cause_mort[[Country]:[Country]],'[1]Mortality Data'!$A$2:$W$201,12,FALSE)</f>
        <v>3.6706819000000002E-3</v>
      </c>
      <c r="BJ144">
        <f>VLOOKUP(all_cause_mort[[Country]:[Country]],'[1]Mortality Data'!$A$2:$W$201,13,FALSE)</f>
        <v>6.0686122999999998E-3</v>
      </c>
      <c r="BK144">
        <f>VLOOKUP(all_cause_mort[[Country]:[Country]],'[1]Mortality Data'!$A$2:$W$201,14,FALSE)</f>
        <v>1.0921818999999999E-2</v>
      </c>
      <c r="BL144">
        <f>VLOOKUP(all_cause_mort[[Country]:[Country]],'[1]Mortality Data'!$A$2:$W$201,15,FALSE)</f>
        <v>1.9224537E-2</v>
      </c>
      <c r="BM144">
        <f>VLOOKUP(all_cause_mort[[Country]:[Country]],'[1]Mortality Data'!$A$2:$W$201,16,FALSE)</f>
        <v>3.0931002999999999E-2</v>
      </c>
      <c r="BN144">
        <f>VLOOKUP(all_cause_mort[[Country]:[Country]],'[1]Mortality Data'!$A$2:$W$201,17,FALSE)</f>
        <v>5.3721215000000003E-2</v>
      </c>
      <c r="BO144">
        <f>VLOOKUP(all_cause_mort[[Country]:[Country]],'[1]Mortality Data'!$A$2:$W$201,18,FALSE)</f>
        <v>9.0489539999999993E-2</v>
      </c>
      <c r="BP144">
        <f>VLOOKUP(all_cause_mort[[Country]:[Country]],'[1]Mortality Data'!$A$2:$W$201,19,FALSE)</f>
        <v>0.14604988999999999</v>
      </c>
      <c r="BQ144">
        <f>VLOOKUP(all_cause_mort[[Country]:[Country]],'[1]Mortality Data'!$A$2:$W$201,20,FALSE)</f>
        <v>0.2217179</v>
      </c>
      <c r="BR144">
        <f>VLOOKUP(all_cause_mort[[Country]:[Country]],'[1]Mortality Data'!$A$2:$W$201,21,FALSE)</f>
        <v>0.32571319999999998</v>
      </c>
      <c r="BS144">
        <f>VLOOKUP(all_cause_mort[[Country]:[Country]],'[1]Mortality Data'!$A$2:$W$201,22,FALSE)</f>
        <v>0.45069177999999999</v>
      </c>
      <c r="BT144">
        <f>VLOOKUP(all_cause_mort[[Country]:[Country]],'[1]Mortality Data'!$A$2:$W$201,23,FALSE)</f>
        <v>0.58963303657299104</v>
      </c>
      <c r="BU144" s="39" t="e">
        <f>VLOOKUP(all_cause_mort[[#This Row],[Country]],[2]!regions[#Data],3,FALSE)</f>
        <v>#REF!</v>
      </c>
    </row>
    <row r="145" spans="1:73" x14ac:dyDescent="0.35">
      <c r="A145" t="s">
        <v>124</v>
      </c>
      <c r="B145">
        <v>2097555</v>
      </c>
      <c r="C145">
        <v>2059709</v>
      </c>
      <c r="D145">
        <v>2034319</v>
      </c>
      <c r="E145">
        <v>2012647</v>
      </c>
      <c r="F145">
        <v>1993782</v>
      </c>
      <c r="G145">
        <v>1977527</v>
      </c>
      <c r="H145">
        <v>1959537</v>
      </c>
      <c r="I145">
        <v>1940740</v>
      </c>
      <c r="K145" t="s">
        <v>124</v>
      </c>
      <c r="L145">
        <v>11.2</v>
      </c>
      <c r="M145">
        <f>birthrate[[#This Row],[2016]]/1000</f>
        <v>1.12E-2</v>
      </c>
      <c r="O145" t="s">
        <v>336</v>
      </c>
      <c r="P145">
        <v>19.399999999999999</v>
      </c>
      <c r="Q145">
        <f>facility[[#This Row],[Facility (%)]]/100</f>
        <v>0.19399999999999998</v>
      </c>
      <c r="S145" t="s">
        <v>181</v>
      </c>
      <c r="T145" t="s">
        <v>265</v>
      </c>
      <c r="U145">
        <v>58.6</v>
      </c>
      <c r="V145">
        <f>SBA[[#This Row],[SBA (%)]]/100</f>
        <v>0.58599999999999997</v>
      </c>
      <c r="X145" s="13" t="s">
        <v>209</v>
      </c>
      <c r="Y145" s="13" t="s">
        <v>256</v>
      </c>
      <c r="Z145" s="26">
        <v>9.5000000000000001E-2</v>
      </c>
      <c r="AA145" s="26">
        <v>8.6999999999999994E-2</v>
      </c>
      <c r="AB145" s="26">
        <v>0.114</v>
      </c>
      <c r="AC145" s="30">
        <v>5758075</v>
      </c>
      <c r="AD145" s="27">
        <v>9.6938775510204099E-3</v>
      </c>
      <c r="AF145" s="24" t="s">
        <v>173</v>
      </c>
      <c r="AG145" s="24" t="s">
        <v>253</v>
      </c>
      <c r="AH145" s="24"/>
      <c r="AI145" s="25">
        <f>IF(birthdose[[#This Row],[2017]]/100=0, ,birthdose[[#This Row],[2017]]/100)</f>
        <v>0</v>
      </c>
      <c r="AK145" s="24" t="s">
        <v>173</v>
      </c>
      <c r="AL145" s="24" t="s">
        <v>254</v>
      </c>
      <c r="AM145" s="24">
        <v>98</v>
      </c>
      <c r="AN145" s="25">
        <f>IF(fullvax[[#This Row],[2017]]/100=0, ,fullvax[[#This Row],[2017]]/100)</f>
        <v>0.98</v>
      </c>
      <c r="AV145" s="8" t="s">
        <v>201</v>
      </c>
      <c r="AW145" s="11" t="s">
        <v>58</v>
      </c>
      <c r="AX145" s="41">
        <f>VLOOKUP(all_cause_mort[[#This Row],[Country]],[1]!populations[#Data],9,FALSE)*VLOOKUP(all_cause_mort[[#This Row],[Country]],[1]!birthrate[#Data],3,FALSE)</f>
        <v>713364.62182900007</v>
      </c>
      <c r="AY145">
        <f>VLOOKUP(all_cause_mort[[Country]:[Country]],'[1]Mortality Data'!$A$2:$W$201,2,FALSE)</f>
        <v>7.8106065999999997E-3</v>
      </c>
      <c r="AZ145">
        <f>VLOOKUP(all_cause_mort[[Country]:[Country]],'[1]Mortality Data'!$A$2:$W$201,3,FALSE)</f>
        <v>3.1400014000000003E-4</v>
      </c>
      <c r="BA145">
        <f>VLOOKUP(all_cause_mort[[Country]:[Country]],'[1]Mortality Data'!$A$2:$W$201,4,FALSE)</f>
        <v>2.6529278000000001E-4</v>
      </c>
      <c r="BB145">
        <f>VLOOKUP(all_cause_mort[[Country]:[Country]],'[1]Mortality Data'!$A$2:$W$201,5,FALSE)</f>
        <v>4.1306327999999999E-4</v>
      </c>
      <c r="BC145">
        <f>VLOOKUP(all_cause_mort[[Country]:[Country]],'[1]Mortality Data'!$A$2:$W$201,6,FALSE)</f>
        <v>1.0782654E-3</v>
      </c>
      <c r="BD145">
        <f>VLOOKUP(all_cause_mort[[Country]:[Country]],'[1]Mortality Data'!$A$2:$W$201,7,FALSE)</f>
        <v>1.033314E-3</v>
      </c>
      <c r="BE145">
        <f>VLOOKUP(all_cause_mort[[Country]:[Country]],'[1]Mortality Data'!$A$2:$W$201,8,FALSE)</f>
        <v>1.1340281000000001E-3</v>
      </c>
      <c r="BF145">
        <f>VLOOKUP(all_cause_mort[[Country]:[Country]],'[1]Mortality Data'!$A$2:$W$201,9,FALSE)</f>
        <v>1.6153369999999999E-3</v>
      </c>
      <c r="BG145">
        <f>VLOOKUP(all_cause_mort[[Country]:[Country]],'[1]Mortality Data'!$A$2:$W$201,10,FALSE)</f>
        <v>2.4587149000000002E-3</v>
      </c>
      <c r="BH145">
        <f>VLOOKUP(all_cause_mort[[Country]:[Country]],'[1]Mortality Data'!$A$2:$W$201,11,FALSE)</f>
        <v>3.3723054000000001E-3</v>
      </c>
      <c r="BI145">
        <f>VLOOKUP(all_cause_mort[[Country]:[Country]],'[1]Mortality Data'!$A$2:$W$201,12,FALSE)</f>
        <v>4.408085E-3</v>
      </c>
      <c r="BJ145">
        <f>VLOOKUP(all_cause_mort[[Country]:[Country]],'[1]Mortality Data'!$A$2:$W$201,13,FALSE)</f>
        <v>5.8369557000000002E-3</v>
      </c>
      <c r="BK145">
        <f>VLOOKUP(all_cause_mort[[Country]:[Country]],'[1]Mortality Data'!$A$2:$W$201,14,FALSE)</f>
        <v>7.8417061999999996E-3</v>
      </c>
      <c r="BL145">
        <f>VLOOKUP(all_cause_mort[[Country]:[Country]],'[1]Mortality Data'!$A$2:$W$201,15,FALSE)</f>
        <v>1.1456905E-2</v>
      </c>
      <c r="BM145">
        <f>VLOOKUP(all_cause_mort[[Country]:[Country]],'[1]Mortality Data'!$A$2:$W$201,16,FALSE)</f>
        <v>1.6105812000000001E-2</v>
      </c>
      <c r="BN145">
        <f>VLOOKUP(all_cause_mort[[Country]:[Country]],'[1]Mortality Data'!$A$2:$W$201,17,FALSE)</f>
        <v>2.5596432999999998E-2</v>
      </c>
      <c r="BO145">
        <f>VLOOKUP(all_cause_mort[[Country]:[Country]],'[1]Mortality Data'!$A$2:$W$201,18,FALSE)</f>
        <v>4.2077122000000002E-2</v>
      </c>
      <c r="BP145">
        <f>VLOOKUP(all_cause_mort[[Country]:[Country]],'[1]Mortality Data'!$A$2:$W$201,19,FALSE)</f>
        <v>6.7761364000000004E-2</v>
      </c>
      <c r="BQ145">
        <f>VLOOKUP(all_cause_mort[[Country]:[Country]],'[1]Mortality Data'!$A$2:$W$201,20,FALSE)</f>
        <v>0.1075188</v>
      </c>
      <c r="BR145">
        <f>VLOOKUP(all_cause_mort[[Country]:[Country]],'[1]Mortality Data'!$A$2:$W$201,21,FALSE)</f>
        <v>0.16294026</v>
      </c>
      <c r="BS145">
        <f>VLOOKUP(all_cause_mort[[Country]:[Country]],'[1]Mortality Data'!$A$2:$W$201,22,FALSE)</f>
        <v>0.23373473</v>
      </c>
      <c r="BT145">
        <f>VLOOKUP(all_cause_mort[[Country]:[Country]],'[1]Mortality Data'!$A$2:$W$201,23,FALSE)</f>
        <v>0.33548900676332399</v>
      </c>
      <c r="BU145" s="39" t="e">
        <f>VLOOKUP(all_cause_mort[[#This Row],[Country]],[2]!regions[#Data],3,FALSE)</f>
        <v>#REF!</v>
      </c>
    </row>
    <row r="146" spans="1:73" x14ac:dyDescent="0.35">
      <c r="A146" t="s">
        <v>337</v>
      </c>
      <c r="B146">
        <v>536969</v>
      </c>
      <c r="C146">
        <v>549439</v>
      </c>
      <c r="D146">
        <v>562531</v>
      </c>
      <c r="E146">
        <v>575841</v>
      </c>
      <c r="F146">
        <v>588781</v>
      </c>
      <c r="G146">
        <v>600942</v>
      </c>
      <c r="H146">
        <v>612167</v>
      </c>
      <c r="I146">
        <v>622567</v>
      </c>
      <c r="K146" t="s">
        <v>337</v>
      </c>
      <c r="L146">
        <v>12.146000000000001</v>
      </c>
      <c r="M146">
        <f>birthrate[[#This Row],[2016]]/1000</f>
        <v>1.2146000000000001E-2</v>
      </c>
      <c r="O146" t="s">
        <v>195</v>
      </c>
      <c r="P146">
        <v>92.3</v>
      </c>
      <c r="Q146">
        <f>facility[[#This Row],[Facility (%)]]/100</f>
        <v>0.92299999999999993</v>
      </c>
      <c r="S146" t="s">
        <v>182</v>
      </c>
      <c r="T146">
        <v>2014</v>
      </c>
      <c r="U146">
        <v>99.9</v>
      </c>
      <c r="V146">
        <f>SBA[[#This Row],[SBA (%)]]/100</f>
        <v>0.99900000000000011</v>
      </c>
      <c r="X146" s="13" t="s">
        <v>210</v>
      </c>
      <c r="Y146" s="13" t="s">
        <v>252</v>
      </c>
      <c r="Z146" s="26">
        <v>7.1400000000000005E-2</v>
      </c>
      <c r="AA146" s="26">
        <v>1.7899999999999999E-2</v>
      </c>
      <c r="AB146" s="26">
        <v>0.24479999999999999</v>
      </c>
      <c r="AC146" s="31">
        <v>10531</v>
      </c>
      <c r="AD146" s="27">
        <v>8.8469387755102047E-2</v>
      </c>
      <c r="AF146" s="24" t="s">
        <v>174</v>
      </c>
      <c r="AG146" s="24" t="s">
        <v>253</v>
      </c>
      <c r="AH146" s="24">
        <v>83</v>
      </c>
      <c r="AI146" s="25">
        <f>IF(birthdose[[#This Row],[2017]]/100=0, ,birthdose[[#This Row],[2017]]/100)</f>
        <v>0.83</v>
      </c>
      <c r="AK146" s="24" t="s">
        <v>174</v>
      </c>
      <c r="AL146" s="24" t="s">
        <v>254</v>
      </c>
      <c r="AM146" s="24">
        <v>98</v>
      </c>
      <c r="AN146" s="25">
        <f>IF(fullvax[[#This Row],[2017]]/100=0, ,fullvax[[#This Row],[2017]]/100)</f>
        <v>0.98</v>
      </c>
      <c r="AV146" s="12" t="s">
        <v>202</v>
      </c>
      <c r="AW146" s="14" t="s">
        <v>11</v>
      </c>
      <c r="AX146" s="41">
        <f>VLOOKUP(all_cause_mort[[#This Row],[Country]],[1]!populations[#Data],9,FALSE)*VLOOKUP(all_cause_mort[[#This Row],[Country]],[1]!birthrate[#Data],3,FALSE)</f>
        <v>23491.795319999997</v>
      </c>
      <c r="AY146">
        <f>VLOOKUP(all_cause_mort[[Country]:[Country]],'[1]Mortality Data'!$A$2:$W$201,2,FALSE)</f>
        <v>1.079575E-2</v>
      </c>
      <c r="AZ146">
        <f>VLOOKUP(all_cause_mort[[Country]:[Country]],'[1]Mortality Data'!$A$2:$W$201,3,FALSE)</f>
        <v>2.8490589999999999E-4</v>
      </c>
      <c r="BA146">
        <f>VLOOKUP(all_cause_mort[[Country]:[Country]],'[1]Mortality Data'!$A$2:$W$201,4,FALSE)</f>
        <v>1.3952435000000001E-4</v>
      </c>
      <c r="BB146">
        <f>VLOOKUP(all_cause_mort[[Country]:[Country]],'[1]Mortality Data'!$A$2:$W$201,5,FALSE)</f>
        <v>1.8527794999999999E-4</v>
      </c>
      <c r="BC146">
        <f>VLOOKUP(all_cause_mort[[Country]:[Country]],'[1]Mortality Data'!$A$2:$W$201,6,FALSE)</f>
        <v>2.9174696000000002E-4</v>
      </c>
      <c r="BD146">
        <f>VLOOKUP(all_cause_mort[[Country]:[Country]],'[1]Mortality Data'!$A$2:$W$201,7,FALSE)</f>
        <v>3.1394585000000001E-4</v>
      </c>
      <c r="BE146">
        <f>VLOOKUP(all_cause_mort[[Country]:[Country]],'[1]Mortality Data'!$A$2:$W$201,8,FALSE)</f>
        <v>4.6821371999999998E-4</v>
      </c>
      <c r="BF146">
        <f>VLOOKUP(all_cause_mort[[Country]:[Country]],'[1]Mortality Data'!$A$2:$W$201,9,FALSE)</f>
        <v>5.5946596000000005E-4</v>
      </c>
      <c r="BG146">
        <f>VLOOKUP(all_cause_mort[[Country]:[Country]],'[1]Mortality Data'!$A$2:$W$201,10,FALSE)</f>
        <v>8.928861E-4</v>
      </c>
      <c r="BH146">
        <f>VLOOKUP(all_cause_mort[[Country]:[Country]],'[1]Mortality Data'!$A$2:$W$201,11,FALSE)</f>
        <v>1.6335216E-3</v>
      </c>
      <c r="BI146">
        <f>VLOOKUP(all_cause_mort[[Country]:[Country]],'[1]Mortality Data'!$A$2:$W$201,12,FALSE)</f>
        <v>2.5281460000000002E-3</v>
      </c>
      <c r="BJ146">
        <f>VLOOKUP(all_cause_mort[[Country]:[Country]],'[1]Mortality Data'!$A$2:$W$201,13,FALSE)</f>
        <v>4.7393223000000003E-3</v>
      </c>
      <c r="BK146">
        <f>VLOOKUP(all_cause_mort[[Country]:[Country]],'[1]Mortality Data'!$A$2:$W$201,14,FALSE)</f>
        <v>8.1192898000000003E-3</v>
      </c>
      <c r="BL146">
        <f>VLOOKUP(all_cause_mort[[Country]:[Country]],'[1]Mortality Data'!$A$2:$W$201,15,FALSE)</f>
        <v>1.3586753E-2</v>
      </c>
      <c r="BM146">
        <f>VLOOKUP(all_cause_mort[[Country]:[Country]],'[1]Mortality Data'!$A$2:$W$201,16,FALSE)</f>
        <v>2.1408777E-2</v>
      </c>
      <c r="BN146">
        <f>VLOOKUP(all_cause_mort[[Country]:[Country]],'[1]Mortality Data'!$A$2:$W$201,17,FALSE)</f>
        <v>3.4609589000000003E-2</v>
      </c>
      <c r="BO146">
        <f>VLOOKUP(all_cause_mort[[Country]:[Country]],'[1]Mortality Data'!$A$2:$W$201,18,FALSE)</f>
        <v>6.5700938E-2</v>
      </c>
      <c r="BP146">
        <f>VLOOKUP(all_cause_mort[[Country]:[Country]],'[1]Mortality Data'!$A$2:$W$201,19,FALSE)</f>
        <v>0.11891127</v>
      </c>
      <c r="BQ146">
        <f>VLOOKUP(all_cause_mort[[Country]:[Country]],'[1]Mortality Data'!$A$2:$W$201,20,FALSE)</f>
        <v>0.19994326000000001</v>
      </c>
      <c r="BR146">
        <f>VLOOKUP(all_cause_mort[[Country]:[Country]],'[1]Mortality Data'!$A$2:$W$201,21,FALSE)</f>
        <v>0.33394143999999998</v>
      </c>
      <c r="BS146">
        <f>VLOOKUP(all_cause_mort[[Country]:[Country]],'[1]Mortality Data'!$A$2:$W$201,22,FALSE)</f>
        <v>0.49029510999999998</v>
      </c>
      <c r="BT146">
        <f>VLOOKUP(all_cause_mort[[Country]:[Country]],'[1]Mortality Data'!$A$2:$W$201,23,FALSE)</f>
        <v>0.65437685851207505</v>
      </c>
      <c r="BU146" s="39" t="e">
        <f>VLOOKUP(all_cause_mort[[#This Row],[Country]],[2]!regions[#Data],3,FALSE)</f>
        <v>#REF!</v>
      </c>
    </row>
    <row r="147" spans="1:73" x14ac:dyDescent="0.35">
      <c r="A147" t="s">
        <v>338</v>
      </c>
      <c r="B147">
        <v>30235</v>
      </c>
      <c r="C147">
        <v>30615</v>
      </c>
      <c r="D147">
        <v>30959</v>
      </c>
      <c r="E147">
        <v>31264</v>
      </c>
      <c r="F147">
        <v>31530</v>
      </c>
      <c r="G147">
        <v>31754</v>
      </c>
      <c r="H147">
        <v>31949</v>
      </c>
      <c r="I147">
        <v>32125</v>
      </c>
      <c r="K147" t="s">
        <v>338</v>
      </c>
      <c r="L147">
        <v>15.2</v>
      </c>
      <c r="M147">
        <f>birthrate[[#This Row],[2016]]/1000</f>
        <v>1.52E-2</v>
      </c>
      <c r="O147" t="s">
        <v>196</v>
      </c>
      <c r="P147">
        <v>87.7</v>
      </c>
      <c r="Q147">
        <f>facility[[#This Row],[Facility (%)]]/100</f>
        <v>0.877</v>
      </c>
      <c r="S147" t="s">
        <v>183</v>
      </c>
      <c r="T147">
        <v>2012</v>
      </c>
      <c r="U147">
        <v>99</v>
      </c>
      <c r="V147">
        <f>SBA[[#This Row],[SBA (%)]]/100</f>
        <v>0.99</v>
      </c>
      <c r="X147" s="10" t="s">
        <v>211</v>
      </c>
      <c r="Y147" s="10" t="s">
        <v>256</v>
      </c>
      <c r="Z147" s="21">
        <v>5.5E-2</v>
      </c>
      <c r="AA147" s="21">
        <v>4.4999999999999998E-2</v>
      </c>
      <c r="AB147" s="21">
        <v>0.06</v>
      </c>
      <c r="AC147" s="30">
        <v>42862958</v>
      </c>
      <c r="AD147" s="27">
        <v>2.5510204081632642E-3</v>
      </c>
      <c r="AF147" s="24" t="s">
        <v>175</v>
      </c>
      <c r="AG147" s="24" t="s">
        <v>253</v>
      </c>
      <c r="AH147" s="24"/>
      <c r="AI147" s="25">
        <f>IF(birthdose[[#This Row],[2017]]/100=0, ,birthdose[[#This Row],[2017]]/100)</f>
        <v>0</v>
      </c>
      <c r="AK147" s="24" t="s">
        <v>175</v>
      </c>
      <c r="AL147" s="24" t="s">
        <v>254</v>
      </c>
      <c r="AM147" s="24">
        <v>80</v>
      </c>
      <c r="AN147" s="25">
        <f>IF(fullvax[[#This Row],[2017]]/100=0, ,fullvax[[#This Row],[2017]]/100)</f>
        <v>0.8</v>
      </c>
      <c r="AV147" s="8" t="s">
        <v>203</v>
      </c>
      <c r="AW147" s="11" t="s">
        <v>37</v>
      </c>
      <c r="AX147" s="41">
        <f>VLOOKUP(all_cause_mort[[#This Row],[Country]],[1]!populations[#Data],9,FALSE)*VLOOKUP(all_cause_mort[[#This Row],[Country]],[1]!birthrate[#Data],3,FALSE)</f>
        <v>45433.107928000005</v>
      </c>
      <c r="AY147">
        <f>VLOOKUP(all_cause_mort[[Country]:[Country]],'[1]Mortality Data'!$A$2:$W$201,2,FALSE)</f>
        <v>3.8573064999999997E-2</v>
      </c>
      <c r="AZ147">
        <f>VLOOKUP(all_cause_mort[[Country]:[Country]],'[1]Mortality Data'!$A$2:$W$201,3,FALSE)</f>
        <v>2.4567775E-3</v>
      </c>
      <c r="BA147">
        <f>VLOOKUP(all_cause_mort[[Country]:[Country]],'[1]Mortality Data'!$A$2:$W$201,4,FALSE)</f>
        <v>7.5187216000000001E-4</v>
      </c>
      <c r="BB147">
        <f>VLOOKUP(all_cause_mort[[Country]:[Country]],'[1]Mortality Data'!$A$2:$W$201,5,FALSE)</f>
        <v>5.8071214999999999E-4</v>
      </c>
      <c r="BC147">
        <f>VLOOKUP(all_cause_mort[[Country]:[Country]],'[1]Mortality Data'!$A$2:$W$201,6,FALSE)</f>
        <v>1.0019797999999999E-3</v>
      </c>
      <c r="BD147">
        <f>VLOOKUP(all_cause_mort[[Country]:[Country]],'[1]Mortality Data'!$A$2:$W$201,7,FALSE)</f>
        <v>1.2650265E-3</v>
      </c>
      <c r="BE147">
        <f>VLOOKUP(all_cause_mort[[Country]:[Country]],'[1]Mortality Data'!$A$2:$W$201,8,FALSE)</f>
        <v>1.2078862000000001E-3</v>
      </c>
      <c r="BF147">
        <f>VLOOKUP(all_cause_mort[[Country]:[Country]],'[1]Mortality Data'!$A$2:$W$201,9,FALSE)</f>
        <v>1.3437455999999999E-3</v>
      </c>
      <c r="BG147">
        <f>VLOOKUP(all_cause_mort[[Country]:[Country]],'[1]Mortality Data'!$A$2:$W$201,10,FALSE)</f>
        <v>1.7568312E-3</v>
      </c>
      <c r="BH147">
        <f>VLOOKUP(all_cause_mort[[Country]:[Country]],'[1]Mortality Data'!$A$2:$W$201,11,FALSE)</f>
        <v>2.5315860000000002E-3</v>
      </c>
      <c r="BI147">
        <f>VLOOKUP(all_cause_mort[[Country]:[Country]],'[1]Mortality Data'!$A$2:$W$201,12,FALSE)</f>
        <v>4.0458372999999997E-3</v>
      </c>
      <c r="BJ147">
        <f>VLOOKUP(all_cause_mort[[Country]:[Country]],'[1]Mortality Data'!$A$2:$W$201,13,FALSE)</f>
        <v>6.6775638000000003E-3</v>
      </c>
      <c r="BK147">
        <f>VLOOKUP(all_cause_mort[[Country]:[Country]],'[1]Mortality Data'!$A$2:$W$201,14,FALSE)</f>
        <v>1.1577947E-2</v>
      </c>
      <c r="BL147">
        <f>VLOOKUP(all_cause_mort[[Country]:[Country]],'[1]Mortality Data'!$A$2:$W$201,15,FALSE)</f>
        <v>1.8896541999999999E-2</v>
      </c>
      <c r="BM147">
        <f>VLOOKUP(all_cause_mort[[Country]:[Country]],'[1]Mortality Data'!$A$2:$W$201,16,FALSE)</f>
        <v>3.0858143000000001E-2</v>
      </c>
      <c r="BN147">
        <f>VLOOKUP(all_cause_mort[[Country]:[Country]],'[1]Mortality Data'!$A$2:$W$201,17,FALSE)</f>
        <v>5.1215610000000002E-2</v>
      </c>
      <c r="BO147">
        <f>VLOOKUP(all_cause_mort[[Country]:[Country]],'[1]Mortality Data'!$A$2:$W$201,18,FALSE)</f>
        <v>8.4754219000000006E-2</v>
      </c>
      <c r="BP147">
        <f>VLOOKUP(all_cause_mort[[Country]:[Country]],'[1]Mortality Data'!$A$2:$W$201,19,FALSE)</f>
        <v>0.1351996</v>
      </c>
      <c r="BQ147">
        <f>VLOOKUP(all_cause_mort[[Country]:[Country]],'[1]Mortality Data'!$A$2:$W$201,20,FALSE)</f>
        <v>0.20971617000000001</v>
      </c>
      <c r="BR147">
        <f>VLOOKUP(all_cause_mort[[Country]:[Country]],'[1]Mortality Data'!$A$2:$W$201,21,FALSE)</f>
        <v>0.30359151000000001</v>
      </c>
      <c r="BS147">
        <f>VLOOKUP(all_cause_mort[[Country]:[Country]],'[1]Mortality Data'!$A$2:$W$201,22,FALSE)</f>
        <v>0.42129264999999999</v>
      </c>
      <c r="BT147">
        <f>VLOOKUP(all_cause_mort[[Country]:[Country]],'[1]Mortality Data'!$A$2:$W$201,23,FALSE)</f>
        <v>0.56669829220936097</v>
      </c>
      <c r="BU147" s="39" t="e">
        <f>VLOOKUP(all_cause_mort[[#This Row],[Country]],[2]!regions[#Data],3,FALSE)</f>
        <v>#REF!</v>
      </c>
    </row>
    <row r="148" spans="1:73" x14ac:dyDescent="0.35">
      <c r="A148" t="s">
        <v>145</v>
      </c>
      <c r="B148">
        <v>32409639</v>
      </c>
      <c r="C148">
        <v>32858823</v>
      </c>
      <c r="D148">
        <v>33333789</v>
      </c>
      <c r="E148">
        <v>33824769</v>
      </c>
      <c r="F148">
        <v>34318082</v>
      </c>
      <c r="G148">
        <v>34803322</v>
      </c>
      <c r="H148">
        <v>35276786</v>
      </c>
      <c r="I148">
        <v>35739580</v>
      </c>
      <c r="K148" t="s">
        <v>145</v>
      </c>
      <c r="L148">
        <v>19.965</v>
      </c>
      <c r="M148">
        <f>birthrate[[#This Row],[2016]]/1000</f>
        <v>1.9965E-2</v>
      </c>
      <c r="O148" t="s">
        <v>199</v>
      </c>
      <c r="P148">
        <v>78.2</v>
      </c>
      <c r="Q148">
        <f>facility[[#This Row],[Facility (%)]]/100</f>
        <v>0.78200000000000003</v>
      </c>
      <c r="S148" t="s">
        <v>184</v>
      </c>
      <c r="T148" t="s">
        <v>293</v>
      </c>
      <c r="U148">
        <v>59.7</v>
      </c>
      <c r="V148">
        <f>SBA[[#This Row],[SBA (%)]]/100</f>
        <v>0.59699999999999998</v>
      </c>
      <c r="X148" s="10" t="s">
        <v>212</v>
      </c>
      <c r="Y148" s="10" t="s">
        <v>252</v>
      </c>
      <c r="Z148" s="21">
        <v>1.4500000000000001E-2</v>
      </c>
      <c r="AA148" s="21">
        <v>1.0999999999999999E-2</v>
      </c>
      <c r="AB148" s="21">
        <v>1.89E-2</v>
      </c>
      <c r="AC148" s="31">
        <v>45870700</v>
      </c>
      <c r="AD148" s="27">
        <v>2.2448979591836731E-3</v>
      </c>
      <c r="AF148" s="24" t="s">
        <v>176</v>
      </c>
      <c r="AG148" s="24" t="s">
        <v>253</v>
      </c>
      <c r="AH148" s="24">
        <v>30</v>
      </c>
      <c r="AI148" s="25">
        <f>IF(birthdose[[#This Row],[2017]]/100=0, ,birthdose[[#This Row],[2017]]/100)</f>
        <v>0.3</v>
      </c>
      <c r="AK148" s="24" t="s">
        <v>176</v>
      </c>
      <c r="AL148" s="24" t="s">
        <v>254</v>
      </c>
      <c r="AM148" s="24">
        <v>99</v>
      </c>
      <c r="AN148" s="25">
        <f>IF(fullvax[[#This Row],[2017]]/100=0, ,fullvax[[#This Row],[2017]]/100)</f>
        <v>0.99</v>
      </c>
      <c r="AV148" s="12" t="s">
        <v>204</v>
      </c>
      <c r="AW148" s="14" t="s">
        <v>15</v>
      </c>
      <c r="AX148" s="41">
        <f>VLOOKUP(all_cause_mort[[#This Row],[Country]],[1]!populations[#Data],9,FALSE)*VLOOKUP(all_cause_mort[[#This Row],[Country]],[1]!birthrate[#Data],3,FALSE)</f>
        <v>265339.93143199995</v>
      </c>
      <c r="AY148">
        <f>VLOOKUP(all_cause_mort[[Country]:[Country]],'[1]Mortality Data'!$A$2:$W$201,2,FALSE)</f>
        <v>5.1780514999999999E-2</v>
      </c>
      <c r="AZ148">
        <f>VLOOKUP(all_cause_mort[[Country]:[Country]],'[1]Mortality Data'!$A$2:$W$201,3,FALSE)</f>
        <v>6.8857930999999999E-3</v>
      </c>
      <c r="BA148">
        <f>VLOOKUP(all_cause_mort[[Country]:[Country]],'[1]Mortality Data'!$A$2:$W$201,4,FALSE)</f>
        <v>3.118904E-3</v>
      </c>
      <c r="BB148">
        <f>VLOOKUP(all_cause_mort[[Country]:[Country]],'[1]Mortality Data'!$A$2:$W$201,5,FALSE)</f>
        <v>1.8196249E-3</v>
      </c>
      <c r="BC148">
        <f>VLOOKUP(all_cause_mort[[Country]:[Country]],'[1]Mortality Data'!$A$2:$W$201,6,FALSE)</f>
        <v>2.78422E-3</v>
      </c>
      <c r="BD148">
        <f>VLOOKUP(all_cause_mort[[Country]:[Country]],'[1]Mortality Data'!$A$2:$W$201,7,FALSE)</f>
        <v>3.9000497999999999E-3</v>
      </c>
      <c r="BE148">
        <f>VLOOKUP(all_cause_mort[[Country]:[Country]],'[1]Mortality Data'!$A$2:$W$201,8,FALSE)</f>
        <v>4.1498806000000001E-3</v>
      </c>
      <c r="BF148">
        <f>VLOOKUP(all_cause_mort[[Country]:[Country]],'[1]Mortality Data'!$A$2:$W$201,9,FALSE)</f>
        <v>4.5451696999999998E-3</v>
      </c>
      <c r="BG148">
        <f>VLOOKUP(all_cause_mort[[Country]:[Country]],'[1]Mortality Data'!$A$2:$W$201,10,FALSE)</f>
        <v>5.1751534999999998E-3</v>
      </c>
      <c r="BH148">
        <f>VLOOKUP(all_cause_mort[[Country]:[Country]],'[1]Mortality Data'!$A$2:$W$201,11,FALSE)</f>
        <v>6.3050205000000003E-3</v>
      </c>
      <c r="BI148">
        <f>VLOOKUP(all_cause_mort[[Country]:[Country]],'[1]Mortality Data'!$A$2:$W$201,12,FALSE)</f>
        <v>7.8256269999999999E-3</v>
      </c>
      <c r="BJ148">
        <f>VLOOKUP(all_cause_mort[[Country]:[Country]],'[1]Mortality Data'!$A$2:$W$201,13,FALSE)</f>
        <v>1.0963911999999999E-2</v>
      </c>
      <c r="BK148">
        <f>VLOOKUP(all_cause_mort[[Country]:[Country]],'[1]Mortality Data'!$A$2:$W$201,14,FALSE)</f>
        <v>1.5670573E-2</v>
      </c>
      <c r="BL148">
        <f>VLOOKUP(all_cause_mort[[Country]:[Country]],'[1]Mortality Data'!$A$2:$W$201,15,FALSE)</f>
        <v>2.4767808999999998E-2</v>
      </c>
      <c r="BM148">
        <f>VLOOKUP(all_cause_mort[[Country]:[Country]],'[1]Mortality Data'!$A$2:$W$201,16,FALSE)</f>
        <v>3.9181994999999997E-2</v>
      </c>
      <c r="BN148">
        <f>VLOOKUP(all_cause_mort[[Country]:[Country]],'[1]Mortality Data'!$A$2:$W$201,17,FALSE)</f>
        <v>6.6077716999999994E-2</v>
      </c>
      <c r="BO148">
        <f>VLOOKUP(all_cause_mort[[Country]:[Country]],'[1]Mortality Data'!$A$2:$W$201,18,FALSE)</f>
        <v>0.11117315</v>
      </c>
      <c r="BP148">
        <f>VLOOKUP(all_cause_mort[[Country]:[Country]],'[1]Mortality Data'!$A$2:$W$201,19,FALSE)</f>
        <v>0.18372347</v>
      </c>
      <c r="BQ148">
        <f>VLOOKUP(all_cause_mort[[Country]:[Country]],'[1]Mortality Data'!$A$2:$W$201,20,FALSE)</f>
        <v>0.28542781</v>
      </c>
      <c r="BR148">
        <f>VLOOKUP(all_cause_mort[[Country]:[Country]],'[1]Mortality Data'!$A$2:$W$201,21,FALSE)</f>
        <v>0.41471061999999997</v>
      </c>
      <c r="BS148">
        <f>VLOOKUP(all_cause_mort[[Country]:[Country]],'[1]Mortality Data'!$A$2:$W$201,22,FALSE)</f>
        <v>0.57905783</v>
      </c>
      <c r="BT148">
        <f>VLOOKUP(all_cause_mort[[Country]:[Country]],'[1]Mortality Data'!$A$2:$W$201,23,FALSE)</f>
        <v>1.60025537515379</v>
      </c>
      <c r="BU148" s="39" t="e">
        <f>VLOOKUP(all_cause_mort[[#This Row],[Country]],[2]!regions[#Data],3,FALSE)</f>
        <v>#REF!</v>
      </c>
    </row>
    <row r="149" spans="1:73" x14ac:dyDescent="0.35">
      <c r="A149" t="s">
        <v>142</v>
      </c>
      <c r="B149">
        <v>37094</v>
      </c>
      <c r="C149">
        <v>37497</v>
      </c>
      <c r="D149">
        <v>37783</v>
      </c>
      <c r="E149">
        <v>37971</v>
      </c>
      <c r="F149">
        <v>38132</v>
      </c>
      <c r="G149">
        <v>38307</v>
      </c>
      <c r="H149">
        <v>38499</v>
      </c>
      <c r="I149">
        <v>38695</v>
      </c>
      <c r="K149" t="s">
        <v>142</v>
      </c>
      <c r="L149">
        <v>7.8</v>
      </c>
      <c r="M149">
        <f>birthrate[[#This Row],[2016]]/1000</f>
        <v>7.7999999999999996E-3</v>
      </c>
      <c r="O149" t="s">
        <v>200</v>
      </c>
      <c r="P149">
        <v>76.5</v>
      </c>
      <c r="Q149">
        <f>facility[[#This Row],[Facility (%)]]/100</f>
        <v>0.76500000000000001</v>
      </c>
      <c r="S149" t="s">
        <v>185</v>
      </c>
      <c r="T149">
        <v>2016</v>
      </c>
      <c r="U149">
        <v>99.6</v>
      </c>
      <c r="V149">
        <f>SBA[[#This Row],[SBA (%)]]/100</f>
        <v>0.996</v>
      </c>
      <c r="X149" s="10" t="s">
        <v>213</v>
      </c>
      <c r="Y149" s="13" t="s">
        <v>256</v>
      </c>
      <c r="Z149" s="26">
        <v>0.01</v>
      </c>
      <c r="AA149" s="26">
        <v>5.0000000000000001E-3</v>
      </c>
      <c r="AB149" s="26">
        <v>1.2E-2</v>
      </c>
      <c r="AC149" s="30">
        <v>9400145</v>
      </c>
      <c r="AD149" s="27">
        <v>1.0204081632653062E-3</v>
      </c>
      <c r="AF149" s="24" t="s">
        <v>177</v>
      </c>
      <c r="AG149" s="24" t="s">
        <v>253</v>
      </c>
      <c r="AH149" s="24">
        <v>81</v>
      </c>
      <c r="AI149" s="25">
        <f>IF(birthdose[[#This Row],[2017]]/100=0, ,birthdose[[#This Row],[2017]]/100)</f>
        <v>0.81</v>
      </c>
      <c r="AK149" s="24" t="s">
        <v>177</v>
      </c>
      <c r="AL149" s="24" t="s">
        <v>254</v>
      </c>
      <c r="AM149" s="24">
        <v>73</v>
      </c>
      <c r="AN149" s="25">
        <f>IF(fullvax[[#This Row],[2017]]/100=0, ,fullvax[[#This Row],[2017]]/100)</f>
        <v>0.73</v>
      </c>
      <c r="AV149" s="8" t="s">
        <v>205</v>
      </c>
      <c r="AW149" s="11" t="s">
        <v>58</v>
      </c>
      <c r="AX149" s="41">
        <f>VLOOKUP(all_cause_mort[[#This Row],[Country]],[1]!populations[#Data],9,FALSE)*VLOOKUP(all_cause_mort[[#This Row],[Country]],[1]!birthrate[#Data],3,FALSE)</f>
        <v>2590.5356400000001</v>
      </c>
      <c r="AY149">
        <f>VLOOKUP(all_cause_mort[[Country]:[Country]],'[1]Mortality Data'!$A$2:$W$201,2,FALSE)</f>
        <v>1.2661955000000001E-2</v>
      </c>
      <c r="AZ149">
        <f>VLOOKUP(all_cause_mort[[Country]:[Country]],'[1]Mortality Data'!$A$2:$W$201,3,FALSE)</f>
        <v>7.8736967000000004E-4</v>
      </c>
      <c r="BA149">
        <f>VLOOKUP(all_cause_mort[[Country]:[Country]],'[1]Mortality Data'!$A$2:$W$201,4,FALSE)</f>
        <v>3.9850804E-4</v>
      </c>
      <c r="BB149">
        <f>VLOOKUP(all_cause_mort[[Country]:[Country]],'[1]Mortality Data'!$A$2:$W$201,5,FALSE)</f>
        <v>3.7846878E-4</v>
      </c>
      <c r="BC149">
        <f>VLOOKUP(all_cause_mort[[Country]:[Country]],'[1]Mortality Data'!$A$2:$W$201,6,FALSE)</f>
        <v>9.4684244999999998E-4</v>
      </c>
      <c r="BD149">
        <f>VLOOKUP(all_cause_mort[[Country]:[Country]],'[1]Mortality Data'!$A$2:$W$201,7,FALSE)</f>
        <v>1.3777779E-3</v>
      </c>
      <c r="BE149">
        <f>VLOOKUP(all_cause_mort[[Country]:[Country]],'[1]Mortality Data'!$A$2:$W$201,8,FALSE)</f>
        <v>1.5084690999999999E-3</v>
      </c>
      <c r="BF149">
        <f>VLOOKUP(all_cause_mort[[Country]:[Country]],'[1]Mortality Data'!$A$2:$W$201,9,FALSE)</f>
        <v>1.8046478E-3</v>
      </c>
      <c r="BG149">
        <f>VLOOKUP(all_cause_mort[[Country]:[Country]],'[1]Mortality Data'!$A$2:$W$201,10,FALSE)</f>
        <v>2.4358008E-3</v>
      </c>
      <c r="BH149">
        <f>VLOOKUP(all_cause_mort[[Country]:[Country]],'[1]Mortality Data'!$A$2:$W$201,11,FALSE)</f>
        <v>3.5094525999999999E-3</v>
      </c>
      <c r="BI149">
        <f>VLOOKUP(all_cause_mort[[Country]:[Country]],'[1]Mortality Data'!$A$2:$W$201,12,FALSE)</f>
        <v>5.2965757000000002E-3</v>
      </c>
      <c r="BJ149">
        <f>VLOOKUP(all_cause_mort[[Country]:[Country]],'[1]Mortality Data'!$A$2:$W$201,13,FALSE)</f>
        <v>8.0573542000000001E-3</v>
      </c>
      <c r="BK149">
        <f>VLOOKUP(all_cause_mort[[Country]:[Country]],'[1]Mortality Data'!$A$2:$W$201,14,FALSE)</f>
        <v>1.2005972E-2</v>
      </c>
      <c r="BL149">
        <f>VLOOKUP(all_cause_mort[[Country]:[Country]],'[1]Mortality Data'!$A$2:$W$201,15,FALSE)</f>
        <v>1.9367005E-2</v>
      </c>
      <c r="BM149">
        <f>VLOOKUP(all_cause_mort[[Country]:[Country]],'[1]Mortality Data'!$A$2:$W$201,16,FALSE)</f>
        <v>3.1715694000000003E-2</v>
      </c>
      <c r="BN149">
        <f>VLOOKUP(all_cause_mort[[Country]:[Country]],'[1]Mortality Data'!$A$2:$W$201,17,FALSE)</f>
        <v>5.1409031000000001E-2</v>
      </c>
      <c r="BO149">
        <f>VLOOKUP(all_cause_mort[[Country]:[Country]],'[1]Mortality Data'!$A$2:$W$201,18,FALSE)</f>
        <v>8.2907612000000006E-2</v>
      </c>
      <c r="BP149">
        <f>VLOOKUP(all_cause_mort[[Country]:[Country]],'[1]Mortality Data'!$A$2:$W$201,19,FALSE)</f>
        <v>0.13405068000000001</v>
      </c>
      <c r="BQ149">
        <f>VLOOKUP(all_cause_mort[[Country]:[Country]],'[1]Mortality Data'!$A$2:$W$201,20,FALSE)</f>
        <v>0.21364996</v>
      </c>
      <c r="BR149">
        <f>VLOOKUP(all_cause_mort[[Country]:[Country]],'[1]Mortality Data'!$A$2:$W$201,21,FALSE)</f>
        <v>0.32364739999999997</v>
      </c>
      <c r="BS149">
        <f>VLOOKUP(all_cause_mort[[Country]:[Country]],'[1]Mortality Data'!$A$2:$W$201,22,FALSE)</f>
        <v>0.45968676000000003</v>
      </c>
      <c r="BT149">
        <f>VLOOKUP(all_cause_mort[[Country]:[Country]],'[1]Mortality Data'!$A$2:$W$201,23,FALSE)</f>
        <v>0.61024581983139004</v>
      </c>
      <c r="BU149" s="39" t="e">
        <f>VLOOKUP(all_cause_mort[[#This Row],[Country]],[2]!regions[#Data],3,FALSE)</f>
        <v>#REF!</v>
      </c>
    </row>
    <row r="150" spans="1:73" x14ac:dyDescent="0.35">
      <c r="A150" s="12" t="s">
        <v>170</v>
      </c>
      <c r="B150">
        <v>3562045</v>
      </c>
      <c r="C150">
        <v>3559986</v>
      </c>
      <c r="D150">
        <v>3559519</v>
      </c>
      <c r="E150">
        <v>3558566</v>
      </c>
      <c r="F150">
        <v>3556397</v>
      </c>
      <c r="G150">
        <v>3554108</v>
      </c>
      <c r="H150">
        <v>3551954</v>
      </c>
      <c r="I150">
        <v>3549750</v>
      </c>
      <c r="K150" s="12" t="s">
        <v>170</v>
      </c>
      <c r="L150">
        <v>10.323</v>
      </c>
      <c r="M150">
        <f>birthrate[[#This Row],[2016]]/1000</f>
        <v>1.0323000000000001E-2</v>
      </c>
      <c r="O150" t="s">
        <v>201</v>
      </c>
      <c r="P150">
        <v>98.6</v>
      </c>
      <c r="Q150">
        <f>facility[[#This Row],[Facility (%)]]/100</f>
        <v>0.98599999999999999</v>
      </c>
      <c r="S150" t="s">
        <v>186</v>
      </c>
      <c r="T150">
        <v>2014</v>
      </c>
      <c r="U150">
        <v>98.5</v>
      </c>
      <c r="V150">
        <f>SBA[[#This Row],[SBA (%)]]/100</f>
        <v>0.98499999999999999</v>
      </c>
      <c r="X150" s="10" t="s">
        <v>214</v>
      </c>
      <c r="Y150" s="10" t="s">
        <v>256</v>
      </c>
      <c r="Z150" s="21">
        <v>7.0000000000000001E-3</v>
      </c>
      <c r="AA150" s="21">
        <v>5.0000000000000001E-3</v>
      </c>
      <c r="AB150" s="21">
        <v>8.9999999999999993E-3</v>
      </c>
      <c r="AC150" s="30">
        <v>65788574</v>
      </c>
      <c r="AD150" s="27">
        <v>1.0204081632653058E-3</v>
      </c>
      <c r="AF150" s="24" t="s">
        <v>178</v>
      </c>
      <c r="AG150" s="24" t="s">
        <v>253</v>
      </c>
      <c r="AH150" s="24"/>
      <c r="AI150" s="25">
        <f>IF(birthdose[[#This Row],[2017]]/100=0, ,birthdose[[#This Row],[2017]]/100)</f>
        <v>0</v>
      </c>
      <c r="AK150" s="24" t="s">
        <v>178</v>
      </c>
      <c r="AL150" s="24" t="s">
        <v>254</v>
      </c>
      <c r="AM150" s="24">
        <v>86</v>
      </c>
      <c r="AN150" s="25">
        <f>IF(fullvax[[#This Row],[2017]]/100=0, ,fullvax[[#This Row],[2017]]/100)</f>
        <v>0.86</v>
      </c>
      <c r="AV150" s="12" t="s">
        <v>206</v>
      </c>
      <c r="AW150" s="14" t="s">
        <v>23</v>
      </c>
      <c r="AX150" s="41">
        <f>VLOOKUP(all_cause_mort[[#This Row],[Country]],[1]!populations[#Data],9,FALSE)*VLOOKUP(all_cause_mort[[#This Row],[Country]],[1]!birthrate[#Data],3,FALSE)</f>
        <v>18631.053</v>
      </c>
      <c r="AY150">
        <f>VLOOKUP(all_cause_mort[[Country]:[Country]],'[1]Mortality Data'!$A$2:$W$201,2,FALSE)</f>
        <v>2.2422760999999999E-2</v>
      </c>
      <c r="AZ150">
        <f>VLOOKUP(all_cause_mort[[Country]:[Country]],'[1]Mortality Data'!$A$2:$W$201,3,FALSE)</f>
        <v>1.0076786999999999E-3</v>
      </c>
      <c r="BA150">
        <f>VLOOKUP(all_cause_mort[[Country]:[Country]],'[1]Mortality Data'!$A$2:$W$201,4,FALSE)</f>
        <v>4.7437484999999997E-4</v>
      </c>
      <c r="BB150">
        <f>VLOOKUP(all_cause_mort[[Country]:[Country]],'[1]Mortality Data'!$A$2:$W$201,5,FALSE)</f>
        <v>4.0728085000000001E-4</v>
      </c>
      <c r="BC150">
        <f>VLOOKUP(all_cause_mort[[Country]:[Country]],'[1]Mortality Data'!$A$2:$W$201,6,FALSE)</f>
        <v>8.5422959E-4</v>
      </c>
      <c r="BD150">
        <f>VLOOKUP(all_cause_mort[[Country]:[Country]],'[1]Mortality Data'!$A$2:$W$201,7,FALSE)</f>
        <v>1.1384832999999999E-3</v>
      </c>
      <c r="BE150">
        <f>VLOOKUP(all_cause_mort[[Country]:[Country]],'[1]Mortality Data'!$A$2:$W$201,8,FALSE)</f>
        <v>1.2087580999999999E-3</v>
      </c>
      <c r="BF150">
        <f>VLOOKUP(all_cause_mort[[Country]:[Country]],'[1]Mortality Data'!$A$2:$W$201,9,FALSE)</f>
        <v>1.4488840999999999E-3</v>
      </c>
      <c r="BG150">
        <f>VLOOKUP(all_cause_mort[[Country]:[Country]],'[1]Mortality Data'!$A$2:$W$201,10,FALSE)</f>
        <v>1.9764108999999999E-3</v>
      </c>
      <c r="BH150">
        <f>VLOOKUP(all_cause_mort[[Country]:[Country]],'[1]Mortality Data'!$A$2:$W$201,11,FALSE)</f>
        <v>2.8892074000000001E-3</v>
      </c>
      <c r="BI150">
        <f>VLOOKUP(all_cause_mort[[Country]:[Country]],'[1]Mortality Data'!$A$2:$W$201,12,FALSE)</f>
        <v>4.4974782999999997E-3</v>
      </c>
      <c r="BJ150">
        <f>VLOOKUP(all_cause_mort[[Country]:[Country]],'[1]Mortality Data'!$A$2:$W$201,13,FALSE)</f>
        <v>7.0594359000000001E-3</v>
      </c>
      <c r="BK150">
        <f>VLOOKUP(all_cause_mort[[Country]:[Country]],'[1]Mortality Data'!$A$2:$W$201,14,FALSE)</f>
        <v>1.1120982E-2</v>
      </c>
      <c r="BL150">
        <f>VLOOKUP(all_cause_mort[[Country]:[Country]],'[1]Mortality Data'!$A$2:$W$201,15,FALSE)</f>
        <v>1.5268308E-2</v>
      </c>
      <c r="BM150">
        <f>VLOOKUP(all_cause_mort[[Country]:[Country]],'[1]Mortality Data'!$A$2:$W$201,16,FALSE)</f>
        <v>2.0908439000000001E-2</v>
      </c>
      <c r="BN150">
        <f>VLOOKUP(all_cause_mort[[Country]:[Country]],'[1]Mortality Data'!$A$2:$W$201,17,FALSE)</f>
        <v>3.1839046000000003E-2</v>
      </c>
      <c r="BO150">
        <f>VLOOKUP(all_cause_mort[[Country]:[Country]],'[1]Mortality Data'!$A$2:$W$201,18,FALSE)</f>
        <v>5.3989796E-2</v>
      </c>
      <c r="BP150">
        <f>VLOOKUP(all_cause_mort[[Country]:[Country]],'[1]Mortality Data'!$A$2:$W$201,19,FALSE)</f>
        <v>8.8641632999999997E-2</v>
      </c>
      <c r="BQ150">
        <f>VLOOKUP(all_cause_mort[[Country]:[Country]],'[1]Mortality Data'!$A$2:$W$201,20,FALSE)</f>
        <v>0.14111916999999999</v>
      </c>
      <c r="BR150">
        <f>VLOOKUP(all_cause_mort[[Country]:[Country]],'[1]Mortality Data'!$A$2:$W$201,21,FALSE)</f>
        <v>0.21149846999999999</v>
      </c>
      <c r="BS150">
        <f>VLOOKUP(all_cause_mort[[Country]:[Country]],'[1]Mortality Data'!$A$2:$W$201,22,FALSE)</f>
        <v>0.30194914</v>
      </c>
      <c r="BT150">
        <f>VLOOKUP(all_cause_mort[[Country]:[Country]],'[1]Mortality Data'!$A$2:$W$201,23,FALSE)</f>
        <v>0.41138789151322802</v>
      </c>
      <c r="BU150" s="39" t="e">
        <f>VLOOKUP(all_cause_mort[[#This Row],[Country]],[2]!regions[#Data],3,FALSE)</f>
        <v>#REF!</v>
      </c>
    </row>
    <row r="151" spans="1:73" x14ac:dyDescent="0.35">
      <c r="A151" t="s">
        <v>131</v>
      </c>
      <c r="B151">
        <v>21151640</v>
      </c>
      <c r="C151">
        <v>21743949</v>
      </c>
      <c r="D151">
        <v>22346573</v>
      </c>
      <c r="E151">
        <v>22961146</v>
      </c>
      <c r="F151">
        <v>23589801</v>
      </c>
      <c r="G151">
        <v>24234088</v>
      </c>
      <c r="H151">
        <v>24894551</v>
      </c>
      <c r="I151">
        <v>25570895</v>
      </c>
      <c r="K151" t="s">
        <v>131</v>
      </c>
      <c r="L151">
        <v>33.145000000000003</v>
      </c>
      <c r="M151">
        <f>birthrate[[#This Row],[2016]]/1000</f>
        <v>3.3145000000000001E-2</v>
      </c>
      <c r="O151" t="s">
        <v>202</v>
      </c>
      <c r="P151">
        <v>99.918000000000006</v>
      </c>
      <c r="Q151">
        <f>facility[[#This Row],[Facility (%)]]/100</f>
        <v>0.99918000000000007</v>
      </c>
      <c r="S151" t="s">
        <v>187</v>
      </c>
      <c r="T151">
        <v>2012</v>
      </c>
      <c r="U151">
        <v>99.8</v>
      </c>
      <c r="V151">
        <f>SBA[[#This Row],[SBA (%)]]/100</f>
        <v>0.998</v>
      </c>
      <c r="X151" s="10" t="s">
        <v>215</v>
      </c>
      <c r="Y151" s="13" t="s">
        <v>256</v>
      </c>
      <c r="Z151" s="26">
        <v>4.1000000000000002E-2</v>
      </c>
      <c r="AA151" s="26">
        <v>3.2000000000000001E-2</v>
      </c>
      <c r="AB151" s="26">
        <v>5.3999999999999999E-2</v>
      </c>
      <c r="AC151" s="30">
        <v>57310019</v>
      </c>
      <c r="AD151" s="27">
        <v>6.6326530612244887E-3</v>
      </c>
      <c r="AF151" s="24" t="s">
        <v>179</v>
      </c>
      <c r="AG151" s="24" t="s">
        <v>253</v>
      </c>
      <c r="AH151" s="24"/>
      <c r="AI151" s="25">
        <f>IF(birthdose[[#This Row],[2017]]/100=0, ,birthdose[[#This Row],[2017]]/100)</f>
        <v>0</v>
      </c>
      <c r="AK151" s="24" t="s">
        <v>179</v>
      </c>
      <c r="AL151" s="24" t="s">
        <v>254</v>
      </c>
      <c r="AM151" s="24">
        <v>95</v>
      </c>
      <c r="AN151" s="25">
        <f>IF(fullvax[[#This Row],[2017]]/100=0, ,fullvax[[#This Row],[2017]]/100)</f>
        <v>0.95</v>
      </c>
      <c r="AV151" s="8" t="s">
        <v>207</v>
      </c>
      <c r="AW151" s="11" t="s">
        <v>7</v>
      </c>
      <c r="AX151" s="41">
        <f>VLOOKUP(all_cause_mort[[#This Row],[Country]],[1]!populations[#Data],9,FALSE)*VLOOKUP(all_cause_mort[[#This Row],[Country]],[1]!birthrate[#Data],3,FALSE)</f>
        <v>210980.26346500003</v>
      </c>
      <c r="AY151">
        <f>VLOOKUP(all_cause_mort[[Country]:[Country]],'[1]Mortality Data'!$A$2:$W$201,2,FALSE)</f>
        <v>1.2826726E-2</v>
      </c>
      <c r="AZ151">
        <f>VLOOKUP(all_cause_mort[[Country]:[Country]],'[1]Mortality Data'!$A$2:$W$201,3,FALSE)</f>
        <v>1.9637071E-4</v>
      </c>
      <c r="BA151">
        <f>VLOOKUP(all_cause_mort[[Country]:[Country]],'[1]Mortality Data'!$A$2:$W$201,4,FALSE)</f>
        <v>1.4533880000000001E-4</v>
      </c>
      <c r="BB151">
        <f>VLOOKUP(all_cause_mort[[Country]:[Country]],'[1]Mortality Data'!$A$2:$W$201,5,FALSE)</f>
        <v>2.4581647000000001E-4</v>
      </c>
      <c r="BC151">
        <f>VLOOKUP(all_cause_mort[[Country]:[Country]],'[1]Mortality Data'!$A$2:$W$201,6,FALSE)</f>
        <v>3.6978267000000001E-4</v>
      </c>
      <c r="BD151">
        <f>VLOOKUP(all_cause_mort[[Country]:[Country]],'[1]Mortality Data'!$A$2:$W$201,7,FALSE)</f>
        <v>5.0278987999999997E-4</v>
      </c>
      <c r="BE151">
        <f>VLOOKUP(all_cause_mort[[Country]:[Country]],'[1]Mortality Data'!$A$2:$W$201,8,FALSE)</f>
        <v>5.7106479000000002E-4</v>
      </c>
      <c r="BF151">
        <f>VLOOKUP(all_cause_mort[[Country]:[Country]],'[1]Mortality Data'!$A$2:$W$201,9,FALSE)</f>
        <v>6.6980060000000001E-4</v>
      </c>
      <c r="BG151">
        <f>VLOOKUP(all_cause_mort[[Country]:[Country]],'[1]Mortality Data'!$A$2:$W$201,10,FALSE)</f>
        <v>9.4116413999999996E-4</v>
      </c>
      <c r="BH151">
        <f>VLOOKUP(all_cause_mort[[Country]:[Country]],'[1]Mortality Data'!$A$2:$W$201,11,FALSE)</f>
        <v>1.5008735E-3</v>
      </c>
      <c r="BI151">
        <f>VLOOKUP(all_cause_mort[[Country]:[Country]],'[1]Mortality Data'!$A$2:$W$201,12,FALSE)</f>
        <v>2.4719069000000001E-3</v>
      </c>
      <c r="BJ151">
        <f>VLOOKUP(all_cause_mort[[Country]:[Country]],'[1]Mortality Data'!$A$2:$W$201,13,FALSE)</f>
        <v>4.2553664000000001E-3</v>
      </c>
      <c r="BK151">
        <f>VLOOKUP(all_cause_mort[[Country]:[Country]],'[1]Mortality Data'!$A$2:$W$201,14,FALSE)</f>
        <v>7.1728655999999998E-3</v>
      </c>
      <c r="BL151">
        <f>VLOOKUP(all_cause_mort[[Country]:[Country]],'[1]Mortality Data'!$A$2:$W$201,15,FALSE)</f>
        <v>1.1706767999999999E-2</v>
      </c>
      <c r="BM151">
        <f>VLOOKUP(all_cause_mort[[Country]:[Country]],'[1]Mortality Data'!$A$2:$W$201,16,FALSE)</f>
        <v>1.8823829E-2</v>
      </c>
      <c r="BN151">
        <f>VLOOKUP(all_cause_mort[[Country]:[Country]],'[1]Mortality Data'!$A$2:$W$201,17,FALSE)</f>
        <v>3.3331056999999997E-2</v>
      </c>
      <c r="BO151">
        <f>VLOOKUP(all_cause_mort[[Country]:[Country]],'[1]Mortality Data'!$A$2:$W$201,18,FALSE)</f>
        <v>5.8882819000000003E-2</v>
      </c>
      <c r="BP151">
        <f>VLOOKUP(all_cause_mort[[Country]:[Country]],'[1]Mortality Data'!$A$2:$W$201,19,FALSE)</f>
        <v>0.10050381</v>
      </c>
      <c r="BQ151">
        <f>VLOOKUP(all_cause_mort[[Country]:[Country]],'[1]Mortality Data'!$A$2:$W$201,20,FALSE)</f>
        <v>0.16299215</v>
      </c>
      <c r="BR151">
        <f>VLOOKUP(all_cause_mort[[Country]:[Country]],'[1]Mortality Data'!$A$2:$W$201,21,FALSE)</f>
        <v>0.24602652</v>
      </c>
      <c r="BS151">
        <f>VLOOKUP(all_cause_mort[[Country]:[Country]],'[1]Mortality Data'!$A$2:$W$201,22,FALSE)</f>
        <v>0.34366651999999998</v>
      </c>
      <c r="BT151">
        <f>VLOOKUP(all_cause_mort[[Country]:[Country]],'[1]Mortality Data'!$A$2:$W$201,23,FALSE)</f>
        <v>0.486986716609427</v>
      </c>
      <c r="BU151" s="39" t="e">
        <f>VLOOKUP(all_cause_mort[[#This Row],[Country]],[2]!regions[#Data],3,FALSE)</f>
        <v>#REF!</v>
      </c>
    </row>
    <row r="152" spans="1:73" x14ac:dyDescent="0.35">
      <c r="A152" t="s">
        <v>134</v>
      </c>
      <c r="B152">
        <v>364511</v>
      </c>
      <c r="C152">
        <v>375131</v>
      </c>
      <c r="D152">
        <v>386203</v>
      </c>
      <c r="E152">
        <v>397397</v>
      </c>
      <c r="F152">
        <v>408247</v>
      </c>
      <c r="G152">
        <v>418403</v>
      </c>
      <c r="H152">
        <v>427756</v>
      </c>
      <c r="I152">
        <v>436330</v>
      </c>
      <c r="K152" t="s">
        <v>134</v>
      </c>
      <c r="L152">
        <v>18.27</v>
      </c>
      <c r="M152">
        <f>birthrate[[#This Row],[2016]]/1000</f>
        <v>1.8269999999999998E-2</v>
      </c>
      <c r="O152" t="s">
        <v>203</v>
      </c>
      <c r="P152">
        <v>21.4</v>
      </c>
      <c r="Q152">
        <f>facility[[#This Row],[Facility (%)]]/100</f>
        <v>0.214</v>
      </c>
      <c r="S152" t="s">
        <v>188</v>
      </c>
      <c r="T152" t="s">
        <v>267</v>
      </c>
      <c r="U152">
        <v>86.2</v>
      </c>
      <c r="V152">
        <f>SBA[[#This Row],[SBA (%)]]/100</f>
        <v>0.86199999999999999</v>
      </c>
      <c r="X152" s="13" t="s">
        <v>216</v>
      </c>
      <c r="Y152" s="10" t="s">
        <v>256</v>
      </c>
      <c r="Z152" s="21">
        <v>3.0000000000000001E-3</v>
      </c>
      <c r="AA152" s="21">
        <v>2E-3</v>
      </c>
      <c r="AB152" s="21">
        <v>3.0000000000000001E-3</v>
      </c>
      <c r="AC152" s="30">
        <v>325719178</v>
      </c>
      <c r="AD152" s="27">
        <v>5.102040816326522E-5</v>
      </c>
      <c r="AF152" s="24" t="s">
        <v>180</v>
      </c>
      <c r="AG152" s="24" t="s">
        <v>253</v>
      </c>
      <c r="AH152" s="24">
        <v>96</v>
      </c>
      <c r="AI152" s="25">
        <f>IF(birthdose[[#This Row],[2017]]/100=0, ,birthdose[[#This Row],[2017]]/100)</f>
        <v>0.96</v>
      </c>
      <c r="AK152" s="24" t="s">
        <v>180</v>
      </c>
      <c r="AL152" s="24" t="s">
        <v>254</v>
      </c>
      <c r="AM152" s="24">
        <v>98</v>
      </c>
      <c r="AN152" s="25">
        <f>IF(fullvax[[#This Row],[2017]]/100=0, ,fullvax[[#This Row],[2017]]/100)</f>
        <v>0.98</v>
      </c>
      <c r="AV152" s="12" t="s">
        <v>208</v>
      </c>
      <c r="AW152" s="14" t="s">
        <v>11</v>
      </c>
      <c r="AX152" s="41">
        <f>VLOOKUP(all_cause_mort[[#This Row],[Country]],[1]!populations[#Data],9,FALSE)*VLOOKUP(all_cause_mort[[#This Row],[Country]],[1]!birthrate[#Data],3,FALSE)</f>
        <v>1311379.8698199999</v>
      </c>
      <c r="AY152">
        <f>VLOOKUP(all_cause_mort[[Country]:[Country]],'[1]Mortality Data'!$A$2:$W$201,2,FALSE)</f>
        <v>8.9758821000000006E-3</v>
      </c>
      <c r="AZ152">
        <f>VLOOKUP(all_cause_mort[[Country]:[Country]],'[1]Mortality Data'!$A$2:$W$201,3,FALSE)</f>
        <v>1.0998576999999999E-3</v>
      </c>
      <c r="BA152">
        <f>VLOOKUP(all_cause_mort[[Country]:[Country]],'[1]Mortality Data'!$A$2:$W$201,4,FALSE)</f>
        <v>6.8350275000000004E-4</v>
      </c>
      <c r="BB152">
        <f>VLOOKUP(all_cause_mort[[Country]:[Country]],'[1]Mortality Data'!$A$2:$W$201,5,FALSE)</f>
        <v>5.8378824000000003E-4</v>
      </c>
      <c r="BC152">
        <f>VLOOKUP(all_cause_mort[[Country]:[Country]],'[1]Mortality Data'!$A$2:$W$201,6,FALSE)</f>
        <v>6.9276107000000001E-4</v>
      </c>
      <c r="BD152">
        <f>VLOOKUP(all_cause_mort[[Country]:[Country]],'[1]Mortality Data'!$A$2:$W$201,7,FALSE)</f>
        <v>9.6323236000000003E-4</v>
      </c>
      <c r="BE152">
        <f>VLOOKUP(all_cause_mort[[Country]:[Country]],'[1]Mortality Data'!$A$2:$W$201,8,FALSE)</f>
        <v>1.1777116999999999E-3</v>
      </c>
      <c r="BF152">
        <f>VLOOKUP(all_cause_mort[[Country]:[Country]],'[1]Mortality Data'!$A$2:$W$201,9,FALSE)</f>
        <v>1.3820001E-3</v>
      </c>
      <c r="BG152">
        <f>VLOOKUP(all_cause_mort[[Country]:[Country]],'[1]Mortality Data'!$A$2:$W$201,10,FALSE)</f>
        <v>1.6388512E-3</v>
      </c>
      <c r="BH152">
        <f>VLOOKUP(all_cause_mort[[Country]:[Country]],'[1]Mortality Data'!$A$2:$W$201,11,FALSE)</f>
        <v>2.0133665000000001E-3</v>
      </c>
      <c r="BI152">
        <f>VLOOKUP(all_cause_mort[[Country]:[Country]],'[1]Mortality Data'!$A$2:$W$201,12,FALSE)</f>
        <v>2.6066143999999999E-3</v>
      </c>
      <c r="BJ152">
        <f>VLOOKUP(all_cause_mort[[Country]:[Country]],'[1]Mortality Data'!$A$2:$W$201,13,FALSE)</f>
        <v>3.5633887E-3</v>
      </c>
      <c r="BK152">
        <f>VLOOKUP(all_cause_mort[[Country]:[Country]],'[1]Mortality Data'!$A$2:$W$201,14,FALSE)</f>
        <v>5.2989691000000002E-3</v>
      </c>
      <c r="BL152">
        <f>VLOOKUP(all_cause_mort[[Country]:[Country]],'[1]Mortality Data'!$A$2:$W$201,15,FALSE)</f>
        <v>8.2979382000000004E-3</v>
      </c>
      <c r="BM152">
        <f>VLOOKUP(all_cause_mort[[Country]:[Country]],'[1]Mortality Data'!$A$2:$W$201,16,FALSE)</f>
        <v>1.3670112E-2</v>
      </c>
      <c r="BN152">
        <f>VLOOKUP(all_cause_mort[[Country]:[Country]],'[1]Mortality Data'!$A$2:$W$201,17,FALSE)</f>
        <v>2.5049207E-2</v>
      </c>
      <c r="BO152">
        <f>VLOOKUP(all_cause_mort[[Country]:[Country]],'[1]Mortality Data'!$A$2:$W$201,18,FALSE)</f>
        <v>4.6487158000000001E-2</v>
      </c>
      <c r="BP152">
        <f>VLOOKUP(all_cause_mort[[Country]:[Country]],'[1]Mortality Data'!$A$2:$W$201,19,FALSE)</f>
        <v>8.3415056000000001E-2</v>
      </c>
      <c r="BQ152">
        <f>VLOOKUP(all_cause_mort[[Country]:[Country]],'[1]Mortality Data'!$A$2:$W$201,20,FALSE)</f>
        <v>0.14180856999999999</v>
      </c>
      <c r="BR152">
        <f>VLOOKUP(all_cause_mort[[Country]:[Country]],'[1]Mortality Data'!$A$2:$W$201,21,FALSE)</f>
        <v>0.22865009</v>
      </c>
      <c r="BS152">
        <f>VLOOKUP(all_cause_mort[[Country]:[Country]],'[1]Mortality Data'!$A$2:$W$201,22,FALSE)</f>
        <v>0.34751042999999998</v>
      </c>
      <c r="BT152">
        <f>VLOOKUP(all_cause_mort[[Country]:[Country]],'[1]Mortality Data'!$A$2:$W$201,23,FALSE)</f>
        <v>0.47483590502085299</v>
      </c>
      <c r="BU152" s="39" t="e">
        <f>VLOOKUP(all_cause_mort[[#This Row],[Country]],[2]!regions[#Data],3,FALSE)</f>
        <v>#REF!</v>
      </c>
    </row>
    <row r="153" spans="1:73" x14ac:dyDescent="0.35">
      <c r="A153" t="s">
        <v>339</v>
      </c>
      <c r="B153">
        <v>388376106</v>
      </c>
      <c r="C153">
        <v>396573248</v>
      </c>
      <c r="D153">
        <v>404783020</v>
      </c>
      <c r="E153">
        <v>412953000</v>
      </c>
      <c r="F153">
        <v>421030035</v>
      </c>
      <c r="G153">
        <v>428974903</v>
      </c>
      <c r="H153">
        <v>436738031</v>
      </c>
      <c r="I153">
        <v>444322417</v>
      </c>
      <c r="K153" t="s">
        <v>339</v>
      </c>
      <c r="L153">
        <v>22.794600663980191</v>
      </c>
      <c r="M153">
        <f>birthrate[[#This Row],[2016]]/1000</f>
        <v>2.2794600663980192E-2</v>
      </c>
      <c r="O153" t="s">
        <v>204</v>
      </c>
      <c r="P153">
        <v>72.5</v>
      </c>
      <c r="Q153">
        <f>facility[[#This Row],[Facility (%)]]/100</f>
        <v>0.72499999999999998</v>
      </c>
      <c r="S153" t="s">
        <v>189</v>
      </c>
      <c r="T153" t="s">
        <v>340</v>
      </c>
      <c r="U153">
        <v>9.4</v>
      </c>
      <c r="V153">
        <f>SBA[[#This Row],[SBA (%)]]/100</f>
        <v>9.4E-2</v>
      </c>
      <c r="X153" s="10" t="s">
        <v>218</v>
      </c>
      <c r="Y153" s="10" t="s">
        <v>256</v>
      </c>
      <c r="Z153" s="21">
        <v>0.08</v>
      </c>
      <c r="AA153" s="21">
        <v>4.1000000000000002E-2</v>
      </c>
      <c r="AB153" s="21">
        <v>0.11700000000000001</v>
      </c>
      <c r="AC153" s="30">
        <v>32387200</v>
      </c>
      <c r="AD153" s="27">
        <v>1.8877551020408168E-2</v>
      </c>
      <c r="AF153" s="24" t="s">
        <v>181</v>
      </c>
      <c r="AG153" s="24" t="s">
        <v>253</v>
      </c>
      <c r="AH153" s="24">
        <v>72</v>
      </c>
      <c r="AI153" s="25">
        <f>IF(birthdose[[#This Row],[2017]]/100=0, ,birthdose[[#This Row],[2017]]/100)</f>
        <v>0.72</v>
      </c>
      <c r="AK153" s="24" t="s">
        <v>181</v>
      </c>
      <c r="AL153" s="24" t="s">
        <v>254</v>
      </c>
      <c r="AM153" s="24">
        <v>91</v>
      </c>
      <c r="AN153" s="25">
        <f>IF(fullvax[[#This Row],[2017]]/100=0, ,fullvax[[#This Row],[2017]]/100)</f>
        <v>0.91</v>
      </c>
      <c r="AV153" s="8" t="s">
        <v>209</v>
      </c>
      <c r="AW153" s="11" t="s">
        <v>11</v>
      </c>
      <c r="AX153" s="41">
        <f>VLOOKUP(all_cause_mort[[#This Row],[Country]],[1]!populations[#Data],9,FALSE)*VLOOKUP(all_cause_mort[[#This Row],[Country]],[1]!birthrate[#Data],3,FALSE)</f>
        <v>146099.636975</v>
      </c>
      <c r="AY153">
        <f>VLOOKUP(all_cause_mort[[Country]:[Country]],'[1]Mortality Data'!$A$2:$W$201,2,FALSE)</f>
        <v>4.4921488000000002E-2</v>
      </c>
      <c r="AZ153">
        <f>VLOOKUP(all_cause_mort[[Country]:[Country]],'[1]Mortality Data'!$A$2:$W$201,3,FALSE)</f>
        <v>2.1412040999999999E-3</v>
      </c>
      <c r="BA153">
        <f>VLOOKUP(all_cause_mort[[Country]:[Country]],'[1]Mortality Data'!$A$2:$W$201,4,FALSE)</f>
        <v>3.8652032999999999E-4</v>
      </c>
      <c r="BB153">
        <f>VLOOKUP(all_cause_mort[[Country]:[Country]],'[1]Mortality Data'!$A$2:$W$201,5,FALSE)</f>
        <v>3.7888500999999999E-4</v>
      </c>
      <c r="BC153">
        <f>VLOOKUP(all_cause_mort[[Country]:[Country]],'[1]Mortality Data'!$A$2:$W$201,6,FALSE)</f>
        <v>8.7431423999999997E-4</v>
      </c>
      <c r="BD153">
        <f>VLOOKUP(all_cause_mort[[Country]:[Country]],'[1]Mortality Data'!$A$2:$W$201,7,FALSE)</f>
        <v>1.1724845000000001E-3</v>
      </c>
      <c r="BE153">
        <f>VLOOKUP(all_cause_mort[[Country]:[Country]],'[1]Mortality Data'!$A$2:$W$201,8,FALSE)</f>
        <v>1.5136035E-3</v>
      </c>
      <c r="BF153">
        <f>VLOOKUP(all_cause_mort[[Country]:[Country]],'[1]Mortality Data'!$A$2:$W$201,9,FALSE)</f>
        <v>2.0689542000000001E-3</v>
      </c>
      <c r="BG153">
        <f>VLOOKUP(all_cause_mort[[Country]:[Country]],'[1]Mortality Data'!$A$2:$W$201,10,FALSE)</f>
        <v>2.9294181000000001E-3</v>
      </c>
      <c r="BH153">
        <f>VLOOKUP(all_cause_mort[[Country]:[Country]],'[1]Mortality Data'!$A$2:$W$201,11,FALSE)</f>
        <v>4.1454880000000001E-3</v>
      </c>
      <c r="BI153">
        <f>VLOOKUP(all_cause_mort[[Country]:[Country]],'[1]Mortality Data'!$A$2:$W$201,12,FALSE)</f>
        <v>5.7744653E-3</v>
      </c>
      <c r="BJ153">
        <f>VLOOKUP(all_cause_mort[[Country]:[Country]],'[1]Mortality Data'!$A$2:$W$201,13,FALSE)</f>
        <v>9.1371339000000003E-3</v>
      </c>
      <c r="BK153">
        <f>VLOOKUP(all_cause_mort[[Country]:[Country]],'[1]Mortality Data'!$A$2:$W$201,14,FALSE)</f>
        <v>1.3560139000000001E-2</v>
      </c>
      <c r="BL153">
        <f>VLOOKUP(all_cause_mort[[Country]:[Country]],'[1]Mortality Data'!$A$2:$W$201,15,FALSE)</f>
        <v>2.2809203E-2</v>
      </c>
      <c r="BM153">
        <f>VLOOKUP(all_cause_mort[[Country]:[Country]],'[1]Mortality Data'!$A$2:$W$201,16,FALSE)</f>
        <v>2.9850709999999999E-2</v>
      </c>
      <c r="BN153">
        <f>VLOOKUP(all_cause_mort[[Country]:[Country]],'[1]Mortality Data'!$A$2:$W$201,17,FALSE)</f>
        <v>5.7313920999999997E-2</v>
      </c>
      <c r="BO153">
        <f>VLOOKUP(all_cause_mort[[Country]:[Country]],'[1]Mortality Data'!$A$2:$W$201,18,FALSE)</f>
        <v>6.3375656000000002E-2</v>
      </c>
      <c r="BP153">
        <f>VLOOKUP(all_cause_mort[[Country]:[Country]],'[1]Mortality Data'!$A$2:$W$201,19,FALSE)</f>
        <v>0.11624036</v>
      </c>
      <c r="BQ153">
        <f>VLOOKUP(all_cause_mort[[Country]:[Country]],'[1]Mortality Data'!$A$2:$W$201,20,FALSE)</f>
        <v>0.17533162999999999</v>
      </c>
      <c r="BR153">
        <f>VLOOKUP(all_cause_mort[[Country]:[Country]],'[1]Mortality Data'!$A$2:$W$201,21,FALSE)</f>
        <v>0.25575086000000002</v>
      </c>
      <c r="BS153">
        <f>VLOOKUP(all_cause_mort[[Country]:[Country]],'[1]Mortality Data'!$A$2:$W$201,22,FALSE)</f>
        <v>0.35418404999999997</v>
      </c>
      <c r="BT153">
        <f>VLOOKUP(all_cause_mort[[Country]:[Country]],'[1]Mortality Data'!$A$2:$W$201,23,FALSE)</f>
        <v>0.46928567493275802</v>
      </c>
      <c r="BU153" s="39" t="e">
        <f>VLOOKUP(all_cause_mort[[#This Row],[Country]],[2]!regions[#Data],3,FALSE)</f>
        <v>#REF!</v>
      </c>
    </row>
    <row r="154" spans="1:73" x14ac:dyDescent="0.35">
      <c r="A154" t="s">
        <v>140</v>
      </c>
      <c r="B154">
        <v>117318941</v>
      </c>
      <c r="C154">
        <v>119090017</v>
      </c>
      <c r="D154">
        <v>120828307</v>
      </c>
      <c r="E154">
        <v>122535969</v>
      </c>
      <c r="F154">
        <v>124221600</v>
      </c>
      <c r="G154">
        <v>125890949</v>
      </c>
      <c r="H154">
        <v>127540423</v>
      </c>
      <c r="I154">
        <v>129163276</v>
      </c>
      <c r="K154" t="s">
        <v>140</v>
      </c>
      <c r="L154">
        <v>18.172999999999998</v>
      </c>
      <c r="M154">
        <f>birthrate[[#This Row],[2016]]/1000</f>
        <v>1.8172999999999998E-2</v>
      </c>
      <c r="O154" t="s">
        <v>205</v>
      </c>
      <c r="P154">
        <v>98</v>
      </c>
      <c r="Q154">
        <f>facility[[#This Row],[Facility (%)]]/100</f>
        <v>0.98</v>
      </c>
      <c r="S154" t="s">
        <v>190</v>
      </c>
      <c r="T154" t="s">
        <v>265</v>
      </c>
      <c r="U154">
        <v>96.7</v>
      </c>
      <c r="V154">
        <f>SBA[[#This Row],[SBA (%)]]/100</f>
        <v>0.96700000000000008</v>
      </c>
      <c r="X154" s="10" t="s">
        <v>219</v>
      </c>
      <c r="Y154" s="10" t="s">
        <v>252</v>
      </c>
      <c r="Z154" s="21">
        <v>0.1754</v>
      </c>
      <c r="AA154" s="21">
        <v>0.16200000000000001</v>
      </c>
      <c r="AB154" s="21">
        <v>0.18959999999999999</v>
      </c>
      <c r="AC154" s="31">
        <v>236295</v>
      </c>
      <c r="AD154" s="27">
        <v>7.2448979591836684E-3</v>
      </c>
      <c r="AF154" s="24" t="s">
        <v>182</v>
      </c>
      <c r="AG154" s="24" t="s">
        <v>253</v>
      </c>
      <c r="AH154" s="24">
        <v>99</v>
      </c>
      <c r="AI154" s="25">
        <f>IF(birthdose[[#This Row],[2017]]/100=0, ,birthdose[[#This Row],[2017]]/100)</f>
        <v>0.99</v>
      </c>
      <c r="AK154" s="24" t="s">
        <v>182</v>
      </c>
      <c r="AL154" s="24" t="s">
        <v>254</v>
      </c>
      <c r="AM154" s="24">
        <v>93</v>
      </c>
      <c r="AN154" s="25">
        <f>IF(fullvax[[#This Row],[2017]]/100=0, ,fullvax[[#This Row],[2017]]/100)</f>
        <v>0.93</v>
      </c>
      <c r="AV154" s="12" t="s">
        <v>210</v>
      </c>
      <c r="AW154" s="14" t="s">
        <v>58</v>
      </c>
      <c r="AX154" s="41">
        <f>VLOOKUP(all_cause_mort[[#This Row],[Country]],[1]!populations[#Data],9,FALSE)*VLOOKUP(all_cause_mort[[#This Row],[Country]],[1]!birthrate[#Data],3,FALSE)</f>
        <v>265.25040000000001</v>
      </c>
      <c r="BU154" s="39" t="e">
        <f>VLOOKUP(all_cause_mort[[#This Row],[Country]],[2]!regions[#Data],3,FALSE)</f>
        <v>#REF!</v>
      </c>
    </row>
    <row r="155" spans="1:73" x14ac:dyDescent="0.35">
      <c r="A155" t="s">
        <v>137</v>
      </c>
      <c r="B155">
        <v>52425</v>
      </c>
      <c r="C155">
        <v>52542</v>
      </c>
      <c r="D155">
        <v>52663</v>
      </c>
      <c r="E155">
        <v>52793</v>
      </c>
      <c r="F155">
        <v>52898</v>
      </c>
      <c r="G155">
        <v>52994</v>
      </c>
      <c r="H155">
        <v>53066</v>
      </c>
      <c r="I155">
        <v>53127</v>
      </c>
      <c r="K155" t="s">
        <v>137</v>
      </c>
      <c r="L155">
        <v>24.4</v>
      </c>
      <c r="M155">
        <f>birthrate[[#This Row],[2016]]/1000</f>
        <v>2.4399999999999998E-2</v>
      </c>
      <c r="O155" t="s">
        <v>206</v>
      </c>
      <c r="P155">
        <v>97.9</v>
      </c>
      <c r="Q155">
        <f>facility[[#This Row],[Facility (%)]]/100</f>
        <v>0.97900000000000009</v>
      </c>
      <c r="S155" t="s">
        <v>191</v>
      </c>
      <c r="T155" t="s">
        <v>272</v>
      </c>
      <c r="U155">
        <v>19.399999999999999</v>
      </c>
      <c r="V155">
        <f>SBA[[#This Row],[SBA (%)]]/100</f>
        <v>0.19399999999999998</v>
      </c>
      <c r="X155" s="13" t="s">
        <v>220</v>
      </c>
      <c r="Y155" s="13" t="s">
        <v>256</v>
      </c>
      <c r="Z155" s="26">
        <v>1.2E-2</v>
      </c>
      <c r="AA155" s="26">
        <v>1.0999999999999999E-2</v>
      </c>
      <c r="AB155" s="26">
        <v>1.7999999999999999E-2</v>
      </c>
      <c r="AC155" s="30">
        <v>31977065</v>
      </c>
      <c r="AD155" s="27">
        <v>3.0612244897959178E-3</v>
      </c>
      <c r="AF155" s="24" t="s">
        <v>183</v>
      </c>
      <c r="AG155" s="24" t="s">
        <v>253</v>
      </c>
      <c r="AH155" s="24"/>
      <c r="AI155" s="25">
        <f>IF(birthdose[[#This Row],[2017]]/100=0, ,birthdose[[#This Row],[2017]]/100)</f>
        <v>0</v>
      </c>
      <c r="AK155" s="24" t="s">
        <v>183</v>
      </c>
      <c r="AL155" s="24" t="s">
        <v>254</v>
      </c>
      <c r="AM155" s="24">
        <v>98</v>
      </c>
      <c r="AN155" s="25">
        <f>IF(fullvax[[#This Row],[2017]]/100=0, ,fullvax[[#This Row],[2017]]/100)</f>
        <v>0.98</v>
      </c>
      <c r="AV155" s="8" t="s">
        <v>211</v>
      </c>
      <c r="AW155" s="11" t="s">
        <v>15</v>
      </c>
      <c r="AX155" s="41">
        <f>VLOOKUP(all_cause_mort[[#This Row],[Country]],[1]!populations[#Data],9,FALSE)*VLOOKUP(all_cause_mort[[#This Row],[Country]],[1]!birthrate[#Data],3,FALSE)</f>
        <v>1806416.501952</v>
      </c>
      <c r="AY155">
        <f>VLOOKUP(all_cause_mort[[Country]:[Country]],'[1]Mortality Data'!$A$2:$W$201,2,FALSE)</f>
        <v>4.7964474E-2</v>
      </c>
      <c r="AZ155">
        <f>VLOOKUP(all_cause_mort[[Country]:[Country]],'[1]Mortality Data'!$A$2:$W$201,3,FALSE)</f>
        <v>4.4152514000000004E-3</v>
      </c>
      <c r="BA155">
        <f>VLOOKUP(all_cause_mort[[Country]:[Country]],'[1]Mortality Data'!$A$2:$W$201,4,FALSE)</f>
        <v>1.4883652E-3</v>
      </c>
      <c r="BB155">
        <f>VLOOKUP(all_cause_mort[[Country]:[Country]],'[1]Mortality Data'!$A$2:$W$201,5,FALSE)</f>
        <v>1.1156174000000001E-3</v>
      </c>
      <c r="BC155">
        <f>VLOOKUP(all_cause_mort[[Country]:[Country]],'[1]Mortality Data'!$A$2:$W$201,6,FALSE)</f>
        <v>1.8294050999999999E-3</v>
      </c>
      <c r="BD155">
        <f>VLOOKUP(all_cause_mort[[Country]:[Country]],'[1]Mortality Data'!$A$2:$W$201,7,FALSE)</f>
        <v>2.8235673E-3</v>
      </c>
      <c r="BE155">
        <f>VLOOKUP(all_cause_mort[[Country]:[Country]],'[1]Mortality Data'!$A$2:$W$201,8,FALSE)</f>
        <v>3.6733421E-3</v>
      </c>
      <c r="BF155">
        <f>VLOOKUP(all_cause_mort[[Country]:[Country]],'[1]Mortality Data'!$A$2:$W$201,9,FALSE)</f>
        <v>4.5912204000000002E-3</v>
      </c>
      <c r="BG155">
        <f>VLOOKUP(all_cause_mort[[Country]:[Country]],'[1]Mortality Data'!$A$2:$W$201,10,FALSE)</f>
        <v>5.8871657000000004E-3</v>
      </c>
      <c r="BH155">
        <f>VLOOKUP(all_cause_mort[[Country]:[Country]],'[1]Mortality Data'!$A$2:$W$201,11,FALSE)</f>
        <v>7.2906428000000002E-3</v>
      </c>
      <c r="BI155">
        <f>VLOOKUP(all_cause_mort[[Country]:[Country]],'[1]Mortality Data'!$A$2:$W$201,12,FALSE)</f>
        <v>9.0406501000000004E-3</v>
      </c>
      <c r="BJ155">
        <f>VLOOKUP(all_cause_mort[[Country]:[Country]],'[1]Mortality Data'!$A$2:$W$201,13,FALSE)</f>
        <v>1.2205478000000001E-2</v>
      </c>
      <c r="BK155">
        <f>VLOOKUP(all_cause_mort[[Country]:[Country]],'[1]Mortality Data'!$A$2:$W$201,14,FALSE)</f>
        <v>1.5867506E-2</v>
      </c>
      <c r="BL155">
        <f>VLOOKUP(all_cause_mort[[Country]:[Country]],'[1]Mortality Data'!$A$2:$W$201,15,FALSE)</f>
        <v>2.3012912E-2</v>
      </c>
      <c r="BM155">
        <f>VLOOKUP(all_cause_mort[[Country]:[Country]],'[1]Mortality Data'!$A$2:$W$201,16,FALSE)</f>
        <v>3.5077875000000001E-2</v>
      </c>
      <c r="BN155">
        <f>VLOOKUP(all_cause_mort[[Country]:[Country]],'[1]Mortality Data'!$A$2:$W$201,17,FALSE)</f>
        <v>5.5315814999999997E-2</v>
      </c>
      <c r="BO155">
        <f>VLOOKUP(all_cause_mort[[Country]:[Country]],'[1]Mortality Data'!$A$2:$W$201,18,FALSE)</f>
        <v>8.8928993999999997E-2</v>
      </c>
      <c r="BP155">
        <f>VLOOKUP(all_cause_mort[[Country]:[Country]],'[1]Mortality Data'!$A$2:$W$201,19,FALSE)</f>
        <v>0.14874492</v>
      </c>
      <c r="BQ155">
        <f>VLOOKUP(all_cause_mort[[Country]:[Country]],'[1]Mortality Data'!$A$2:$W$201,20,FALSE)</f>
        <v>0.24952477000000001</v>
      </c>
      <c r="BR155">
        <f>VLOOKUP(all_cause_mort[[Country]:[Country]],'[1]Mortality Data'!$A$2:$W$201,21,FALSE)</f>
        <v>0.41351072</v>
      </c>
      <c r="BS155">
        <f>VLOOKUP(all_cause_mort[[Country]:[Country]],'[1]Mortality Data'!$A$2:$W$201,22,FALSE)</f>
        <v>0.58998212999999999</v>
      </c>
      <c r="BT155">
        <f>VLOOKUP(all_cause_mort[[Country]:[Country]],'[1]Mortality Data'!$A$2:$W$201,23,FALSE)</f>
        <v>0.77539035088739605</v>
      </c>
      <c r="BU155" s="39" t="e">
        <f>VLOOKUP(all_cause_mort[[#This Row],[Country]],[2]!regions[#Data],3,FALSE)</f>
        <v>#REF!</v>
      </c>
    </row>
    <row r="156" spans="1:73" x14ac:dyDescent="0.35">
      <c r="A156" t="s">
        <v>341</v>
      </c>
      <c r="B156">
        <v>5121807824</v>
      </c>
      <c r="C156">
        <v>5181847962</v>
      </c>
      <c r="D156">
        <v>5242597655</v>
      </c>
      <c r="E156">
        <v>5304029982</v>
      </c>
      <c r="F156">
        <v>5365538848</v>
      </c>
      <c r="G156">
        <v>5426786956</v>
      </c>
      <c r="H156">
        <v>5487997451</v>
      </c>
      <c r="I156">
        <v>5548845363</v>
      </c>
      <c r="K156" t="s">
        <v>341</v>
      </c>
      <c r="L156">
        <v>18.543883851644548</v>
      </c>
      <c r="M156">
        <f>birthrate[[#This Row],[2016]]/1000</f>
        <v>1.8543883851644547E-2</v>
      </c>
      <c r="O156" t="s">
        <v>207</v>
      </c>
      <c r="P156">
        <v>98.5</v>
      </c>
      <c r="Q156">
        <f>facility[[#This Row],[Facility (%)]]/100</f>
        <v>0.98499999999999999</v>
      </c>
      <c r="S156" t="s">
        <v>193</v>
      </c>
      <c r="T156" t="s">
        <v>342</v>
      </c>
      <c r="U156">
        <v>98.6</v>
      </c>
      <c r="V156">
        <f>SBA[[#This Row],[SBA (%)]]/100</f>
        <v>0.98599999999999999</v>
      </c>
      <c r="X156" s="10" t="s">
        <v>221</v>
      </c>
      <c r="Y156" s="10" t="s">
        <v>256</v>
      </c>
      <c r="Z156" s="21">
        <v>8.2000000000000003E-2</v>
      </c>
      <c r="AA156" s="21">
        <v>7.2999999999999995E-2</v>
      </c>
      <c r="AB156" s="21">
        <v>0.10299999999999999</v>
      </c>
      <c r="AC156" s="30">
        <v>95540800</v>
      </c>
      <c r="AD156" s="27">
        <v>1.0714285714285709E-2</v>
      </c>
      <c r="AF156" s="24" t="s">
        <v>184</v>
      </c>
      <c r="AG156" s="24" t="s">
        <v>253</v>
      </c>
      <c r="AH156" s="24"/>
      <c r="AI156" s="25">
        <f>IF(birthdose[[#This Row],[2017]]/100=0, ,birthdose[[#This Row],[2017]]/100)</f>
        <v>0</v>
      </c>
      <c r="AK156" s="24" t="s">
        <v>184</v>
      </c>
      <c r="AL156" s="24" t="s">
        <v>254</v>
      </c>
      <c r="AM156" s="24">
        <v>90</v>
      </c>
      <c r="AN156" s="25">
        <f>IF(fullvax[[#This Row],[2017]]/100=0, ,fullvax[[#This Row],[2017]]/100)</f>
        <v>0.9</v>
      </c>
      <c r="AV156" s="12" t="s">
        <v>212</v>
      </c>
      <c r="AW156" s="14" t="s">
        <v>11</v>
      </c>
      <c r="AX156" s="41">
        <f>VLOOKUP(all_cause_mort[[#This Row],[Country]],[1]!populations[#Data],9,FALSE)*VLOOKUP(all_cause_mort[[#This Row],[Country]],[1]!birthrate[#Data],3,FALSE)</f>
        <v>461760.93770000001</v>
      </c>
      <c r="AY156">
        <f>VLOOKUP(all_cause_mort[[Country]:[Country]],'[1]Mortality Data'!$A$2:$W$201,2,FALSE)</f>
        <v>7.2474868999999999E-3</v>
      </c>
      <c r="AZ156">
        <f>VLOOKUP(all_cause_mort[[Country]:[Country]],'[1]Mortality Data'!$A$2:$W$201,3,FALSE)</f>
        <v>3.4634837E-4</v>
      </c>
      <c r="BA156">
        <f>VLOOKUP(all_cause_mort[[Country]:[Country]],'[1]Mortality Data'!$A$2:$W$201,4,FALSE)</f>
        <v>2.0397771E-4</v>
      </c>
      <c r="BB156">
        <f>VLOOKUP(all_cause_mort[[Country]:[Country]],'[1]Mortality Data'!$A$2:$W$201,5,FALSE)</f>
        <v>2.5009385000000002E-4</v>
      </c>
      <c r="BC156">
        <f>VLOOKUP(all_cause_mort[[Country]:[Country]],'[1]Mortality Data'!$A$2:$W$201,6,FALSE)</f>
        <v>4.9477750999999998E-4</v>
      </c>
      <c r="BD156">
        <f>VLOOKUP(all_cause_mort[[Country]:[Country]],'[1]Mortality Data'!$A$2:$W$201,7,FALSE)</f>
        <v>9.1571304999999998E-4</v>
      </c>
      <c r="BE156">
        <f>VLOOKUP(all_cause_mort[[Country]:[Country]],'[1]Mortality Data'!$A$2:$W$201,8,FALSE)</f>
        <v>1.4887469999999999E-3</v>
      </c>
      <c r="BF156">
        <f>VLOOKUP(all_cause_mort[[Country]:[Country]],'[1]Mortality Data'!$A$2:$W$201,9,FALSE)</f>
        <v>2.5526039E-3</v>
      </c>
      <c r="BG156">
        <f>VLOOKUP(all_cause_mort[[Country]:[Country]],'[1]Mortality Data'!$A$2:$W$201,10,FALSE)</f>
        <v>3.5527089000000002E-3</v>
      </c>
      <c r="BH156">
        <f>VLOOKUP(all_cause_mort[[Country]:[Country]],'[1]Mortality Data'!$A$2:$W$201,11,FALSE)</f>
        <v>4.5882971000000003E-3</v>
      </c>
      <c r="BI156">
        <f>VLOOKUP(all_cause_mort[[Country]:[Country]],'[1]Mortality Data'!$A$2:$W$201,12,FALSE)</f>
        <v>6.2734215999999997E-3</v>
      </c>
      <c r="BJ156">
        <f>VLOOKUP(all_cause_mort[[Country]:[Country]],'[1]Mortality Data'!$A$2:$W$201,13,FALSE)</f>
        <v>8.9201692999999992E-3</v>
      </c>
      <c r="BK156">
        <f>VLOOKUP(all_cause_mort[[Country]:[Country]],'[1]Mortality Data'!$A$2:$W$201,14,FALSE)</f>
        <v>1.3012741E-2</v>
      </c>
      <c r="BL156">
        <f>VLOOKUP(all_cause_mort[[Country]:[Country]],'[1]Mortality Data'!$A$2:$W$201,15,FALSE)</f>
        <v>1.9219182000000001E-2</v>
      </c>
      <c r="BM156">
        <f>VLOOKUP(all_cause_mort[[Country]:[Country]],'[1]Mortality Data'!$A$2:$W$201,16,FALSE)</f>
        <v>2.6676328999999999E-2</v>
      </c>
      <c r="BN156">
        <f>VLOOKUP(all_cause_mort[[Country]:[Country]],'[1]Mortality Data'!$A$2:$W$201,17,FALSE)</f>
        <v>4.2517319999999997E-2</v>
      </c>
      <c r="BO156">
        <f>VLOOKUP(all_cause_mort[[Country]:[Country]],'[1]Mortality Data'!$A$2:$W$201,18,FALSE)</f>
        <v>6.8181050000000007E-2</v>
      </c>
      <c r="BP156">
        <f>VLOOKUP(all_cause_mort[[Country]:[Country]],'[1]Mortality Data'!$A$2:$W$201,19,FALSE)</f>
        <v>0.10845373</v>
      </c>
      <c r="BQ156">
        <f>VLOOKUP(all_cause_mort[[Country]:[Country]],'[1]Mortality Data'!$A$2:$W$201,20,FALSE)</f>
        <v>0.17003718000000001</v>
      </c>
      <c r="BR156">
        <f>VLOOKUP(all_cause_mort[[Country]:[Country]],'[1]Mortality Data'!$A$2:$W$201,21,FALSE)</f>
        <v>0.26192100000000001</v>
      </c>
      <c r="BS156">
        <f>VLOOKUP(all_cause_mort[[Country]:[Country]],'[1]Mortality Data'!$A$2:$W$201,22,FALSE)</f>
        <v>0.37891111</v>
      </c>
      <c r="BT156">
        <f>VLOOKUP(all_cause_mort[[Country]:[Country]],'[1]Mortality Data'!$A$2:$W$201,23,FALSE)</f>
        <v>0.521476188536796</v>
      </c>
      <c r="BU156" s="39" t="e">
        <f>VLOOKUP(all_cause_mort[[#This Row],[Country]],[2]!regions[#Data],3,FALSE)</f>
        <v>#REF!</v>
      </c>
    </row>
    <row r="157" spans="1:73" x14ac:dyDescent="0.35">
      <c r="A157" s="12" t="s">
        <v>202</v>
      </c>
      <c r="B157">
        <v>2070739</v>
      </c>
      <c r="C157">
        <v>2072383</v>
      </c>
      <c r="D157">
        <v>2074036</v>
      </c>
      <c r="E157">
        <v>2075739</v>
      </c>
      <c r="F157">
        <v>2077495</v>
      </c>
      <c r="G157">
        <v>2079308</v>
      </c>
      <c r="H157">
        <v>2081206</v>
      </c>
      <c r="I157">
        <v>2083160</v>
      </c>
      <c r="K157" s="12" t="s">
        <v>202</v>
      </c>
      <c r="L157">
        <v>11.276999999999999</v>
      </c>
      <c r="M157">
        <f>birthrate[[#This Row],[2016]]/1000</f>
        <v>1.1276999999999999E-2</v>
      </c>
      <c r="O157" t="s">
        <v>208</v>
      </c>
      <c r="P157">
        <v>97.2</v>
      </c>
      <c r="Q157">
        <f>facility[[#This Row],[Facility (%)]]/100</f>
        <v>0.97199999999999998</v>
      </c>
      <c r="S157" t="s">
        <v>194</v>
      </c>
      <c r="T157" t="s">
        <v>264</v>
      </c>
      <c r="U157">
        <v>77.7</v>
      </c>
      <c r="V157">
        <f>SBA[[#This Row],[SBA (%)]]/100</f>
        <v>0.77700000000000002</v>
      </c>
      <c r="X157" s="13" t="s">
        <v>222</v>
      </c>
      <c r="Y157" s="13" t="s">
        <v>256</v>
      </c>
      <c r="Z157" s="26">
        <v>3.2000000000000001E-2</v>
      </c>
      <c r="AA157" s="26">
        <v>1.4999999999999999E-2</v>
      </c>
      <c r="AB157" s="26">
        <v>6.7000000000000004E-2</v>
      </c>
      <c r="AC157" s="30">
        <v>28250420</v>
      </c>
      <c r="AD157" s="27">
        <v>1.785714285714286E-2</v>
      </c>
      <c r="AF157" s="24" t="s">
        <v>185</v>
      </c>
      <c r="AG157" s="24" t="s">
        <v>253</v>
      </c>
      <c r="AH157" s="24">
        <v>91</v>
      </c>
      <c r="AI157" s="25">
        <f>IF(birthdose[[#This Row],[2017]]/100=0, ,birthdose[[#This Row],[2017]]/100)</f>
        <v>0.91</v>
      </c>
      <c r="AK157" s="24" t="s">
        <v>185</v>
      </c>
      <c r="AL157" s="24" t="s">
        <v>254</v>
      </c>
      <c r="AM157" s="24">
        <v>96</v>
      </c>
      <c r="AN157" s="25">
        <f>IF(fullvax[[#This Row],[2017]]/100=0, ,fullvax[[#This Row],[2017]]/100)</f>
        <v>0.96</v>
      </c>
      <c r="AV157" s="8" t="s">
        <v>213</v>
      </c>
      <c r="AW157" s="11" t="s">
        <v>7</v>
      </c>
      <c r="AX157" s="41">
        <f>VLOOKUP(all_cause_mort[[#This Row],[Country]],[1]!populations[#Data],9,FALSE)*VLOOKUP(all_cause_mort[[#This Row],[Country]],[1]!birthrate[#Data],3,FALSE)</f>
        <v>90166.190839999996</v>
      </c>
      <c r="AY157">
        <f>VLOOKUP(all_cause_mort[[Country]:[Country]],'[1]Mortality Data'!$A$2:$W$201,2,FALSE)</f>
        <v>5.5428537000000002E-3</v>
      </c>
      <c r="AZ157">
        <f>VLOOKUP(all_cause_mort[[Country]:[Country]],'[1]Mortality Data'!$A$2:$W$201,3,FALSE)</f>
        <v>2.3038219E-4</v>
      </c>
      <c r="BA157">
        <f>VLOOKUP(all_cause_mort[[Country]:[Country]],'[1]Mortality Data'!$A$2:$W$201,4,FALSE)</f>
        <v>1.3251965999999999E-4</v>
      </c>
      <c r="BB157">
        <f>VLOOKUP(all_cause_mort[[Country]:[Country]],'[1]Mortality Data'!$A$2:$W$201,5,FALSE)</f>
        <v>1.2637386E-4</v>
      </c>
      <c r="BC157">
        <f>VLOOKUP(all_cause_mort[[Country]:[Country]],'[1]Mortality Data'!$A$2:$W$201,6,FALSE)</f>
        <v>7.2338849000000004E-4</v>
      </c>
      <c r="BD157">
        <f>VLOOKUP(all_cause_mort[[Country]:[Country]],'[1]Mortality Data'!$A$2:$W$201,7,FALSE)</f>
        <v>5.4679288E-4</v>
      </c>
      <c r="BE157">
        <f>VLOOKUP(all_cause_mort[[Country]:[Country]],'[1]Mortality Data'!$A$2:$W$201,8,FALSE)</f>
        <v>4.6108818E-4</v>
      </c>
      <c r="BF157">
        <f>VLOOKUP(all_cause_mort[[Country]:[Country]],'[1]Mortality Data'!$A$2:$W$201,9,FALSE)</f>
        <v>4.2117973E-4</v>
      </c>
      <c r="BG157">
        <f>VLOOKUP(all_cause_mort[[Country]:[Country]],'[1]Mortality Data'!$A$2:$W$201,10,FALSE)</f>
        <v>5.4064429999999995E-4</v>
      </c>
      <c r="BH157">
        <f>VLOOKUP(all_cause_mort[[Country]:[Country]],'[1]Mortality Data'!$A$2:$W$201,11,FALSE)</f>
        <v>8.2299936999999997E-4</v>
      </c>
      <c r="BI157">
        <f>VLOOKUP(all_cause_mort[[Country]:[Country]],'[1]Mortality Data'!$A$2:$W$201,12,FALSE)</f>
        <v>1.6220913000000001E-3</v>
      </c>
      <c r="BJ157">
        <f>VLOOKUP(all_cause_mort[[Country]:[Country]],'[1]Mortality Data'!$A$2:$W$201,13,FALSE)</f>
        <v>2.5840185000000002E-3</v>
      </c>
      <c r="BK157">
        <f>VLOOKUP(all_cause_mort[[Country]:[Country]],'[1]Mortality Data'!$A$2:$W$201,14,FALSE)</f>
        <v>5.3076191E-3</v>
      </c>
      <c r="BL157">
        <f>VLOOKUP(all_cause_mort[[Country]:[Country]],'[1]Mortality Data'!$A$2:$W$201,15,FALSE)</f>
        <v>1.5079956E-2</v>
      </c>
      <c r="BM157">
        <f>VLOOKUP(all_cause_mort[[Country]:[Country]],'[1]Mortality Data'!$A$2:$W$201,16,FALSE)</f>
        <v>2.006026E-2</v>
      </c>
      <c r="BN157">
        <f>VLOOKUP(all_cause_mort[[Country]:[Country]],'[1]Mortality Data'!$A$2:$W$201,17,FALSE)</f>
        <v>3.2607232E-2</v>
      </c>
      <c r="BO157">
        <f>VLOOKUP(all_cause_mort[[Country]:[Country]],'[1]Mortality Data'!$A$2:$W$201,18,FALSE)</f>
        <v>5.8246564000000001E-2</v>
      </c>
      <c r="BP157">
        <f>VLOOKUP(all_cause_mort[[Country]:[Country]],'[1]Mortality Data'!$A$2:$W$201,19,FALSE)</f>
        <v>9.1688647999999998E-2</v>
      </c>
      <c r="BQ157">
        <f>VLOOKUP(all_cause_mort[[Country]:[Country]],'[1]Mortality Data'!$A$2:$W$201,20,FALSE)</f>
        <v>0.13973184999999999</v>
      </c>
      <c r="BR157">
        <f>VLOOKUP(all_cause_mort[[Country]:[Country]],'[1]Mortality Data'!$A$2:$W$201,21,FALSE)</f>
        <v>0.20060302999999999</v>
      </c>
      <c r="BS157">
        <f>VLOOKUP(all_cause_mort[[Country]:[Country]],'[1]Mortality Data'!$A$2:$W$201,22,FALSE)</f>
        <v>0.27241254999999998</v>
      </c>
      <c r="BT157">
        <f>VLOOKUP(all_cause_mort[[Country]:[Country]],'[1]Mortality Data'!$A$2:$W$201,23,FALSE)</f>
        <v>0.37001596359871802</v>
      </c>
      <c r="BU157" s="39" t="e">
        <f>VLOOKUP(all_cause_mort[[#This Row],[Country]],[2]!regions[#Data],3,FALSE)</f>
        <v>#REF!</v>
      </c>
    </row>
    <row r="158" spans="1:73" x14ac:dyDescent="0.35">
      <c r="A158" t="s">
        <v>135</v>
      </c>
      <c r="B158">
        <v>15075085</v>
      </c>
      <c r="C158">
        <v>15540989</v>
      </c>
      <c r="D158">
        <v>16006670</v>
      </c>
      <c r="E158">
        <v>16477818</v>
      </c>
      <c r="F158">
        <v>16962846</v>
      </c>
      <c r="G158">
        <v>17467905</v>
      </c>
      <c r="H158">
        <v>17994837</v>
      </c>
      <c r="I158">
        <v>18541980</v>
      </c>
      <c r="K158" t="s">
        <v>135</v>
      </c>
      <c r="L158">
        <v>42.634</v>
      </c>
      <c r="M158">
        <f>birthrate[[#This Row],[2016]]/1000</f>
        <v>4.2633999999999998E-2</v>
      </c>
      <c r="O158" t="s">
        <v>209</v>
      </c>
      <c r="P158">
        <v>99.5</v>
      </c>
      <c r="Q158">
        <f>facility[[#This Row],[Facility (%)]]/100</f>
        <v>0.995</v>
      </c>
      <c r="S158" t="s">
        <v>195</v>
      </c>
      <c r="T158">
        <v>2015</v>
      </c>
      <c r="U158">
        <v>80</v>
      </c>
      <c r="V158">
        <f>SBA[[#This Row],[SBA (%)]]/100</f>
        <v>0.8</v>
      </c>
      <c r="X158" s="32" t="s">
        <v>224</v>
      </c>
      <c r="Y158" s="32" t="s">
        <v>256</v>
      </c>
      <c r="Z158" s="33">
        <v>3.3000000000000002E-2</v>
      </c>
      <c r="AA158" s="33">
        <v>0.03</v>
      </c>
      <c r="AB158" s="33">
        <v>3.5999999999999997E-2</v>
      </c>
      <c r="AC158" s="34">
        <v>17094130</v>
      </c>
      <c r="AD158" s="27">
        <v>1.5306122448979569E-3</v>
      </c>
      <c r="AF158" s="24" t="s">
        <v>186</v>
      </c>
      <c r="AG158" s="24" t="s">
        <v>253</v>
      </c>
      <c r="AH158" s="24"/>
      <c r="AI158" s="25">
        <f>IF(birthdose[[#This Row],[2017]]/100=0, ,birthdose[[#This Row],[2017]]/100)</f>
        <v>0</v>
      </c>
      <c r="AK158" s="24" t="s">
        <v>186</v>
      </c>
      <c r="AL158" s="24" t="s">
        <v>254</v>
      </c>
      <c r="AM158" s="24">
        <v>96</v>
      </c>
      <c r="AN158" s="25">
        <f>IF(fullvax[[#This Row],[2017]]/100=0, ,fullvax[[#This Row],[2017]]/100)</f>
        <v>0.96</v>
      </c>
      <c r="AV158" s="8" t="s">
        <v>215</v>
      </c>
      <c r="AW158" s="11" t="s">
        <v>15</v>
      </c>
      <c r="AX158" s="41">
        <f>VLOOKUP(all_cause_mort[[#This Row],[Country]],[1]!populations[#Data],9,FALSE)*VLOOKUP(all_cause_mort[[#This Row],[Country]],[1]!birthrate[#Data],3,FALSE)</f>
        <v>2188440.3855339997</v>
      </c>
      <c r="AY158">
        <f>VLOOKUP(all_cause_mort[[Country]:[Country]],'[1]Mortality Data'!$A$2:$W$201,2,FALSE)</f>
        <v>4.2681573E-2</v>
      </c>
      <c r="AZ158">
        <f>VLOOKUP(all_cause_mort[[Country]:[Country]],'[1]Mortality Data'!$A$2:$W$201,3,FALSE)</f>
        <v>4.0373199999999996E-3</v>
      </c>
      <c r="BA158">
        <f>VLOOKUP(all_cause_mort[[Country]:[Country]],'[1]Mortality Data'!$A$2:$W$201,4,FALSE)</f>
        <v>1.575459E-3</v>
      </c>
      <c r="BB158">
        <f>VLOOKUP(all_cause_mort[[Country]:[Country]],'[1]Mortality Data'!$A$2:$W$201,5,FALSE)</f>
        <v>1.1143908000000001E-3</v>
      </c>
      <c r="BC158">
        <f>VLOOKUP(all_cause_mort[[Country]:[Country]],'[1]Mortality Data'!$A$2:$W$201,6,FALSE)</f>
        <v>1.7847316999999999E-3</v>
      </c>
      <c r="BD158">
        <f>VLOOKUP(all_cause_mort[[Country]:[Country]],'[1]Mortality Data'!$A$2:$W$201,7,FALSE)</f>
        <v>2.5867886999999998E-3</v>
      </c>
      <c r="BE158">
        <f>VLOOKUP(all_cause_mort[[Country]:[Country]],'[1]Mortality Data'!$A$2:$W$201,8,FALSE)</f>
        <v>3.0038897999999999E-3</v>
      </c>
      <c r="BF158">
        <f>VLOOKUP(all_cause_mort[[Country]:[Country]],'[1]Mortality Data'!$A$2:$W$201,9,FALSE)</f>
        <v>3.5275596000000002E-3</v>
      </c>
      <c r="BG158">
        <f>VLOOKUP(all_cause_mort[[Country]:[Country]],'[1]Mortality Data'!$A$2:$W$201,10,FALSE)</f>
        <v>4.3189216000000001E-3</v>
      </c>
      <c r="BH158">
        <f>VLOOKUP(all_cause_mort[[Country]:[Country]],'[1]Mortality Data'!$A$2:$W$201,11,FALSE)</f>
        <v>5.4815667999999996E-3</v>
      </c>
      <c r="BI158">
        <f>VLOOKUP(all_cause_mort[[Country]:[Country]],'[1]Mortality Data'!$A$2:$W$201,12,FALSE)</f>
        <v>6.9322289000000002E-3</v>
      </c>
      <c r="BJ158">
        <f>VLOOKUP(all_cause_mort[[Country]:[Country]],'[1]Mortality Data'!$A$2:$W$201,13,FALSE)</f>
        <v>9.8896899E-3</v>
      </c>
      <c r="BK158">
        <f>VLOOKUP(all_cause_mort[[Country]:[Country]],'[1]Mortality Data'!$A$2:$W$201,14,FALSE)</f>
        <v>1.338368E-2</v>
      </c>
      <c r="BL158">
        <f>VLOOKUP(all_cause_mort[[Country]:[Country]],'[1]Mortality Data'!$A$2:$W$201,15,FALSE)</f>
        <v>2.0477373E-2</v>
      </c>
      <c r="BM158">
        <f>VLOOKUP(all_cause_mort[[Country]:[Country]],'[1]Mortality Data'!$A$2:$W$201,16,FALSE)</f>
        <v>3.2529016000000001E-2</v>
      </c>
      <c r="BN158">
        <f>VLOOKUP(all_cause_mort[[Country]:[Country]],'[1]Mortality Data'!$A$2:$W$201,17,FALSE)</f>
        <v>5.2930781000000003E-2</v>
      </c>
      <c r="BO158">
        <f>VLOOKUP(all_cause_mort[[Country]:[Country]],'[1]Mortality Data'!$A$2:$W$201,18,FALSE)</f>
        <v>8.7369635000000001E-2</v>
      </c>
      <c r="BP158">
        <f>VLOOKUP(all_cause_mort[[Country]:[Country]],'[1]Mortality Data'!$A$2:$W$201,19,FALSE)</f>
        <v>0.14798264999999999</v>
      </c>
      <c r="BQ158">
        <f>VLOOKUP(all_cause_mort[[Country]:[Country]],'[1]Mortality Data'!$A$2:$W$201,20,FALSE)</f>
        <v>0.24952098</v>
      </c>
      <c r="BR158">
        <f>VLOOKUP(all_cause_mort[[Country]:[Country]],'[1]Mortality Data'!$A$2:$W$201,21,FALSE)</f>
        <v>0.42195217000000002</v>
      </c>
      <c r="BS158">
        <f>VLOOKUP(all_cause_mort[[Country]:[Country]],'[1]Mortality Data'!$A$2:$W$201,22,FALSE)</f>
        <v>0.61490036999999997</v>
      </c>
      <c r="BT158">
        <f>VLOOKUP(all_cause_mort[[Country]:[Country]],'[1]Mortality Data'!$A$2:$W$201,23,FALSE)</f>
        <v>0.82436275522476998</v>
      </c>
      <c r="BU158" s="39" t="e">
        <f>VLOOKUP(all_cause_mort[[#This Row],[Country]],[2]!regions[#Data],3,FALSE)</f>
        <v>#REF!</v>
      </c>
    </row>
    <row r="159" spans="1:73" x14ac:dyDescent="0.35">
      <c r="A159" t="s">
        <v>136</v>
      </c>
      <c r="B159">
        <v>414508</v>
      </c>
      <c r="C159">
        <v>416268</v>
      </c>
      <c r="D159">
        <v>420028</v>
      </c>
      <c r="E159">
        <v>425967</v>
      </c>
      <c r="F159">
        <v>434558</v>
      </c>
      <c r="G159">
        <v>445053</v>
      </c>
      <c r="H159">
        <v>455356</v>
      </c>
      <c r="I159">
        <v>465292</v>
      </c>
      <c r="K159" t="s">
        <v>136</v>
      </c>
      <c r="L159">
        <v>10.199999999999999</v>
      </c>
      <c r="M159">
        <f>birthrate[[#This Row],[2016]]/1000</f>
        <v>1.0199999999999999E-2</v>
      </c>
      <c r="O159" t="s">
        <v>210</v>
      </c>
      <c r="P159">
        <v>93</v>
      </c>
      <c r="Q159">
        <f>facility[[#This Row],[Facility (%)]]/100</f>
        <v>0.93</v>
      </c>
      <c r="S159" t="s">
        <v>199</v>
      </c>
      <c r="T159" t="s">
        <v>343</v>
      </c>
      <c r="U159">
        <v>96.2</v>
      </c>
      <c r="V159">
        <f>SBA[[#This Row],[SBA (%)]]/100</f>
        <v>0.96200000000000008</v>
      </c>
      <c r="X159" s="35" t="s">
        <v>225</v>
      </c>
      <c r="Y159" s="35" t="s">
        <v>256</v>
      </c>
      <c r="Z159" s="36">
        <v>8.5000000000000006E-2</v>
      </c>
      <c r="AA159" s="36">
        <v>7.9000000000000001E-2</v>
      </c>
      <c r="AB159" s="36">
        <v>9.7000000000000003E-2</v>
      </c>
      <c r="AC159" s="34">
        <v>16529904</v>
      </c>
      <c r="AD159" s="37">
        <v>6.1224489795918356E-3</v>
      </c>
      <c r="AF159" s="24" t="s">
        <v>187</v>
      </c>
      <c r="AG159" s="24" t="s">
        <v>253</v>
      </c>
      <c r="AH159" s="24"/>
      <c r="AI159" s="25">
        <f>IF(birthdose[[#This Row],[2017]]/100=0, ,birthdose[[#This Row],[2017]]/100)</f>
        <v>0</v>
      </c>
      <c r="AK159" s="24" t="s">
        <v>187</v>
      </c>
      <c r="AL159" s="24" t="s">
        <v>254</v>
      </c>
      <c r="AM159" s="24"/>
      <c r="AN159" s="25">
        <f>IF(fullvax[[#This Row],[2017]]/100=0, ,fullvax[[#This Row],[2017]]/100)</f>
        <v>0</v>
      </c>
      <c r="AV159" s="8" t="s">
        <v>217</v>
      </c>
      <c r="AW159" s="11" t="s">
        <v>23</v>
      </c>
      <c r="AX159" s="41">
        <f>VLOOKUP(all_cause_mort[[#This Row],[Country]],[1]!populations[#Data],9,FALSE)*VLOOKUP(all_cause_mort[[#This Row],[Country]],[1]!birthrate[#Data],3,FALSE)</f>
        <v>48512.029500000004</v>
      </c>
      <c r="AY159">
        <f>VLOOKUP(all_cause_mort[[Country]:[Country]],'[1]Mortality Data'!$A$2:$W$201,2,FALSE)</f>
        <v>8.7716728999999993E-3</v>
      </c>
      <c r="AZ159">
        <f>VLOOKUP(all_cause_mort[[Country]:[Country]],'[1]Mortality Data'!$A$2:$W$201,3,FALSE)</f>
        <v>4.1619661000000003E-4</v>
      </c>
      <c r="BA159">
        <f>VLOOKUP(all_cause_mort[[Country]:[Country]],'[1]Mortality Data'!$A$2:$W$201,4,FALSE)</f>
        <v>2.0511039999999999E-4</v>
      </c>
      <c r="BB159">
        <f>VLOOKUP(all_cause_mort[[Country]:[Country]],'[1]Mortality Data'!$A$2:$W$201,5,FALSE)</f>
        <v>2.3066524999999999E-4</v>
      </c>
      <c r="BC159">
        <f>VLOOKUP(all_cause_mort[[Country]:[Country]],'[1]Mortality Data'!$A$2:$W$201,6,FALSE)</f>
        <v>6.0393458000000005E-4</v>
      </c>
      <c r="BD159">
        <f>VLOOKUP(all_cause_mort[[Country]:[Country]],'[1]Mortality Data'!$A$2:$W$201,7,FALSE)</f>
        <v>8.3242649000000004E-4</v>
      </c>
      <c r="BE159">
        <f>VLOOKUP(all_cause_mort[[Country]:[Country]],'[1]Mortality Data'!$A$2:$W$201,8,FALSE)</f>
        <v>9.9058468999999993E-4</v>
      </c>
      <c r="BF159">
        <f>VLOOKUP(all_cause_mort[[Country]:[Country]],'[1]Mortality Data'!$A$2:$W$201,9,FALSE)</f>
        <v>1.1377201999999999E-3</v>
      </c>
      <c r="BG159">
        <f>VLOOKUP(all_cause_mort[[Country]:[Country]],'[1]Mortality Data'!$A$2:$W$201,10,FALSE)</f>
        <v>1.4291614999999999E-3</v>
      </c>
      <c r="BH159">
        <f>VLOOKUP(all_cause_mort[[Country]:[Country]],'[1]Mortality Data'!$A$2:$W$201,11,FALSE)</f>
        <v>2.2225538000000002E-3</v>
      </c>
      <c r="BI159">
        <f>VLOOKUP(all_cause_mort[[Country]:[Country]],'[1]Mortality Data'!$A$2:$W$201,12,FALSE)</f>
        <v>3.2744535999999999E-3</v>
      </c>
      <c r="BJ159">
        <f>VLOOKUP(all_cause_mort[[Country]:[Country]],'[1]Mortality Data'!$A$2:$W$201,13,FALSE)</f>
        <v>4.8694804E-3</v>
      </c>
      <c r="BK159">
        <f>VLOOKUP(all_cause_mort[[Country]:[Country]],'[1]Mortality Data'!$A$2:$W$201,14,FALSE)</f>
        <v>7.6171991000000003E-3</v>
      </c>
      <c r="BL159">
        <f>VLOOKUP(all_cause_mort[[Country]:[Country]],'[1]Mortality Data'!$A$2:$W$201,15,FALSE)</f>
        <v>1.2025032E-2</v>
      </c>
      <c r="BM159">
        <f>VLOOKUP(all_cause_mort[[Country]:[Country]],'[1]Mortality Data'!$A$2:$W$201,16,FALSE)</f>
        <v>1.8833107000000002E-2</v>
      </c>
      <c r="BN159">
        <f>VLOOKUP(all_cause_mort[[Country]:[Country]],'[1]Mortality Data'!$A$2:$W$201,17,FALSE)</f>
        <v>2.8683631000000001E-2</v>
      </c>
      <c r="BO159">
        <f>VLOOKUP(all_cause_mort[[Country]:[Country]],'[1]Mortality Data'!$A$2:$W$201,18,FALSE)</f>
        <v>4.3755345000000001E-2</v>
      </c>
      <c r="BP159">
        <f>VLOOKUP(all_cause_mort[[Country]:[Country]],'[1]Mortality Data'!$A$2:$W$201,19,FALSE)</f>
        <v>6.6130916999999997E-2</v>
      </c>
      <c r="BQ159">
        <f>VLOOKUP(all_cause_mort[[Country]:[Country]],'[1]Mortality Data'!$A$2:$W$201,20,FALSE)</f>
        <v>9.7759797999999995E-2</v>
      </c>
      <c r="BR159">
        <f>VLOOKUP(all_cause_mort[[Country]:[Country]],'[1]Mortality Data'!$A$2:$W$201,21,FALSE)</f>
        <v>0.14280829</v>
      </c>
      <c r="BS159">
        <f>VLOOKUP(all_cause_mort[[Country]:[Country]],'[1]Mortality Data'!$A$2:$W$201,22,FALSE)</f>
        <v>0.20500702000000001</v>
      </c>
      <c r="BT159">
        <f>VLOOKUP(all_cause_mort[[Country]:[Country]],'[1]Mortality Data'!$A$2:$W$201,23,FALSE)</f>
        <v>0.31089530417203798</v>
      </c>
      <c r="BU159" s="39" t="e">
        <f>VLOOKUP(all_cause_mort[[#This Row],[Country]],[2]!regions[#Data],3,FALSE)</f>
        <v>#REF!</v>
      </c>
    </row>
    <row r="160" spans="1:73" x14ac:dyDescent="0.35">
      <c r="A160" t="s">
        <v>147</v>
      </c>
      <c r="B160">
        <v>50155896</v>
      </c>
      <c r="C160">
        <v>50553031</v>
      </c>
      <c r="D160">
        <v>50986514</v>
      </c>
      <c r="E160">
        <v>51448196</v>
      </c>
      <c r="F160">
        <v>51924182</v>
      </c>
      <c r="G160">
        <v>52403669</v>
      </c>
      <c r="H160">
        <v>52885223</v>
      </c>
      <c r="I160">
        <v>53370609</v>
      </c>
      <c r="K160" t="s">
        <v>147</v>
      </c>
      <c r="L160">
        <v>17.794</v>
      </c>
      <c r="M160">
        <f>birthrate[[#This Row],[2016]]/1000</f>
        <v>1.7794000000000001E-2</v>
      </c>
      <c r="O160" t="s">
        <v>211</v>
      </c>
      <c r="P160">
        <v>73.400000000000006</v>
      </c>
      <c r="Q160">
        <f>facility[[#This Row],[Facility (%)]]/100</f>
        <v>0.7340000000000001</v>
      </c>
      <c r="S160" t="s">
        <v>200</v>
      </c>
      <c r="T160">
        <v>2014</v>
      </c>
      <c r="U160">
        <v>90.3</v>
      </c>
      <c r="V160">
        <f>SBA[[#This Row],[SBA (%)]]/100</f>
        <v>0.90300000000000002</v>
      </c>
      <c r="AF160" s="24" t="s">
        <v>188</v>
      </c>
      <c r="AG160" s="24" t="s">
        <v>253</v>
      </c>
      <c r="AH160" s="24">
        <v>67</v>
      </c>
      <c r="AI160" s="25">
        <f>IF(birthdose[[#This Row],[2017]]/100=0, ,birthdose[[#This Row],[2017]]/100)</f>
        <v>0.67</v>
      </c>
      <c r="AK160" s="24" t="s">
        <v>188</v>
      </c>
      <c r="AL160" s="24" t="s">
        <v>254</v>
      </c>
      <c r="AM160" s="24">
        <v>99</v>
      </c>
      <c r="AN160" s="25">
        <f>IF(fullvax[[#This Row],[2017]]/100=0, ,fullvax[[#This Row],[2017]]/100)</f>
        <v>0.99</v>
      </c>
      <c r="AV160" s="12" t="s">
        <v>218</v>
      </c>
      <c r="AW160" s="14" t="s">
        <v>11</v>
      </c>
      <c r="AX160" s="41">
        <f>VLOOKUP(all_cause_mort[[#This Row],[Country]],[1]!populations[#Data],9,FALSE)*VLOOKUP(all_cause_mort[[#This Row],[Country]],[1]!birthrate[#Data],3,FALSE)</f>
        <v>738428.16</v>
      </c>
      <c r="AY160">
        <f>VLOOKUP(all_cause_mort[[Country]:[Country]],'[1]Mortality Data'!$A$2:$W$201,2,FALSE)</f>
        <v>2.1230355999999999E-2</v>
      </c>
      <c r="AZ160">
        <f>VLOOKUP(all_cause_mort[[Country]:[Country]],'[1]Mortality Data'!$A$2:$W$201,3,FALSE)</f>
        <v>1.225877E-3</v>
      </c>
      <c r="BA160">
        <f>VLOOKUP(all_cause_mort[[Country]:[Country]],'[1]Mortality Data'!$A$2:$W$201,4,FALSE)</f>
        <v>2.8780549000000002E-4</v>
      </c>
      <c r="BB160">
        <f>VLOOKUP(all_cause_mort[[Country]:[Country]],'[1]Mortality Data'!$A$2:$W$201,5,FALSE)</f>
        <v>3.0668539999999998E-4</v>
      </c>
      <c r="BC160">
        <f>VLOOKUP(all_cause_mort[[Country]:[Country]],'[1]Mortality Data'!$A$2:$W$201,6,FALSE)</f>
        <v>5.0506537999999996E-4</v>
      </c>
      <c r="BD160">
        <f>VLOOKUP(all_cause_mort[[Country]:[Country]],'[1]Mortality Data'!$A$2:$W$201,7,FALSE)</f>
        <v>7.2571156999999998E-4</v>
      </c>
      <c r="BE160">
        <f>VLOOKUP(all_cause_mort[[Country]:[Country]],'[1]Mortality Data'!$A$2:$W$201,8,FALSE)</f>
        <v>9.7574669000000005E-4</v>
      </c>
      <c r="BF160">
        <f>VLOOKUP(all_cause_mort[[Country]:[Country]],'[1]Mortality Data'!$A$2:$W$201,9,FALSE)</f>
        <v>1.3240076999999999E-3</v>
      </c>
      <c r="BG160">
        <f>VLOOKUP(all_cause_mort[[Country]:[Country]],'[1]Mortality Data'!$A$2:$W$201,10,FALSE)</f>
        <v>1.8484399E-3</v>
      </c>
      <c r="BH160">
        <f>VLOOKUP(all_cause_mort[[Country]:[Country]],'[1]Mortality Data'!$A$2:$W$201,11,FALSE)</f>
        <v>2.5851782000000001E-3</v>
      </c>
      <c r="BI160">
        <f>VLOOKUP(all_cause_mort[[Country]:[Country]],'[1]Mortality Data'!$A$2:$W$201,12,FALSE)</f>
        <v>3.9321835999999999E-3</v>
      </c>
      <c r="BJ160">
        <f>VLOOKUP(all_cause_mort[[Country]:[Country]],'[1]Mortality Data'!$A$2:$W$201,13,FALSE)</f>
        <v>6.3526088000000003E-3</v>
      </c>
      <c r="BK160">
        <f>VLOOKUP(all_cause_mort[[Country]:[Country]],'[1]Mortality Data'!$A$2:$W$201,14,FALSE)</f>
        <v>1.0857489999999999E-2</v>
      </c>
      <c r="BL160">
        <f>VLOOKUP(all_cause_mort[[Country]:[Country]],'[1]Mortality Data'!$A$2:$W$201,15,FALSE)</f>
        <v>1.8961295999999999E-2</v>
      </c>
      <c r="BM160">
        <f>VLOOKUP(all_cause_mort[[Country]:[Country]],'[1]Mortality Data'!$A$2:$W$201,16,FALSE)</f>
        <v>3.0691217999999999E-2</v>
      </c>
      <c r="BN160">
        <f>VLOOKUP(all_cause_mort[[Country]:[Country]],'[1]Mortality Data'!$A$2:$W$201,17,FALSE)</f>
        <v>4.9566286000000001E-2</v>
      </c>
      <c r="BO160">
        <f>VLOOKUP(all_cause_mort[[Country]:[Country]],'[1]Mortality Data'!$A$2:$W$201,18,FALSE)</f>
        <v>8.0209772999999998E-2</v>
      </c>
      <c r="BP160">
        <f>VLOOKUP(all_cause_mort[[Country]:[Country]],'[1]Mortality Data'!$A$2:$W$201,19,FALSE)</f>
        <v>0.12648421000000001</v>
      </c>
      <c r="BQ160">
        <f>VLOOKUP(all_cause_mort[[Country]:[Country]],'[1]Mortality Data'!$A$2:$W$201,20,FALSE)</f>
        <v>0.19134798</v>
      </c>
      <c r="BR160">
        <f>VLOOKUP(all_cause_mort[[Country]:[Country]],'[1]Mortality Data'!$A$2:$W$201,21,FALSE)</f>
        <v>0.2794681</v>
      </c>
      <c r="BS160">
        <f>VLOOKUP(all_cause_mort[[Country]:[Country]],'[1]Mortality Data'!$A$2:$W$201,22,FALSE)</f>
        <v>0.38955024999999999</v>
      </c>
      <c r="BT160">
        <f>VLOOKUP(all_cause_mort[[Country]:[Country]],'[1]Mortality Data'!$A$2:$W$201,23,FALSE)</f>
        <v>0.50008726522778202</v>
      </c>
      <c r="BU160" s="39" t="e">
        <f>VLOOKUP(all_cause_mort[[#This Row],[Country]],[2]!regions[#Data],3,FALSE)</f>
        <v>#REF!</v>
      </c>
    </row>
    <row r="161" spans="1:73" x14ac:dyDescent="0.35">
      <c r="A161" t="s">
        <v>344</v>
      </c>
      <c r="B161">
        <v>335581557</v>
      </c>
      <c r="C161">
        <v>341822043</v>
      </c>
      <c r="D161">
        <v>348195697</v>
      </c>
      <c r="E161">
        <v>354641044</v>
      </c>
      <c r="F161">
        <v>361077997</v>
      </c>
      <c r="G161">
        <v>367449306</v>
      </c>
      <c r="H161">
        <v>373719055</v>
      </c>
      <c r="I161">
        <v>379901782</v>
      </c>
      <c r="K161" t="s">
        <v>344</v>
      </c>
      <c r="L161">
        <v>23.687940146391519</v>
      </c>
      <c r="M161">
        <f>birthrate[[#This Row],[2016]]/1000</f>
        <v>2.3687940146391518E-2</v>
      </c>
      <c r="O161" t="s">
        <v>212</v>
      </c>
      <c r="P161">
        <v>98.9</v>
      </c>
      <c r="Q161">
        <f>facility[[#This Row],[Facility (%)]]/100</f>
        <v>0.9890000000000001</v>
      </c>
      <c r="S161" t="s">
        <v>201</v>
      </c>
      <c r="T161" t="s">
        <v>263</v>
      </c>
      <c r="U161">
        <v>99.1</v>
      </c>
      <c r="V161">
        <f>SBA[[#This Row],[SBA (%)]]/100</f>
        <v>0.99099999999999999</v>
      </c>
      <c r="AF161" s="24" t="s">
        <v>189</v>
      </c>
      <c r="AG161" s="24" t="s">
        <v>253</v>
      </c>
      <c r="AH161" s="24"/>
      <c r="AI161" s="25">
        <f>IF(birthdose[[#This Row],[2017]]/100=0, ,birthdose[[#This Row],[2017]]/100)</f>
        <v>0</v>
      </c>
      <c r="AK161" s="24" t="s">
        <v>189</v>
      </c>
      <c r="AL161" s="24" t="s">
        <v>254</v>
      </c>
      <c r="AM161" s="24">
        <v>42</v>
      </c>
      <c r="AN161" s="25">
        <f>IF(fullvax[[#This Row],[2017]]/100=0, ,fullvax[[#This Row],[2017]]/100)</f>
        <v>0.42</v>
      </c>
      <c r="AV161" s="8" t="s">
        <v>219</v>
      </c>
      <c r="AW161" s="11" t="s">
        <v>58</v>
      </c>
      <c r="AX161" s="41">
        <f>VLOOKUP(all_cause_mort[[#This Row],[Country]],[1]!populations[#Data],9,FALSE)*VLOOKUP(all_cause_mort[[#This Row],[Country]],[1]!birthrate[#Data],3,FALSE)</f>
        <v>7142.2886200000003</v>
      </c>
      <c r="AY161">
        <f>VLOOKUP(all_cause_mort[[Country]:[Country]],'[1]Mortality Data'!$A$2:$W$201,2,FALSE)</f>
        <v>2.2818972E-2</v>
      </c>
      <c r="AZ161">
        <f>VLOOKUP(all_cause_mort[[Country]:[Country]],'[1]Mortality Data'!$A$2:$W$201,3,FALSE)</f>
        <v>1.0958938E-3</v>
      </c>
      <c r="BA161">
        <f>VLOOKUP(all_cause_mort[[Country]:[Country]],'[1]Mortality Data'!$A$2:$W$201,4,FALSE)</f>
        <v>4.275905E-4</v>
      </c>
      <c r="BB161">
        <f>VLOOKUP(all_cause_mort[[Country]:[Country]],'[1]Mortality Data'!$A$2:$W$201,5,FALSE)</f>
        <v>3.6348221999999998E-4</v>
      </c>
      <c r="BC161">
        <f>VLOOKUP(all_cause_mort[[Country]:[Country]],'[1]Mortality Data'!$A$2:$W$201,6,FALSE)</f>
        <v>7.3143977999999999E-4</v>
      </c>
      <c r="BD161">
        <f>VLOOKUP(all_cause_mort[[Country]:[Country]],'[1]Mortality Data'!$A$2:$W$201,7,FALSE)</f>
        <v>9.0623007999999995E-4</v>
      </c>
      <c r="BE161">
        <f>VLOOKUP(all_cause_mort[[Country]:[Country]],'[1]Mortality Data'!$A$2:$W$201,8,FALSE)</f>
        <v>9.3196005999999999E-4</v>
      </c>
      <c r="BF161">
        <f>VLOOKUP(all_cause_mort[[Country]:[Country]],'[1]Mortality Data'!$A$2:$W$201,9,FALSE)</f>
        <v>1.1303239E-3</v>
      </c>
      <c r="BG161">
        <f>VLOOKUP(all_cause_mort[[Country]:[Country]],'[1]Mortality Data'!$A$2:$W$201,10,FALSE)</f>
        <v>1.5775431999999999E-3</v>
      </c>
      <c r="BH161">
        <f>VLOOKUP(all_cause_mort[[Country]:[Country]],'[1]Mortality Data'!$A$2:$W$201,11,FALSE)</f>
        <v>2.3640515E-3</v>
      </c>
      <c r="BI161">
        <f>VLOOKUP(all_cause_mort[[Country]:[Country]],'[1]Mortality Data'!$A$2:$W$201,12,FALSE)</f>
        <v>3.8020951000000002E-3</v>
      </c>
      <c r="BJ161">
        <f>VLOOKUP(all_cause_mort[[Country]:[Country]],'[1]Mortality Data'!$A$2:$W$201,13,FALSE)</f>
        <v>6.1542556999999998E-3</v>
      </c>
      <c r="BK161">
        <f>VLOOKUP(all_cause_mort[[Country]:[Country]],'[1]Mortality Data'!$A$2:$W$201,14,FALSE)</f>
        <v>1.0011404999999999E-2</v>
      </c>
      <c r="BL161">
        <f>VLOOKUP(all_cause_mort[[Country]:[Country]],'[1]Mortality Data'!$A$2:$W$201,15,FALSE)</f>
        <v>1.9041493E-2</v>
      </c>
      <c r="BM161">
        <f>VLOOKUP(all_cause_mort[[Country]:[Country]],'[1]Mortality Data'!$A$2:$W$201,16,FALSE)</f>
        <v>3.6110462000000003E-2</v>
      </c>
      <c r="BN161">
        <f>VLOOKUP(all_cause_mort[[Country]:[Country]],'[1]Mortality Data'!$A$2:$W$201,17,FALSE)</f>
        <v>6.3378347000000002E-2</v>
      </c>
      <c r="BO161">
        <f>VLOOKUP(all_cause_mort[[Country]:[Country]],'[1]Mortality Data'!$A$2:$W$201,18,FALSE)</f>
        <v>0.10518805000000001</v>
      </c>
      <c r="BP161">
        <f>VLOOKUP(all_cause_mort[[Country]:[Country]],'[1]Mortality Data'!$A$2:$W$201,19,FALSE)</f>
        <v>0.16984272</v>
      </c>
      <c r="BQ161">
        <f>VLOOKUP(all_cause_mort[[Country]:[Country]],'[1]Mortality Data'!$A$2:$W$201,20,FALSE)</f>
        <v>0.26882140999999998</v>
      </c>
      <c r="BR161">
        <f>VLOOKUP(all_cause_mort[[Country]:[Country]],'[1]Mortality Data'!$A$2:$W$201,21,FALSE)</f>
        <v>0.39911385999999999</v>
      </c>
      <c r="BS161">
        <f>VLOOKUP(all_cause_mort[[Country]:[Country]],'[1]Mortality Data'!$A$2:$W$201,22,FALSE)</f>
        <v>0.56274024</v>
      </c>
      <c r="BT161">
        <f>VLOOKUP(all_cause_mort[[Country]:[Country]],'[1]Mortality Data'!$A$2:$W$201,23,FALSE)</f>
        <v>0.75072206324848401</v>
      </c>
      <c r="BU161" s="39" t="e">
        <f>VLOOKUP(all_cause_mort[[#This Row],[Country]],[2]!regions[#Data],3,FALSE)</f>
        <v>#REF!</v>
      </c>
    </row>
    <row r="162" spans="1:73" x14ac:dyDescent="0.35">
      <c r="A162" t="s">
        <v>144</v>
      </c>
      <c r="B162">
        <v>619428</v>
      </c>
      <c r="C162">
        <v>620079</v>
      </c>
      <c r="D162">
        <v>620601</v>
      </c>
      <c r="E162">
        <v>621207</v>
      </c>
      <c r="F162">
        <v>621810</v>
      </c>
      <c r="G162">
        <v>622159</v>
      </c>
      <c r="H162">
        <v>622303</v>
      </c>
      <c r="I162">
        <v>622471</v>
      </c>
      <c r="K162" t="s">
        <v>144</v>
      </c>
      <c r="L162">
        <v>11.363</v>
      </c>
      <c r="M162">
        <f>birthrate[[#This Row],[2016]]/1000</f>
        <v>1.1363E-2</v>
      </c>
      <c r="O162" t="s">
        <v>213</v>
      </c>
      <c r="P162">
        <v>99.9</v>
      </c>
      <c r="Q162">
        <f>facility[[#This Row],[Facility (%)]]/100</f>
        <v>0.99900000000000011</v>
      </c>
      <c r="S162" t="s">
        <v>345</v>
      </c>
      <c r="T162">
        <v>2016</v>
      </c>
      <c r="U162">
        <v>99.9</v>
      </c>
      <c r="V162">
        <f>SBA[[#This Row],[SBA (%)]]/100</f>
        <v>0.99900000000000011</v>
      </c>
      <c r="AF162" s="24" t="s">
        <v>190</v>
      </c>
      <c r="AG162" s="24" t="s">
        <v>253</v>
      </c>
      <c r="AH162" s="24"/>
      <c r="AI162" s="25">
        <f>IF(birthdose[[#This Row],[2017]]/100=0, ,birthdose[[#This Row],[2017]]/100)</f>
        <v>0</v>
      </c>
      <c r="AK162" s="24" t="s">
        <v>190</v>
      </c>
      <c r="AL162" s="24" t="s">
        <v>254</v>
      </c>
      <c r="AM162" s="24">
        <v>66</v>
      </c>
      <c r="AN162" s="25">
        <f>IF(fullvax[[#This Row],[2017]]/100=0, ,fullvax[[#This Row],[2017]]/100)</f>
        <v>0.66</v>
      </c>
      <c r="AV162" s="12" t="s">
        <v>220</v>
      </c>
      <c r="AW162" s="14" t="s">
        <v>23</v>
      </c>
      <c r="AX162" s="41">
        <f>VLOOKUP(all_cause_mort[[#This Row],[Country]],[1]!populations[#Data],9,FALSE)*VLOOKUP(all_cause_mort[[#This Row],[Country]],[1]!birthrate[#Data],3,FALSE)</f>
        <v>608523.54695000011</v>
      </c>
      <c r="AY162">
        <f>VLOOKUP(all_cause_mort[[Country]:[Country]],'[1]Mortality Data'!$A$2:$W$201,2,FALSE)</f>
        <v>2.6294669999999999E-2</v>
      </c>
      <c r="AZ162">
        <f>VLOOKUP(all_cause_mort[[Country]:[Country]],'[1]Mortality Data'!$A$2:$W$201,3,FALSE)</f>
        <v>1.3265407E-3</v>
      </c>
      <c r="BA162">
        <f>VLOOKUP(all_cause_mort[[Country]:[Country]],'[1]Mortality Data'!$A$2:$W$201,4,FALSE)</f>
        <v>2.4088156000000001E-4</v>
      </c>
      <c r="BB162">
        <f>VLOOKUP(all_cause_mort[[Country]:[Country]],'[1]Mortality Data'!$A$2:$W$201,5,FALSE)</f>
        <v>3.4739594E-4</v>
      </c>
      <c r="BC162">
        <f>VLOOKUP(all_cause_mort[[Country]:[Country]],'[1]Mortality Data'!$A$2:$W$201,6,FALSE)</f>
        <v>1.4227375E-3</v>
      </c>
      <c r="BD162">
        <f>VLOOKUP(all_cause_mort[[Country]:[Country]],'[1]Mortality Data'!$A$2:$W$201,7,FALSE)</f>
        <v>2.2151191999999998E-3</v>
      </c>
      <c r="BE162">
        <f>VLOOKUP(all_cause_mort[[Country]:[Country]],'[1]Mortality Data'!$A$2:$W$201,8,FALSE)</f>
        <v>2.1772561999999999E-3</v>
      </c>
      <c r="BF162">
        <f>VLOOKUP(all_cause_mort[[Country]:[Country]],'[1]Mortality Data'!$A$2:$W$201,9,FALSE)</f>
        <v>2.1400044000000002E-3</v>
      </c>
      <c r="BG162">
        <f>VLOOKUP(all_cause_mort[[Country]:[Country]],'[1]Mortality Data'!$A$2:$W$201,10,FALSE)</f>
        <v>2.1075536000000001E-3</v>
      </c>
      <c r="BH162">
        <f>VLOOKUP(all_cause_mort[[Country]:[Country]],'[1]Mortality Data'!$A$2:$W$201,11,FALSE)</f>
        <v>2.6658009000000002E-3</v>
      </c>
      <c r="BI162">
        <f>VLOOKUP(all_cause_mort[[Country]:[Country]],'[1]Mortality Data'!$A$2:$W$201,12,FALSE)</f>
        <v>3.9784727999999997E-3</v>
      </c>
      <c r="BJ162">
        <f>VLOOKUP(all_cause_mort[[Country]:[Country]],'[1]Mortality Data'!$A$2:$W$201,13,FALSE)</f>
        <v>6.4176331000000003E-3</v>
      </c>
      <c r="BK162">
        <f>VLOOKUP(all_cause_mort[[Country]:[Country]],'[1]Mortality Data'!$A$2:$W$201,14,FALSE)</f>
        <v>9.7934004000000009E-3</v>
      </c>
      <c r="BL162">
        <f>VLOOKUP(all_cause_mort[[Country]:[Country]],'[1]Mortality Data'!$A$2:$W$201,15,FALSE)</f>
        <v>1.5443426999999999E-2</v>
      </c>
      <c r="BM162">
        <f>VLOOKUP(all_cause_mort[[Country]:[Country]],'[1]Mortality Data'!$A$2:$W$201,16,FALSE)</f>
        <v>2.6125928999999999E-2</v>
      </c>
      <c r="BN162">
        <f>VLOOKUP(all_cause_mort[[Country]:[Country]],'[1]Mortality Data'!$A$2:$W$201,17,FALSE)</f>
        <v>3.9912073999999999E-2</v>
      </c>
      <c r="BO162">
        <f>VLOOKUP(all_cause_mort[[Country]:[Country]],'[1]Mortality Data'!$A$2:$W$201,18,FALSE)</f>
        <v>5.9995859999999998E-2</v>
      </c>
      <c r="BP162">
        <f>VLOOKUP(all_cause_mort[[Country]:[Country]],'[1]Mortality Data'!$A$2:$W$201,19,FALSE)</f>
        <v>7.9088839999999994E-2</v>
      </c>
      <c r="BQ162">
        <f>VLOOKUP(all_cause_mort[[Country]:[Country]],'[1]Mortality Data'!$A$2:$W$201,20,FALSE)</f>
        <v>0.12158436</v>
      </c>
      <c r="BR162">
        <f>VLOOKUP(all_cause_mort[[Country]:[Country]],'[1]Mortality Data'!$A$2:$W$201,21,FALSE)</f>
        <v>0.16291785</v>
      </c>
      <c r="BS162">
        <f>VLOOKUP(all_cause_mort[[Country]:[Country]],'[1]Mortality Data'!$A$2:$W$201,22,FALSE)</f>
        <v>0.24855374999999999</v>
      </c>
      <c r="BT162">
        <f>VLOOKUP(all_cause_mort[[Country]:[Country]],'[1]Mortality Data'!$A$2:$W$201,23,FALSE)</f>
        <v>0.37050096509943897</v>
      </c>
      <c r="BU162" s="39" t="e">
        <f>VLOOKUP(all_cause_mort[[#This Row],[Country]],[2]!regions[#Data],3,FALSE)</f>
        <v>#REF!</v>
      </c>
    </row>
    <row r="163" spans="1:73" x14ac:dyDescent="0.35">
      <c r="A163" t="s">
        <v>143</v>
      </c>
      <c r="B163">
        <v>2712650</v>
      </c>
      <c r="C163">
        <v>2761516</v>
      </c>
      <c r="D163">
        <v>2814226</v>
      </c>
      <c r="E163">
        <v>2869107</v>
      </c>
      <c r="F163">
        <v>2923896</v>
      </c>
      <c r="G163">
        <v>2976877</v>
      </c>
      <c r="H163">
        <v>3027398</v>
      </c>
      <c r="I163">
        <v>3075647</v>
      </c>
      <c r="K163" t="s">
        <v>143</v>
      </c>
      <c r="L163">
        <v>23.957999999999998</v>
      </c>
      <c r="M163">
        <f>birthrate[[#This Row],[2016]]/1000</f>
        <v>2.3958E-2</v>
      </c>
      <c r="O163" t="s">
        <v>215</v>
      </c>
      <c r="P163">
        <v>62.6</v>
      </c>
      <c r="Q163">
        <f>facility[[#This Row],[Facility (%)]]/100</f>
        <v>0.626</v>
      </c>
      <c r="S163" t="s">
        <v>203</v>
      </c>
      <c r="T163" t="s">
        <v>265</v>
      </c>
      <c r="U163">
        <v>56.7</v>
      </c>
      <c r="V163">
        <f>SBA[[#This Row],[SBA (%)]]/100</f>
        <v>0.56700000000000006</v>
      </c>
      <c r="AF163" s="24" t="s">
        <v>191</v>
      </c>
      <c r="AG163" s="24" t="s">
        <v>253</v>
      </c>
      <c r="AH163" s="24"/>
      <c r="AI163" s="25">
        <f>IF(birthdose[[#This Row],[2017]]/100=0, ,birthdose[[#This Row],[2017]]/100)</f>
        <v>0</v>
      </c>
      <c r="AK163" s="24" t="s">
        <v>191</v>
      </c>
      <c r="AL163" s="24" t="s">
        <v>254</v>
      </c>
      <c r="AM163" s="24">
        <v>26</v>
      </c>
      <c r="AN163" s="25">
        <f>IF(fullvax[[#This Row],[2017]]/100=0, ,fullvax[[#This Row],[2017]]/100)</f>
        <v>0.26</v>
      </c>
      <c r="AV163" s="8" t="s">
        <v>221</v>
      </c>
      <c r="AW163" s="11" t="s">
        <v>58</v>
      </c>
      <c r="AX163" s="41">
        <f>VLOOKUP(all_cause_mort[[#This Row],[Country]],[1]!populations[#Data],9,FALSE)*VLOOKUP(all_cause_mort[[#This Row],[Country]],[1]!birthrate[#Data],3,FALSE)</f>
        <v>1594671.4927999997</v>
      </c>
      <c r="AY163">
        <f>VLOOKUP(all_cause_mort[[Country]:[Country]],'[1]Mortality Data'!$A$2:$W$201,2,FALSE)</f>
        <v>1.6976798000000001E-2</v>
      </c>
      <c r="AZ163">
        <f>VLOOKUP(all_cause_mort[[Country]:[Country]],'[1]Mortality Data'!$A$2:$W$201,3,FALSE)</f>
        <v>1.0768367999999999E-3</v>
      </c>
      <c r="BA163">
        <f>VLOOKUP(all_cause_mort[[Country]:[Country]],'[1]Mortality Data'!$A$2:$W$201,4,FALSE)</f>
        <v>5.2053663999999998E-4</v>
      </c>
      <c r="BB163">
        <f>VLOOKUP(all_cause_mort[[Country]:[Country]],'[1]Mortality Data'!$A$2:$W$201,5,FALSE)</f>
        <v>4.6478006000000001E-4</v>
      </c>
      <c r="BC163">
        <f>VLOOKUP(all_cause_mort[[Country]:[Country]],'[1]Mortality Data'!$A$2:$W$201,6,FALSE)</f>
        <v>7.4839147000000002E-4</v>
      </c>
      <c r="BD163">
        <f>VLOOKUP(all_cause_mort[[Country]:[Country]],'[1]Mortality Data'!$A$2:$W$201,7,FALSE)</f>
        <v>1.0978372E-3</v>
      </c>
      <c r="BE163">
        <f>VLOOKUP(all_cause_mort[[Country]:[Country]],'[1]Mortality Data'!$A$2:$W$201,8,FALSE)</f>
        <v>1.3523147999999999E-3</v>
      </c>
      <c r="BF163">
        <f>VLOOKUP(all_cause_mort[[Country]:[Country]],'[1]Mortality Data'!$A$2:$W$201,9,FALSE)</f>
        <v>1.5801029E-3</v>
      </c>
      <c r="BG163">
        <f>VLOOKUP(all_cause_mort[[Country]:[Country]],'[1]Mortality Data'!$A$2:$W$201,10,FALSE)</f>
        <v>1.9559948999999998E-3</v>
      </c>
      <c r="BH163">
        <f>VLOOKUP(all_cause_mort[[Country]:[Country]],'[1]Mortality Data'!$A$2:$W$201,11,FALSE)</f>
        <v>2.7645002000000001E-3</v>
      </c>
      <c r="BI163">
        <f>VLOOKUP(all_cause_mort[[Country]:[Country]],'[1]Mortality Data'!$A$2:$W$201,12,FALSE)</f>
        <v>3.8816285E-3</v>
      </c>
      <c r="BJ163">
        <f>VLOOKUP(all_cause_mort[[Country]:[Country]],'[1]Mortality Data'!$A$2:$W$201,13,FALSE)</f>
        <v>6.1845214999999999E-3</v>
      </c>
      <c r="BK163">
        <f>VLOOKUP(all_cause_mort[[Country]:[Country]],'[1]Mortality Data'!$A$2:$W$201,14,FALSE)</f>
        <v>9.2934188999999993E-3</v>
      </c>
      <c r="BL163">
        <f>VLOOKUP(all_cause_mort[[Country]:[Country]],'[1]Mortality Data'!$A$2:$W$201,15,FALSE)</f>
        <v>1.2742138E-2</v>
      </c>
      <c r="BM163">
        <f>VLOOKUP(all_cause_mort[[Country]:[Country]],'[1]Mortality Data'!$A$2:$W$201,16,FALSE)</f>
        <v>2.0623757999999999E-2</v>
      </c>
      <c r="BN163">
        <f>VLOOKUP(all_cause_mort[[Country]:[Country]],'[1]Mortality Data'!$A$2:$W$201,17,FALSE)</f>
        <v>3.0673853000000001E-2</v>
      </c>
      <c r="BO163">
        <f>VLOOKUP(all_cause_mort[[Country]:[Country]],'[1]Mortality Data'!$A$2:$W$201,18,FALSE)</f>
        <v>4.5973561000000003E-2</v>
      </c>
      <c r="BP163">
        <f>VLOOKUP(all_cause_mort[[Country]:[Country]],'[1]Mortality Data'!$A$2:$W$201,19,FALSE)</f>
        <v>6.8831007999999999E-2</v>
      </c>
      <c r="BQ163">
        <f>VLOOKUP(all_cause_mort[[Country]:[Country]],'[1]Mortality Data'!$A$2:$W$201,20,FALSE)</f>
        <v>0.10241421000000001</v>
      </c>
      <c r="BR163">
        <f>VLOOKUP(all_cause_mort[[Country]:[Country]],'[1]Mortality Data'!$A$2:$W$201,21,FALSE)</f>
        <v>0.15050156000000001</v>
      </c>
      <c r="BS163">
        <f>VLOOKUP(all_cause_mort[[Country]:[Country]],'[1]Mortality Data'!$A$2:$W$201,22,FALSE)</f>
        <v>0.21646425999999999</v>
      </c>
      <c r="BT163">
        <f>VLOOKUP(all_cause_mort[[Country]:[Country]],'[1]Mortality Data'!$A$2:$W$201,23,FALSE)</f>
        <v>0.31673164363547202</v>
      </c>
      <c r="BU163" s="39" t="e">
        <f>VLOOKUP(all_cause_mort[[#This Row],[Country]],[2]!regions[#Data],3,FALSE)</f>
        <v>#REF!</v>
      </c>
    </row>
    <row r="164" spans="1:73" x14ac:dyDescent="0.35">
      <c r="A164" t="s">
        <v>346</v>
      </c>
      <c r="B164">
        <v>54424</v>
      </c>
      <c r="C164">
        <v>53786</v>
      </c>
      <c r="D164">
        <v>53718</v>
      </c>
      <c r="E164">
        <v>54036</v>
      </c>
      <c r="F164">
        <v>54468</v>
      </c>
      <c r="G164">
        <v>54816</v>
      </c>
      <c r="H164">
        <v>55023</v>
      </c>
      <c r="I164">
        <v>55144</v>
      </c>
      <c r="K164" t="s">
        <v>346</v>
      </c>
      <c r="M164">
        <f>birthrate[[#This Row],[2016]]/1000</f>
        <v>0</v>
      </c>
      <c r="O164" t="s">
        <v>217</v>
      </c>
      <c r="P164">
        <v>99.5</v>
      </c>
      <c r="Q164">
        <f>facility[[#This Row],[Facility (%)]]/100</f>
        <v>0.995</v>
      </c>
      <c r="S164" t="s">
        <v>204</v>
      </c>
      <c r="T164" t="s">
        <v>280</v>
      </c>
      <c r="U164">
        <v>44.6</v>
      </c>
      <c r="V164">
        <f>SBA[[#This Row],[SBA (%)]]/100</f>
        <v>0.44600000000000001</v>
      </c>
      <c r="AF164" s="24" t="s">
        <v>192</v>
      </c>
      <c r="AG164" s="24" t="s">
        <v>253</v>
      </c>
      <c r="AH164" s="24">
        <v>52</v>
      </c>
      <c r="AI164" s="25">
        <f>IF(birthdose[[#This Row],[2017]]/100=0, ,birthdose[[#This Row],[2017]]/100)</f>
        <v>0.52</v>
      </c>
      <c r="AK164" s="24" t="s">
        <v>192</v>
      </c>
      <c r="AL164" s="24" t="s">
        <v>254</v>
      </c>
      <c r="AM164" s="24">
        <v>93</v>
      </c>
      <c r="AN164" s="25">
        <f>IF(fullvax[[#This Row],[2017]]/100=0, ,fullvax[[#This Row],[2017]]/100)</f>
        <v>0.93</v>
      </c>
      <c r="AV164" s="12" t="s">
        <v>222</v>
      </c>
      <c r="AW164" s="14" t="s">
        <v>7</v>
      </c>
      <c r="AX164" s="41">
        <f>VLOOKUP(all_cause_mort[[#This Row],[Country]],[1]!populations[#Data],9,FALSE)*VLOOKUP(all_cause_mort[[#This Row],[Country]],[1]!birthrate[#Data],3,FALSE)</f>
        <v>893730.28711999988</v>
      </c>
      <c r="AY164">
        <f>VLOOKUP(all_cause_mort[[Country]:[Country]],'[1]Mortality Data'!$A$2:$W$201,2,FALSE)</f>
        <v>4.4847791999999997E-2</v>
      </c>
      <c r="AZ164">
        <f>VLOOKUP(all_cause_mort[[Country]:[Country]],'[1]Mortality Data'!$A$2:$W$201,3,FALSE)</f>
        <v>3.2136139E-3</v>
      </c>
      <c r="BA164">
        <f>VLOOKUP(all_cause_mort[[Country]:[Country]],'[1]Mortality Data'!$A$2:$W$201,4,FALSE)</f>
        <v>1.0784131000000001E-3</v>
      </c>
      <c r="BB164">
        <f>VLOOKUP(all_cause_mort[[Country]:[Country]],'[1]Mortality Data'!$A$2:$W$201,5,FALSE)</f>
        <v>8.3150474999999998E-4</v>
      </c>
      <c r="BC164">
        <f>VLOOKUP(all_cause_mort[[Country]:[Country]],'[1]Mortality Data'!$A$2:$W$201,6,FALSE)</f>
        <v>1.4512920999999999E-3</v>
      </c>
      <c r="BD164">
        <f>VLOOKUP(all_cause_mort[[Country]:[Country]],'[1]Mortality Data'!$A$2:$W$201,7,FALSE)</f>
        <v>1.8954835000000001E-3</v>
      </c>
      <c r="BE164">
        <f>VLOOKUP(all_cause_mort[[Country]:[Country]],'[1]Mortality Data'!$A$2:$W$201,8,FALSE)</f>
        <v>2.0289809E-3</v>
      </c>
      <c r="BF164">
        <f>VLOOKUP(all_cause_mort[[Country]:[Country]],'[1]Mortality Data'!$A$2:$W$201,9,FALSE)</f>
        <v>2.3721890999999998E-3</v>
      </c>
      <c r="BG164">
        <f>VLOOKUP(all_cause_mort[[Country]:[Country]],'[1]Mortality Data'!$A$2:$W$201,10,FALSE)</f>
        <v>3.0765469999999998E-3</v>
      </c>
      <c r="BH164">
        <f>VLOOKUP(all_cause_mort[[Country]:[Country]],'[1]Mortality Data'!$A$2:$W$201,11,FALSE)</f>
        <v>4.1973402E-3</v>
      </c>
      <c r="BI164">
        <f>VLOOKUP(all_cause_mort[[Country]:[Country]],'[1]Mortality Data'!$A$2:$W$201,12,FALSE)</f>
        <v>6.0780935999999999E-3</v>
      </c>
      <c r="BJ164">
        <f>VLOOKUP(all_cause_mort[[Country]:[Country]],'[1]Mortality Data'!$A$2:$W$201,13,FALSE)</f>
        <v>9.0548625000000001E-3</v>
      </c>
      <c r="BK164">
        <f>VLOOKUP(all_cause_mort[[Country]:[Country]],'[1]Mortality Data'!$A$2:$W$201,14,FALSE)</f>
        <v>1.3781705999999999E-2</v>
      </c>
      <c r="BL164">
        <f>VLOOKUP(all_cause_mort[[Country]:[Country]],'[1]Mortality Data'!$A$2:$W$201,15,FALSE)</f>
        <v>2.1781543E-2</v>
      </c>
      <c r="BM164">
        <f>VLOOKUP(all_cause_mort[[Country]:[Country]],'[1]Mortality Data'!$A$2:$W$201,16,FALSE)</f>
        <v>3.4552753999999998E-2</v>
      </c>
      <c r="BN164">
        <f>VLOOKUP(all_cause_mort[[Country]:[Country]],'[1]Mortality Data'!$A$2:$W$201,17,FALSE)</f>
        <v>5.5939832000000002E-2</v>
      </c>
      <c r="BO164">
        <f>VLOOKUP(all_cause_mort[[Country]:[Country]],'[1]Mortality Data'!$A$2:$W$201,18,FALSE)</f>
        <v>9.0603984999999998E-2</v>
      </c>
      <c r="BP164">
        <f>VLOOKUP(all_cause_mort[[Country]:[Country]],'[1]Mortality Data'!$A$2:$W$201,19,FALSE)</f>
        <v>0.14229885</v>
      </c>
      <c r="BQ164">
        <f>VLOOKUP(all_cause_mort[[Country]:[Country]],'[1]Mortality Data'!$A$2:$W$201,20,FALSE)</f>
        <v>0.21806094000000001</v>
      </c>
      <c r="BR164">
        <f>VLOOKUP(all_cause_mort[[Country]:[Country]],'[1]Mortality Data'!$A$2:$W$201,21,FALSE)</f>
        <v>0.31373742999999998</v>
      </c>
      <c r="BS164">
        <f>VLOOKUP(all_cause_mort[[Country]:[Country]],'[1]Mortality Data'!$A$2:$W$201,22,FALSE)</f>
        <v>0.43431003000000001</v>
      </c>
      <c r="BT164">
        <f>VLOOKUP(all_cause_mort[[Country]:[Country]],'[1]Mortality Data'!$A$2:$W$201,23,FALSE)</f>
        <v>0.566776116802582</v>
      </c>
      <c r="BU164" s="39" t="e">
        <f>VLOOKUP(all_cause_mort[[#This Row],[Country]],[2]!regions[#Data],3,FALSE)</f>
        <v>#REF!</v>
      </c>
    </row>
    <row r="165" spans="1:73" x14ac:dyDescent="0.35">
      <c r="A165" t="s">
        <v>146</v>
      </c>
      <c r="B165">
        <v>24221405</v>
      </c>
      <c r="C165">
        <v>24939005</v>
      </c>
      <c r="D165">
        <v>25676606</v>
      </c>
      <c r="E165">
        <v>26434372</v>
      </c>
      <c r="F165">
        <v>27212382</v>
      </c>
      <c r="G165">
        <v>28010691</v>
      </c>
      <c r="H165">
        <v>28829476</v>
      </c>
      <c r="I165">
        <v>29668834</v>
      </c>
      <c r="K165" t="s">
        <v>146</v>
      </c>
      <c r="L165">
        <v>38.953000000000003</v>
      </c>
      <c r="M165">
        <f>birthrate[[#This Row],[2016]]/1000</f>
        <v>3.8953000000000002E-2</v>
      </c>
      <c r="O165" t="s">
        <v>218</v>
      </c>
      <c r="P165">
        <v>99.5</v>
      </c>
      <c r="Q165">
        <f>facility[[#This Row],[Facility (%)]]/100</f>
        <v>0.995</v>
      </c>
      <c r="S165" t="s">
        <v>205</v>
      </c>
      <c r="T165" t="s">
        <v>275</v>
      </c>
      <c r="U165">
        <v>95.5</v>
      </c>
      <c r="V165">
        <f>SBA[[#This Row],[SBA (%)]]/100</f>
        <v>0.95499999999999996</v>
      </c>
      <c r="AF165" s="24" t="s">
        <v>193</v>
      </c>
      <c r="AG165" s="24" t="s">
        <v>253</v>
      </c>
      <c r="AH165" s="24"/>
      <c r="AI165" s="25">
        <f>IF(birthdose[[#This Row],[2017]]/100=0, ,birthdose[[#This Row],[2017]]/100)</f>
        <v>0</v>
      </c>
      <c r="AK165" s="24" t="s">
        <v>193</v>
      </c>
      <c r="AL165" s="24" t="s">
        <v>254</v>
      </c>
      <c r="AM165" s="24">
        <v>99</v>
      </c>
      <c r="AN165" s="25">
        <f>IF(fullvax[[#This Row],[2017]]/100=0, ,fullvax[[#This Row],[2017]]/100)</f>
        <v>0.99</v>
      </c>
      <c r="AV165" s="12" t="s">
        <v>224</v>
      </c>
      <c r="AW165" s="14" t="s">
        <v>15</v>
      </c>
      <c r="AX165" s="41">
        <f>VLOOKUP(all_cause_mort[[#This Row],[Country]],[1]!populations[#Data],9,FALSE)*VLOOKUP(all_cause_mort[[#This Row],[Country]],[1]!birthrate[#Data],3,FALSE)</f>
        <v>651816.27102999995</v>
      </c>
      <c r="AY165">
        <f>VLOOKUP(all_cause_mort[[Country]:[Country]],'[1]Mortality Data'!$A$2:$W$201,2,FALSE)</f>
        <v>4.7397950000000001E-2</v>
      </c>
      <c r="AZ165">
        <f>VLOOKUP(all_cause_mort[[Country]:[Country]],'[1]Mortality Data'!$A$2:$W$201,3,FALSE)</f>
        <v>3.9983283999999999E-3</v>
      </c>
      <c r="BA165">
        <f>VLOOKUP(all_cause_mort[[Country]:[Country]],'[1]Mortality Data'!$A$2:$W$201,4,FALSE)</f>
        <v>1.1617178999999999E-3</v>
      </c>
      <c r="BB165">
        <f>VLOOKUP(all_cause_mort[[Country]:[Country]],'[1]Mortality Data'!$A$2:$W$201,5,FALSE)</f>
        <v>9.1675454999999996E-4</v>
      </c>
      <c r="BC165">
        <f>VLOOKUP(all_cause_mort[[Country]:[Country]],'[1]Mortality Data'!$A$2:$W$201,6,FALSE)</f>
        <v>1.5368534000000001E-3</v>
      </c>
      <c r="BD165">
        <f>VLOOKUP(all_cause_mort[[Country]:[Country]],'[1]Mortality Data'!$A$2:$W$201,7,FALSE)</f>
        <v>2.4885330999999998E-3</v>
      </c>
      <c r="BE165">
        <f>VLOOKUP(all_cause_mort[[Country]:[Country]],'[1]Mortality Data'!$A$2:$W$201,8,FALSE)</f>
        <v>3.5203122999999999E-3</v>
      </c>
      <c r="BF165">
        <f>VLOOKUP(all_cause_mort[[Country]:[Country]],'[1]Mortality Data'!$A$2:$W$201,9,FALSE)</f>
        <v>4.6521013999999998E-3</v>
      </c>
      <c r="BG165">
        <f>VLOOKUP(all_cause_mort[[Country]:[Country]],'[1]Mortality Data'!$A$2:$W$201,10,FALSE)</f>
        <v>6.2648347000000002E-3</v>
      </c>
      <c r="BH165">
        <f>VLOOKUP(all_cause_mort[[Country]:[Country]],'[1]Mortality Data'!$A$2:$W$201,11,FALSE)</f>
        <v>7.7440757999999998E-3</v>
      </c>
      <c r="BI165">
        <f>VLOOKUP(all_cause_mort[[Country]:[Country]],'[1]Mortality Data'!$A$2:$W$201,12,FALSE)</f>
        <v>9.5624192E-3</v>
      </c>
      <c r="BJ165">
        <f>VLOOKUP(all_cause_mort[[Country]:[Country]],'[1]Mortality Data'!$A$2:$W$201,13,FALSE)</f>
        <v>1.2527864E-2</v>
      </c>
      <c r="BK165">
        <f>VLOOKUP(all_cause_mort[[Country]:[Country]],'[1]Mortality Data'!$A$2:$W$201,14,FALSE)</f>
        <v>1.5985011E-2</v>
      </c>
      <c r="BL165">
        <f>VLOOKUP(all_cause_mort[[Country]:[Country]],'[1]Mortality Data'!$A$2:$W$201,15,FALSE)</f>
        <v>2.2546450999999999E-2</v>
      </c>
      <c r="BM165">
        <f>VLOOKUP(all_cause_mort[[Country]:[Country]],'[1]Mortality Data'!$A$2:$W$201,16,FALSE)</f>
        <v>3.3654442999999999E-2</v>
      </c>
      <c r="BN165">
        <f>VLOOKUP(all_cause_mort[[Country]:[Country]],'[1]Mortality Data'!$A$2:$W$201,17,FALSE)</f>
        <v>5.2168156E-2</v>
      </c>
      <c r="BO165">
        <f>VLOOKUP(all_cause_mort[[Country]:[Country]],'[1]Mortality Data'!$A$2:$W$201,18,FALSE)</f>
        <v>8.2720848E-2</v>
      </c>
      <c r="BP165">
        <f>VLOOKUP(all_cause_mort[[Country]:[Country]],'[1]Mortality Data'!$A$2:$W$201,19,FALSE)</f>
        <v>0.13806656</v>
      </c>
      <c r="BQ165">
        <f>VLOOKUP(all_cause_mort[[Country]:[Country]],'[1]Mortality Data'!$A$2:$W$201,20,FALSE)</f>
        <v>0.23241698999999999</v>
      </c>
      <c r="BR165">
        <f>VLOOKUP(all_cause_mort[[Country]:[Country]],'[1]Mortality Data'!$A$2:$W$201,21,FALSE)</f>
        <v>0.38439856999999999</v>
      </c>
      <c r="BS165">
        <f>VLOOKUP(all_cause_mort[[Country]:[Country]],'[1]Mortality Data'!$A$2:$W$201,22,FALSE)</f>
        <v>0.54754515000000004</v>
      </c>
      <c r="BT165">
        <f>VLOOKUP(all_cause_mort[[Country]:[Country]],'[1]Mortality Data'!$A$2:$W$201,23,FALSE)</f>
        <v>0.72099981910114497</v>
      </c>
      <c r="BU165" s="39" t="e">
        <f>VLOOKUP(all_cause_mort[[#This Row],[Country]],[2]!regions[#Data],3,FALSE)</f>
        <v>#REF!</v>
      </c>
    </row>
    <row r="166" spans="1:73" x14ac:dyDescent="0.35">
      <c r="A166" t="s">
        <v>138</v>
      </c>
      <c r="B166">
        <v>3609543</v>
      </c>
      <c r="C166">
        <v>3717672</v>
      </c>
      <c r="D166">
        <v>3830239</v>
      </c>
      <c r="E166">
        <v>3946170</v>
      </c>
      <c r="F166">
        <v>4063920</v>
      </c>
      <c r="G166">
        <v>4182341</v>
      </c>
      <c r="H166">
        <v>4301018</v>
      </c>
      <c r="I166">
        <v>4420184</v>
      </c>
      <c r="K166" t="s">
        <v>138</v>
      </c>
      <c r="L166">
        <v>34.155000000000001</v>
      </c>
      <c r="M166">
        <f>birthrate[[#This Row],[2016]]/1000</f>
        <v>3.4154999999999998E-2</v>
      </c>
      <c r="O166" t="s">
        <v>219</v>
      </c>
      <c r="P166">
        <v>88.5</v>
      </c>
      <c r="Q166">
        <f>facility[[#This Row],[Facility (%)]]/100</f>
        <v>0.88500000000000001</v>
      </c>
      <c r="S166" t="s">
        <v>206</v>
      </c>
      <c r="T166">
        <v>2015</v>
      </c>
      <c r="U166">
        <v>99.99</v>
      </c>
      <c r="V166">
        <f>SBA[[#This Row],[SBA (%)]]/100</f>
        <v>0.9998999999999999</v>
      </c>
      <c r="AF166" s="29" t="s">
        <v>194</v>
      </c>
      <c r="AG166" s="24" t="s">
        <v>253</v>
      </c>
      <c r="AH166" s="24"/>
      <c r="AI166" s="25">
        <f>IF(birthdose[[#This Row],[2017]]/100=0, ,birthdose[[#This Row],[2017]]/100)</f>
        <v>0</v>
      </c>
      <c r="AK166" s="29" t="s">
        <v>194</v>
      </c>
      <c r="AL166" s="24" t="s">
        <v>254</v>
      </c>
      <c r="AM166" s="24">
        <v>95</v>
      </c>
      <c r="AN166" s="25">
        <f>IF(fullvax[[#This Row],[2017]]/100=0, ,fullvax[[#This Row],[2017]]/100)</f>
        <v>0.95</v>
      </c>
      <c r="AV166" s="42" t="s">
        <v>225</v>
      </c>
      <c r="AW166" s="43" t="s">
        <v>15</v>
      </c>
      <c r="AX166" s="41">
        <f>VLOOKUP(all_cause_mort[[#This Row],[Country]],[1]!populations[#Data],9,FALSE)*VLOOKUP(all_cause_mort[[#This Row],[Country]],[1]!birthrate[#Data],3,FALSE)</f>
        <v>547867.13817599998</v>
      </c>
      <c r="AY166">
        <f>VLOOKUP(all_cause_mort[[Country]:[Country]],'[1]Mortality Data'!$A$2:$W$201,2,FALSE)</f>
        <v>4.0063008999999997E-2</v>
      </c>
      <c r="AZ166">
        <f>VLOOKUP(all_cause_mort[[Country]:[Country]],'[1]Mortality Data'!$A$2:$W$201,3,FALSE)</f>
        <v>3.2793777999999998E-3</v>
      </c>
      <c r="BA166">
        <f>VLOOKUP(all_cause_mort[[Country]:[Country]],'[1]Mortality Data'!$A$2:$W$201,4,FALSE)</f>
        <v>1.0666883E-3</v>
      </c>
      <c r="BB166">
        <f>VLOOKUP(all_cause_mort[[Country]:[Country]],'[1]Mortality Data'!$A$2:$W$201,5,FALSE)</f>
        <v>9.1261412999999998E-4</v>
      </c>
      <c r="BC166">
        <f>VLOOKUP(all_cause_mort[[Country]:[Country]],'[1]Mortality Data'!$A$2:$W$201,6,FALSE)</f>
        <v>1.5762751000000001E-3</v>
      </c>
      <c r="BD166">
        <f>VLOOKUP(all_cause_mort[[Country]:[Country]],'[1]Mortality Data'!$A$2:$W$201,7,FALSE)</f>
        <v>2.8536873999999999E-3</v>
      </c>
      <c r="BE166">
        <f>VLOOKUP(all_cause_mort[[Country]:[Country]],'[1]Mortality Data'!$A$2:$W$201,8,FALSE)</f>
        <v>4.8761372999999997E-3</v>
      </c>
      <c r="BF166">
        <f>VLOOKUP(all_cause_mort[[Country]:[Country]],'[1]Mortality Data'!$A$2:$W$201,9,FALSE)</f>
        <v>7.0072937999999998E-3</v>
      </c>
      <c r="BG166">
        <f>VLOOKUP(all_cause_mort[[Country]:[Country]],'[1]Mortality Data'!$A$2:$W$201,10,FALSE)</f>
        <v>9.9183177999999997E-3</v>
      </c>
      <c r="BH166">
        <f>VLOOKUP(all_cause_mort[[Country]:[Country]],'[1]Mortality Data'!$A$2:$W$201,11,FALSE)</f>
        <v>1.1647154E-2</v>
      </c>
      <c r="BI166">
        <f>VLOOKUP(all_cause_mort[[Country]:[Country]],'[1]Mortality Data'!$A$2:$W$201,12,FALSE)</f>
        <v>1.3856759E-2</v>
      </c>
      <c r="BJ166">
        <f>VLOOKUP(all_cause_mort[[Country]:[Country]],'[1]Mortality Data'!$A$2:$W$201,13,FALSE)</f>
        <v>1.6688746000000001E-2</v>
      </c>
      <c r="BK166">
        <f>VLOOKUP(all_cause_mort[[Country]:[Country]],'[1]Mortality Data'!$A$2:$W$201,14,FALSE)</f>
        <v>2.0099473E-2</v>
      </c>
      <c r="BL166">
        <f>VLOOKUP(all_cause_mort[[Country]:[Country]],'[1]Mortality Data'!$A$2:$W$201,15,FALSE)</f>
        <v>2.6436238000000001E-2</v>
      </c>
      <c r="BM166">
        <f>VLOOKUP(all_cause_mort[[Country]:[Country]],'[1]Mortality Data'!$A$2:$W$201,16,FALSE)</f>
        <v>3.7502945000000003E-2</v>
      </c>
      <c r="BN166">
        <f>VLOOKUP(all_cause_mort[[Country]:[Country]],'[1]Mortality Data'!$A$2:$W$201,17,FALSE)</f>
        <v>5.6021949000000001E-2</v>
      </c>
      <c r="BO166">
        <f>VLOOKUP(all_cause_mort[[Country]:[Country]],'[1]Mortality Data'!$A$2:$W$201,18,FALSE)</f>
        <v>8.6218393000000004E-2</v>
      </c>
      <c r="BP166">
        <f>VLOOKUP(all_cause_mort[[Country]:[Country]],'[1]Mortality Data'!$A$2:$W$201,19,FALSE)</f>
        <v>0.14209641000000001</v>
      </c>
      <c r="BQ166">
        <f>VLOOKUP(all_cause_mort[[Country]:[Country]],'[1]Mortality Data'!$A$2:$W$201,20,FALSE)</f>
        <v>0.23767874999999999</v>
      </c>
      <c r="BR166">
        <f>VLOOKUP(all_cause_mort[[Country]:[Country]],'[1]Mortality Data'!$A$2:$W$201,21,FALSE)</f>
        <v>0.37998229</v>
      </c>
      <c r="BS166">
        <f>VLOOKUP(all_cause_mort[[Country]:[Country]],'[1]Mortality Data'!$A$2:$W$201,22,FALSE)</f>
        <v>0.52112077000000001</v>
      </c>
      <c r="BT166">
        <f>VLOOKUP(all_cause_mort[[Country]:[Country]],'[1]Mortality Data'!$A$2:$W$201,23,FALSE)</f>
        <v>0.65919399954159597</v>
      </c>
      <c r="BU166" s="39" t="e">
        <f>VLOOKUP(all_cause_mort[[#This Row],[Country]],[2]!regions[#Data],3,FALSE)</f>
        <v>#REF!</v>
      </c>
    </row>
    <row r="167" spans="1:73" x14ac:dyDescent="0.35">
      <c r="A167" t="s">
        <v>139</v>
      </c>
      <c r="B167">
        <v>1250400</v>
      </c>
      <c r="C167">
        <v>1252404</v>
      </c>
      <c r="D167">
        <v>1255882</v>
      </c>
      <c r="E167">
        <v>1258653</v>
      </c>
      <c r="F167">
        <v>1260934</v>
      </c>
      <c r="G167">
        <v>1262605</v>
      </c>
      <c r="H167">
        <v>1263473</v>
      </c>
      <c r="I167">
        <v>1264613</v>
      </c>
      <c r="K167" t="s">
        <v>139</v>
      </c>
      <c r="L167">
        <v>10.4</v>
      </c>
      <c r="M167">
        <f>birthrate[[#This Row],[2016]]/1000</f>
        <v>1.04E-2</v>
      </c>
      <c r="O167" t="s">
        <v>220</v>
      </c>
      <c r="P167">
        <v>98.94</v>
      </c>
      <c r="Q167">
        <f>facility[[#This Row],[Facility (%)]]/100</f>
        <v>0.98939999999999995</v>
      </c>
      <c r="S167" t="s">
        <v>207</v>
      </c>
      <c r="T167" t="s">
        <v>310</v>
      </c>
      <c r="U167">
        <v>73.599999999999994</v>
      </c>
      <c r="V167">
        <f>SBA[[#This Row],[SBA (%)]]/100</f>
        <v>0.73599999999999999</v>
      </c>
      <c r="AF167" s="24" t="s">
        <v>195</v>
      </c>
      <c r="AG167" s="24" t="s">
        <v>253</v>
      </c>
      <c r="AH167" s="24">
        <v>80</v>
      </c>
      <c r="AI167" s="25">
        <f>IF(birthdose[[#This Row],[2017]]/100=0, ,birthdose[[#This Row],[2017]]/100)</f>
        <v>0.8</v>
      </c>
      <c r="AK167" s="24" t="s">
        <v>195</v>
      </c>
      <c r="AL167" s="24" t="s">
        <v>254</v>
      </c>
      <c r="AM167" s="24">
        <v>81</v>
      </c>
      <c r="AN167" s="25">
        <f>IF(fullvax[[#This Row],[2017]]/100=0, ,fullvax[[#This Row],[2017]]/100)</f>
        <v>0.81</v>
      </c>
    </row>
    <row r="168" spans="1:73" x14ac:dyDescent="0.35">
      <c r="A168" t="s">
        <v>132</v>
      </c>
      <c r="B168">
        <v>15167095</v>
      </c>
      <c r="C168">
        <v>15627618</v>
      </c>
      <c r="D168">
        <v>16097305</v>
      </c>
      <c r="E168">
        <v>16577147</v>
      </c>
      <c r="F168">
        <v>17068838</v>
      </c>
      <c r="G168">
        <v>17573607</v>
      </c>
      <c r="H168">
        <v>18091575</v>
      </c>
      <c r="I168">
        <v>18622104</v>
      </c>
      <c r="K168" t="s">
        <v>132</v>
      </c>
      <c r="L168">
        <v>36.704000000000001</v>
      </c>
      <c r="M168">
        <f>birthrate[[#This Row],[2016]]/1000</f>
        <v>3.6704000000000001E-2</v>
      </c>
      <c r="O168" t="s">
        <v>221</v>
      </c>
      <c r="P168">
        <v>93.6</v>
      </c>
      <c r="Q168">
        <f>facility[[#This Row],[Facility (%)]]/100</f>
        <v>0.93599999999999994</v>
      </c>
      <c r="S168" t="s">
        <v>208</v>
      </c>
      <c r="T168" t="s">
        <v>293</v>
      </c>
      <c r="U168">
        <v>97.4</v>
      </c>
      <c r="V168">
        <f>SBA[[#This Row],[SBA (%)]]/100</f>
        <v>0.97400000000000009</v>
      </c>
      <c r="AF168" s="24" t="s">
        <v>197</v>
      </c>
      <c r="AG168" s="24" t="s">
        <v>253</v>
      </c>
      <c r="AH168" s="24"/>
      <c r="AI168" s="25">
        <f>IF(birthdose[[#This Row],[2017]]/100=0, ,birthdose[[#This Row],[2017]]/100)</f>
        <v>0</v>
      </c>
      <c r="AK168" s="24" t="s">
        <v>197</v>
      </c>
      <c r="AL168" s="24" t="s">
        <v>254</v>
      </c>
      <c r="AM168" s="24">
        <v>76</v>
      </c>
      <c r="AN168" s="25">
        <f>IF(fullvax[[#This Row],[2017]]/100=0, ,fullvax[[#This Row],[2017]]/100)</f>
        <v>0.76</v>
      </c>
    </row>
    <row r="169" spans="1:73" x14ac:dyDescent="0.35">
      <c r="A169" t="s">
        <v>133</v>
      </c>
      <c r="B169">
        <v>28112289</v>
      </c>
      <c r="C169">
        <v>28635128</v>
      </c>
      <c r="D169">
        <v>29170456</v>
      </c>
      <c r="E169">
        <v>29706724</v>
      </c>
      <c r="F169">
        <v>30228017</v>
      </c>
      <c r="G169">
        <v>30723155</v>
      </c>
      <c r="H169">
        <v>31187265</v>
      </c>
      <c r="I169">
        <v>31624264</v>
      </c>
      <c r="K169" t="s">
        <v>133</v>
      </c>
      <c r="L169">
        <v>17.052</v>
      </c>
      <c r="M169">
        <f>birthrate[[#This Row],[2016]]/1000</f>
        <v>1.7052000000000001E-2</v>
      </c>
      <c r="O169" t="s">
        <v>222</v>
      </c>
      <c r="P169">
        <v>27.3</v>
      </c>
      <c r="Q169">
        <f>facility[[#This Row],[Facility (%)]]/100</f>
        <v>0.27300000000000002</v>
      </c>
      <c r="S169" t="s">
        <v>209</v>
      </c>
      <c r="T169" t="s">
        <v>263</v>
      </c>
      <c r="U169">
        <v>99.99</v>
      </c>
      <c r="V169">
        <f>SBA[[#This Row],[SBA (%)]]/100</f>
        <v>0.9998999999999999</v>
      </c>
      <c r="AF169" s="24" t="s">
        <v>198</v>
      </c>
      <c r="AG169" s="24" t="s">
        <v>253</v>
      </c>
      <c r="AH169" s="24"/>
      <c r="AI169" s="25">
        <f>IF(birthdose[[#This Row],[2017]]/100=0, ,birthdose[[#This Row],[2017]]/100)</f>
        <v>0</v>
      </c>
      <c r="AK169" s="24" t="s">
        <v>198</v>
      </c>
      <c r="AL169" s="24" t="s">
        <v>254</v>
      </c>
      <c r="AM169" s="24"/>
      <c r="AN169" s="25">
        <f>IF(fullvax[[#This Row],[2017]]/100=0, ,fullvax[[#This Row],[2017]]/100)</f>
        <v>0</v>
      </c>
    </row>
    <row r="170" spans="1:73" x14ac:dyDescent="0.35">
      <c r="A170" t="s">
        <v>347</v>
      </c>
      <c r="B170">
        <v>343408819</v>
      </c>
      <c r="C170">
        <v>346051624</v>
      </c>
      <c r="D170">
        <v>348808615</v>
      </c>
      <c r="E170">
        <v>351451876</v>
      </c>
      <c r="F170">
        <v>354223012</v>
      </c>
      <c r="G170">
        <v>356937591</v>
      </c>
      <c r="H170">
        <v>359735880</v>
      </c>
      <c r="I170">
        <v>362492702</v>
      </c>
      <c r="K170" t="s">
        <v>347</v>
      </c>
      <c r="L170">
        <v>12.238197065024485</v>
      </c>
      <c r="M170">
        <f>birthrate[[#This Row],[2016]]/1000</f>
        <v>1.2238197065024485E-2</v>
      </c>
      <c r="O170" t="s">
        <v>224</v>
      </c>
      <c r="P170">
        <v>67.400000000000006</v>
      </c>
      <c r="Q170">
        <f>facility[[#This Row],[Facility (%)]]/100</f>
        <v>0.67400000000000004</v>
      </c>
      <c r="S170" t="s">
        <v>210</v>
      </c>
      <c r="T170" t="s">
        <v>324</v>
      </c>
      <c r="U170">
        <v>93.1</v>
      </c>
      <c r="V170">
        <f>SBA[[#This Row],[SBA (%)]]/100</f>
        <v>0.93099999999999994</v>
      </c>
      <c r="AF170" s="29" t="s">
        <v>199</v>
      </c>
      <c r="AG170" s="24" t="s">
        <v>253</v>
      </c>
      <c r="AH170" s="24">
        <v>69</v>
      </c>
      <c r="AI170" s="25">
        <f>IF(birthdose[[#This Row],[2017]]/100=0, ,birthdose[[#This Row],[2017]]/100)</f>
        <v>0.69</v>
      </c>
      <c r="AK170" s="29" t="s">
        <v>199</v>
      </c>
      <c r="AL170" s="24" t="s">
        <v>254</v>
      </c>
      <c r="AM170" s="24">
        <v>52</v>
      </c>
      <c r="AN170" s="25">
        <f>IF(fullvax[[#This Row],[2017]]/100=0, ,fullvax[[#This Row],[2017]]/100)</f>
        <v>0.52</v>
      </c>
    </row>
    <row r="171" spans="1:73" x14ac:dyDescent="0.35">
      <c r="A171" t="s">
        <v>148</v>
      </c>
      <c r="B171">
        <v>2173170</v>
      </c>
      <c r="C171">
        <v>2215621</v>
      </c>
      <c r="D171">
        <v>2263934</v>
      </c>
      <c r="E171">
        <v>2316520</v>
      </c>
      <c r="F171">
        <v>2370992</v>
      </c>
      <c r="G171">
        <v>2425561</v>
      </c>
      <c r="H171">
        <v>2479713</v>
      </c>
      <c r="I171">
        <v>2533794</v>
      </c>
      <c r="K171" t="s">
        <v>148</v>
      </c>
      <c r="L171">
        <v>29.181000000000001</v>
      </c>
      <c r="M171">
        <f>birthrate[[#This Row],[2016]]/1000</f>
        <v>2.9181000000000002E-2</v>
      </c>
      <c r="O171" t="s">
        <v>225</v>
      </c>
      <c r="P171">
        <v>77</v>
      </c>
      <c r="Q171">
        <f>facility[[#This Row],[Facility (%)]]/100</f>
        <v>0.77</v>
      </c>
      <c r="S171" t="s">
        <v>211</v>
      </c>
      <c r="T171" t="s">
        <v>265</v>
      </c>
      <c r="U171">
        <v>74.2</v>
      </c>
      <c r="V171">
        <f>SBA[[#This Row],[SBA (%)]]/100</f>
        <v>0.74199999999999999</v>
      </c>
      <c r="AF171" s="24" t="s">
        <v>200</v>
      </c>
      <c r="AG171" s="24" t="s">
        <v>253</v>
      </c>
      <c r="AH171" s="24">
        <v>99</v>
      </c>
      <c r="AI171" s="25">
        <f>IF(birthdose[[#This Row],[2017]]/100=0, ,birthdose[[#This Row],[2017]]/100)</f>
        <v>0.99</v>
      </c>
      <c r="AK171" s="24" t="s">
        <v>200</v>
      </c>
      <c r="AL171" s="24" t="s">
        <v>254</v>
      </c>
      <c r="AM171" s="24">
        <v>96</v>
      </c>
      <c r="AN171" s="25">
        <f>IF(fullvax[[#This Row],[2017]]/100=0, ,fullvax[[#This Row],[2017]]/100)</f>
        <v>0.96</v>
      </c>
    </row>
    <row r="172" spans="1:73" x14ac:dyDescent="0.35">
      <c r="A172" t="s">
        <v>348</v>
      </c>
      <c r="B172">
        <v>249750</v>
      </c>
      <c r="C172">
        <v>254350</v>
      </c>
      <c r="D172">
        <v>259000</v>
      </c>
      <c r="E172">
        <v>263650</v>
      </c>
      <c r="F172">
        <v>268050</v>
      </c>
      <c r="G172">
        <v>272400</v>
      </c>
      <c r="H172">
        <v>276550</v>
      </c>
      <c r="I172">
        <v>280460</v>
      </c>
      <c r="K172" t="s">
        <v>348</v>
      </c>
      <c r="L172">
        <v>15.4</v>
      </c>
      <c r="M172">
        <f>birthrate[[#This Row],[2016]]/1000</f>
        <v>1.54E-2</v>
      </c>
      <c r="S172" t="s">
        <v>212</v>
      </c>
      <c r="T172">
        <v>2014</v>
      </c>
      <c r="U172">
        <v>99.9</v>
      </c>
      <c r="V172">
        <f>SBA[[#This Row],[SBA (%)]]/100</f>
        <v>0.99900000000000011</v>
      </c>
      <c r="AF172" s="24" t="s">
        <v>201</v>
      </c>
      <c r="AG172" s="24" t="s">
        <v>253</v>
      </c>
      <c r="AH172" s="24">
        <v>96</v>
      </c>
      <c r="AI172" s="25">
        <f>IF(birthdose[[#This Row],[2017]]/100=0, ,birthdose[[#This Row],[2017]]/100)</f>
        <v>0.96</v>
      </c>
      <c r="AK172" s="24" t="s">
        <v>201</v>
      </c>
      <c r="AL172" s="24" t="s">
        <v>254</v>
      </c>
      <c r="AM172" s="24">
        <v>99</v>
      </c>
      <c r="AN172" s="25">
        <f>IF(fullvax[[#This Row],[2017]]/100=0, ,fullvax[[#This Row],[2017]]/100)</f>
        <v>0.99</v>
      </c>
    </row>
    <row r="173" spans="1:73" x14ac:dyDescent="0.35">
      <c r="A173" t="s">
        <v>154</v>
      </c>
      <c r="B173">
        <v>16425578</v>
      </c>
      <c r="C173">
        <v>17064636</v>
      </c>
      <c r="D173">
        <v>17731634</v>
      </c>
      <c r="E173">
        <v>18426372</v>
      </c>
      <c r="F173">
        <v>19148219</v>
      </c>
      <c r="G173">
        <v>19896965</v>
      </c>
      <c r="H173">
        <v>20672987</v>
      </c>
      <c r="I173">
        <v>21477348</v>
      </c>
      <c r="K173" t="s">
        <v>154</v>
      </c>
      <c r="L173">
        <v>48.136000000000003</v>
      </c>
      <c r="M173">
        <f>birthrate[[#This Row],[2016]]/1000</f>
        <v>4.8136000000000005E-2</v>
      </c>
      <c r="S173" t="s">
        <v>213</v>
      </c>
      <c r="T173">
        <v>2015</v>
      </c>
      <c r="U173">
        <v>99.9</v>
      </c>
      <c r="V173">
        <f>SBA[[#This Row],[SBA (%)]]/100</f>
        <v>0.99900000000000011</v>
      </c>
      <c r="AF173" s="24" t="s">
        <v>202</v>
      </c>
      <c r="AG173" s="24" t="s">
        <v>253</v>
      </c>
      <c r="AH173" s="24">
        <v>98</v>
      </c>
      <c r="AI173" s="25">
        <f>IF(birthdose[[#This Row],[2017]]/100=0, ,birthdose[[#This Row],[2017]]/100)</f>
        <v>0.98</v>
      </c>
      <c r="AK173" s="24" t="s">
        <v>202</v>
      </c>
      <c r="AL173" s="24" t="s">
        <v>254</v>
      </c>
      <c r="AM173" s="24">
        <v>91</v>
      </c>
      <c r="AN173" s="25">
        <f>IF(fullvax[[#This Row],[2017]]/100=0, ,fullvax[[#This Row],[2017]]/100)</f>
        <v>0.91</v>
      </c>
    </row>
    <row r="174" spans="1:73" x14ac:dyDescent="0.35">
      <c r="A174" t="s">
        <v>155</v>
      </c>
      <c r="B174">
        <v>158578261</v>
      </c>
      <c r="C174">
        <v>162877076</v>
      </c>
      <c r="D174">
        <v>167297284</v>
      </c>
      <c r="E174">
        <v>171829303</v>
      </c>
      <c r="F174">
        <v>176460502</v>
      </c>
      <c r="G174">
        <v>181181744</v>
      </c>
      <c r="H174">
        <v>185989640</v>
      </c>
      <c r="I174">
        <v>190886311</v>
      </c>
      <c r="K174" t="s">
        <v>155</v>
      </c>
      <c r="L174">
        <v>38.887</v>
      </c>
      <c r="M174">
        <f>birthrate[[#This Row],[2016]]/1000</f>
        <v>3.8886999999999998E-2</v>
      </c>
      <c r="S174" t="s">
        <v>215</v>
      </c>
      <c r="T174" t="s">
        <v>258</v>
      </c>
      <c r="U174">
        <v>63.5</v>
      </c>
      <c r="V174">
        <f>SBA[[#This Row],[SBA (%)]]/100</f>
        <v>0.63500000000000001</v>
      </c>
      <c r="AF174" s="24" t="s">
        <v>203</v>
      </c>
      <c r="AG174" s="24" t="s">
        <v>253</v>
      </c>
      <c r="AH174" s="24">
        <v>47</v>
      </c>
      <c r="AI174" s="25">
        <f>IF(birthdose[[#This Row],[2017]]/100=0, ,birthdose[[#This Row],[2017]]/100)</f>
        <v>0.47</v>
      </c>
      <c r="AK174" s="24" t="s">
        <v>203</v>
      </c>
      <c r="AL174" s="24" t="s">
        <v>254</v>
      </c>
      <c r="AM174" s="24">
        <v>76</v>
      </c>
      <c r="AN174" s="25">
        <f>IF(fullvax[[#This Row],[2017]]/100=0, ,fullvax[[#This Row],[2017]]/100)</f>
        <v>0.76</v>
      </c>
    </row>
    <row r="175" spans="1:73" x14ac:dyDescent="0.35">
      <c r="A175" t="s">
        <v>153</v>
      </c>
      <c r="B175">
        <v>5737723</v>
      </c>
      <c r="C175">
        <v>5807820</v>
      </c>
      <c r="D175">
        <v>5877108</v>
      </c>
      <c r="E175">
        <v>5945747</v>
      </c>
      <c r="F175">
        <v>6013997</v>
      </c>
      <c r="G175">
        <v>6082035</v>
      </c>
      <c r="H175">
        <v>6149928</v>
      </c>
      <c r="I175">
        <v>6217581</v>
      </c>
      <c r="K175" t="s">
        <v>153</v>
      </c>
      <c r="L175">
        <v>19.510999999999999</v>
      </c>
      <c r="M175">
        <f>birthrate[[#This Row],[2016]]/1000</f>
        <v>1.9511000000000001E-2</v>
      </c>
      <c r="S175" t="s">
        <v>216</v>
      </c>
      <c r="T175">
        <v>2015</v>
      </c>
      <c r="U175">
        <v>99.1</v>
      </c>
      <c r="V175">
        <f>SBA[[#This Row],[SBA (%)]]/100</f>
        <v>0.99099999999999999</v>
      </c>
      <c r="AF175" s="24" t="s">
        <v>204</v>
      </c>
      <c r="AG175" s="24" t="s">
        <v>253</v>
      </c>
      <c r="AH175" s="24"/>
      <c r="AI175" s="25">
        <f>IF(birthdose[[#This Row],[2017]]/100=0, ,birthdose[[#This Row],[2017]]/100)</f>
        <v>0</v>
      </c>
      <c r="AK175" s="24" t="s">
        <v>204</v>
      </c>
      <c r="AL175" s="24" t="s">
        <v>254</v>
      </c>
      <c r="AM175" s="24">
        <v>90</v>
      </c>
      <c r="AN175" s="25">
        <f>IF(fullvax[[#This Row],[2017]]/100=0, ,fullvax[[#This Row],[2017]]/100)</f>
        <v>0.9</v>
      </c>
    </row>
    <row r="176" spans="1:73" x14ac:dyDescent="0.35">
      <c r="A176" t="s">
        <v>151</v>
      </c>
      <c r="B176">
        <v>16615394</v>
      </c>
      <c r="C176">
        <v>16693074</v>
      </c>
      <c r="D176">
        <v>16754962</v>
      </c>
      <c r="E176">
        <v>16804432</v>
      </c>
      <c r="F176">
        <v>16865008</v>
      </c>
      <c r="G176">
        <v>16939923</v>
      </c>
      <c r="H176">
        <v>17030314</v>
      </c>
      <c r="I176">
        <v>17132854</v>
      </c>
      <c r="K176" t="s">
        <v>151</v>
      </c>
      <c r="L176">
        <v>10.1</v>
      </c>
      <c r="M176">
        <f>birthrate[[#This Row],[2016]]/1000</f>
        <v>1.01E-2</v>
      </c>
      <c r="S176" t="s">
        <v>217</v>
      </c>
      <c r="T176">
        <v>2014</v>
      </c>
      <c r="U176">
        <v>99.9</v>
      </c>
      <c r="V176">
        <f>SBA[[#This Row],[SBA (%)]]/100</f>
        <v>0.99900000000000011</v>
      </c>
      <c r="AF176" s="24" t="s">
        <v>205</v>
      </c>
      <c r="AG176" s="24" t="s">
        <v>253</v>
      </c>
      <c r="AH176" s="24">
        <v>88</v>
      </c>
      <c r="AI176" s="25">
        <f>IF(birthdose[[#This Row],[2017]]/100=0, ,birthdose[[#This Row],[2017]]/100)</f>
        <v>0.88</v>
      </c>
      <c r="AK176" s="24" t="s">
        <v>205</v>
      </c>
      <c r="AL176" s="24" t="s">
        <v>254</v>
      </c>
      <c r="AM176" s="24">
        <v>81</v>
      </c>
      <c r="AN176" s="25">
        <f>IF(fullvax[[#This Row],[2017]]/100=0, ,fullvax[[#This Row],[2017]]/100)</f>
        <v>0.81</v>
      </c>
    </row>
    <row r="177" spans="1:40" x14ac:dyDescent="0.35">
      <c r="A177" t="s">
        <v>157</v>
      </c>
      <c r="B177">
        <v>4889252</v>
      </c>
      <c r="C177">
        <v>4953088</v>
      </c>
      <c r="D177">
        <v>5018573</v>
      </c>
      <c r="E177">
        <v>5079623</v>
      </c>
      <c r="F177">
        <v>5137232</v>
      </c>
      <c r="G177">
        <v>5190239</v>
      </c>
      <c r="H177">
        <v>5234519</v>
      </c>
      <c r="I177">
        <v>5282223</v>
      </c>
      <c r="K177" t="s">
        <v>157</v>
      </c>
      <c r="L177">
        <v>11.2</v>
      </c>
      <c r="M177">
        <f>birthrate[[#This Row],[2016]]/1000</f>
        <v>1.12E-2</v>
      </c>
      <c r="S177" t="s">
        <v>218</v>
      </c>
      <c r="T177">
        <v>2015</v>
      </c>
      <c r="U177">
        <v>99.99</v>
      </c>
      <c r="V177">
        <f>SBA[[#This Row],[SBA (%)]]/100</f>
        <v>0.9998999999999999</v>
      </c>
      <c r="AF177" s="24" t="s">
        <v>206</v>
      </c>
      <c r="AG177" s="24" t="s">
        <v>253</v>
      </c>
      <c r="AH177" s="24"/>
      <c r="AI177" s="25">
        <f>IF(birthdose[[#This Row],[2017]]/100=0, ,birthdose[[#This Row],[2017]]/100)</f>
        <v>0</v>
      </c>
      <c r="AK177" s="24" t="s">
        <v>206</v>
      </c>
      <c r="AL177" s="24" t="s">
        <v>254</v>
      </c>
      <c r="AM177" s="24">
        <v>89</v>
      </c>
      <c r="AN177" s="25">
        <f>IF(fullvax[[#This Row],[2017]]/100=0, ,fullvax[[#This Row],[2017]]/100)</f>
        <v>0.89</v>
      </c>
    </row>
    <row r="178" spans="1:40" x14ac:dyDescent="0.35">
      <c r="A178" t="s">
        <v>150</v>
      </c>
      <c r="B178">
        <v>27023137</v>
      </c>
      <c r="C178">
        <v>27327147</v>
      </c>
      <c r="D178">
        <v>27649925</v>
      </c>
      <c r="E178">
        <v>27985310</v>
      </c>
      <c r="F178">
        <v>28323241</v>
      </c>
      <c r="G178">
        <v>28656282</v>
      </c>
      <c r="H178">
        <v>28982771</v>
      </c>
      <c r="I178">
        <v>29304998</v>
      </c>
      <c r="K178" t="s">
        <v>150</v>
      </c>
      <c r="L178">
        <v>19.71</v>
      </c>
      <c r="M178">
        <f>birthrate[[#This Row],[2016]]/1000</f>
        <v>1.9710000000000002E-2</v>
      </c>
      <c r="S178" t="s">
        <v>219</v>
      </c>
      <c r="T178" t="s">
        <v>293</v>
      </c>
      <c r="U178">
        <v>89.4</v>
      </c>
      <c r="V178">
        <f>SBA[[#This Row],[SBA (%)]]/100</f>
        <v>0.89400000000000002</v>
      </c>
      <c r="AF178" s="24" t="s">
        <v>207</v>
      </c>
      <c r="AG178" s="24" t="s">
        <v>253</v>
      </c>
      <c r="AH178" s="24">
        <v>83</v>
      </c>
      <c r="AI178" s="25">
        <f>IF(birthdose[[#This Row],[2017]]/100=0, ,birthdose[[#This Row],[2017]]/100)</f>
        <v>0.83</v>
      </c>
      <c r="AK178" s="24" t="s">
        <v>207</v>
      </c>
      <c r="AL178" s="24" t="s">
        <v>254</v>
      </c>
      <c r="AM178" s="24">
        <v>98</v>
      </c>
      <c r="AN178" s="25">
        <f>IF(fullvax[[#This Row],[2017]]/100=0, ,fullvax[[#This Row],[2017]]/100)</f>
        <v>0.98</v>
      </c>
    </row>
    <row r="179" spans="1:40" x14ac:dyDescent="0.35">
      <c r="A179" t="s">
        <v>149</v>
      </c>
      <c r="B179">
        <v>10025</v>
      </c>
      <c r="C179">
        <v>10057</v>
      </c>
      <c r="D179">
        <v>10279</v>
      </c>
      <c r="E179">
        <v>10821</v>
      </c>
      <c r="F179">
        <v>11853</v>
      </c>
      <c r="G179">
        <v>12475</v>
      </c>
      <c r="H179">
        <v>13049</v>
      </c>
      <c r="I179">
        <v>13649</v>
      </c>
      <c r="K179" t="s">
        <v>149</v>
      </c>
      <c r="L179">
        <v>24</v>
      </c>
      <c r="M179">
        <f>birthrate[[#This Row],[2016]]/1000</f>
        <v>2.4E-2</v>
      </c>
      <c r="S179" t="s">
        <v>220</v>
      </c>
      <c r="T179">
        <v>2016</v>
      </c>
      <c r="U179">
        <v>96.2</v>
      </c>
      <c r="V179">
        <f>SBA[[#This Row],[SBA (%)]]/100</f>
        <v>0.96200000000000008</v>
      </c>
      <c r="AF179" s="24" t="s">
        <v>208</v>
      </c>
      <c r="AG179" s="24" t="s">
        <v>253</v>
      </c>
      <c r="AH179" s="24">
        <v>99</v>
      </c>
      <c r="AI179" s="25">
        <f>IF(birthdose[[#This Row],[2017]]/100=0, ,birthdose[[#This Row],[2017]]/100)</f>
        <v>0.99</v>
      </c>
      <c r="AK179" s="24" t="s">
        <v>208</v>
      </c>
      <c r="AL179" s="24" t="s">
        <v>254</v>
      </c>
      <c r="AM179" s="24">
        <v>96</v>
      </c>
      <c r="AN179" s="25">
        <f>IF(fullvax[[#This Row],[2017]]/100=0, ,fullvax[[#This Row],[2017]]/100)</f>
        <v>0.96</v>
      </c>
    </row>
    <row r="180" spans="1:40" x14ac:dyDescent="0.35">
      <c r="A180" t="s">
        <v>152</v>
      </c>
      <c r="B180">
        <v>4350700</v>
      </c>
      <c r="C180">
        <v>4384000</v>
      </c>
      <c r="D180">
        <v>4408100</v>
      </c>
      <c r="E180">
        <v>4442100</v>
      </c>
      <c r="F180">
        <v>4509700</v>
      </c>
      <c r="G180">
        <v>4595700</v>
      </c>
      <c r="H180">
        <v>4693200</v>
      </c>
      <c r="I180">
        <v>4793900</v>
      </c>
      <c r="K180" t="s">
        <v>152</v>
      </c>
      <c r="L180">
        <v>12.65</v>
      </c>
      <c r="M180">
        <f>birthrate[[#This Row],[2016]]/1000</f>
        <v>1.265E-2</v>
      </c>
      <c r="S180" t="s">
        <v>221</v>
      </c>
      <c r="T180" t="s">
        <v>349</v>
      </c>
      <c r="U180">
        <v>93.8</v>
      </c>
      <c r="V180">
        <f>SBA[[#This Row],[SBA (%)]]/100</f>
        <v>0.93799999999999994</v>
      </c>
      <c r="AF180" s="24" t="s">
        <v>209</v>
      </c>
      <c r="AG180" s="24" t="s">
        <v>253</v>
      </c>
      <c r="AH180" s="24">
        <v>99</v>
      </c>
      <c r="AI180" s="25">
        <f>IF(birthdose[[#This Row],[2017]]/100=0, ,birthdose[[#This Row],[2017]]/100)</f>
        <v>0.99</v>
      </c>
      <c r="AK180" s="24" t="s">
        <v>209</v>
      </c>
      <c r="AL180" s="24" t="s">
        <v>254</v>
      </c>
      <c r="AM180" s="24">
        <v>99</v>
      </c>
      <c r="AN180" s="25">
        <f>IF(fullvax[[#This Row],[2017]]/100=0, ,fullvax[[#This Row],[2017]]/100)</f>
        <v>0.99</v>
      </c>
    </row>
    <row r="181" spans="1:40" x14ac:dyDescent="0.35">
      <c r="A181" t="s">
        <v>350</v>
      </c>
      <c r="B181">
        <v>1245479028</v>
      </c>
      <c r="C181">
        <v>1251781641</v>
      </c>
      <c r="D181">
        <v>1259608786</v>
      </c>
      <c r="E181">
        <v>1267734036</v>
      </c>
      <c r="F181">
        <v>1276165062</v>
      </c>
      <c r="G181">
        <v>1284497900</v>
      </c>
      <c r="H181">
        <v>1292855641</v>
      </c>
      <c r="I181">
        <v>1300865255</v>
      </c>
      <c r="K181" t="s">
        <v>350</v>
      </c>
      <c r="L181">
        <v>11.708258525995014</v>
      </c>
      <c r="M181">
        <f>birthrate[[#This Row],[2016]]/1000</f>
        <v>1.1708258525995014E-2</v>
      </c>
      <c r="S181" t="s">
        <v>222</v>
      </c>
      <c r="T181" t="s">
        <v>293</v>
      </c>
      <c r="U181">
        <v>44.7</v>
      </c>
      <c r="V181">
        <f>SBA[[#This Row],[SBA (%)]]/100</f>
        <v>0.44700000000000001</v>
      </c>
      <c r="AF181" s="24" t="s">
        <v>210</v>
      </c>
      <c r="AG181" s="24" t="s">
        <v>253</v>
      </c>
      <c r="AH181" s="24">
        <v>99</v>
      </c>
      <c r="AI181" s="25">
        <f>IF(birthdose[[#This Row],[2017]]/100=0, ,birthdose[[#This Row],[2017]]/100)</f>
        <v>0.99</v>
      </c>
      <c r="AK181" s="24" t="s">
        <v>210</v>
      </c>
      <c r="AL181" s="24" t="s">
        <v>254</v>
      </c>
      <c r="AM181" s="24">
        <v>96</v>
      </c>
      <c r="AN181" s="25">
        <f>IF(fullvax[[#This Row],[2017]]/100=0, ,fullvax[[#This Row],[2017]]/100)</f>
        <v>0.96</v>
      </c>
    </row>
    <row r="182" spans="1:40" x14ac:dyDescent="0.35">
      <c r="A182" t="s">
        <v>158</v>
      </c>
      <c r="B182">
        <v>3041460</v>
      </c>
      <c r="C182">
        <v>3237268</v>
      </c>
      <c r="D182">
        <v>3464644</v>
      </c>
      <c r="E182">
        <v>3711481</v>
      </c>
      <c r="F182">
        <v>3960925</v>
      </c>
      <c r="G182">
        <v>4199810</v>
      </c>
      <c r="H182">
        <v>4424762</v>
      </c>
      <c r="I182">
        <v>4636262</v>
      </c>
      <c r="K182" t="s">
        <v>158</v>
      </c>
      <c r="L182">
        <v>18.731999999999999</v>
      </c>
      <c r="M182">
        <f>birthrate[[#This Row],[2016]]/1000</f>
        <v>1.8731999999999999E-2</v>
      </c>
      <c r="S182" t="s">
        <v>224</v>
      </c>
      <c r="T182" t="s">
        <v>280</v>
      </c>
      <c r="U182">
        <v>63.3</v>
      </c>
      <c r="V182">
        <f>SBA[[#This Row],[SBA (%)]]/100</f>
        <v>0.63300000000000001</v>
      </c>
      <c r="AF182" s="24" t="s">
        <v>211</v>
      </c>
      <c r="AG182" s="24" t="s">
        <v>253</v>
      </c>
      <c r="AH182" s="24"/>
      <c r="AI182" s="25">
        <f>IF(birthdose[[#This Row],[2017]]/100=0, ,birthdose[[#This Row],[2017]]/100)</f>
        <v>0</v>
      </c>
      <c r="AK182" s="24" t="s">
        <v>211</v>
      </c>
      <c r="AL182" s="24" t="s">
        <v>254</v>
      </c>
      <c r="AM182" s="24">
        <v>85</v>
      </c>
      <c r="AN182" s="25">
        <f>IF(fullvax[[#This Row],[2017]]/100=0, ,fullvax[[#This Row],[2017]]/100)</f>
        <v>0.85</v>
      </c>
    </row>
    <row r="183" spans="1:40" x14ac:dyDescent="0.35">
      <c r="A183" t="s">
        <v>351</v>
      </c>
      <c r="B183">
        <v>26267053</v>
      </c>
      <c r="C183">
        <v>26900149</v>
      </c>
      <c r="D183">
        <v>27529595</v>
      </c>
      <c r="E183">
        <v>28153079</v>
      </c>
      <c r="F183">
        <v>28774019</v>
      </c>
      <c r="G183">
        <v>29396503</v>
      </c>
      <c r="H183">
        <v>30012500</v>
      </c>
      <c r="I183">
        <v>30621014</v>
      </c>
      <c r="K183" t="s">
        <v>351</v>
      </c>
      <c r="L183">
        <v>23.883277308754689</v>
      </c>
      <c r="M183">
        <f>birthrate[[#This Row],[2016]]/1000</f>
        <v>2.388327730875469E-2</v>
      </c>
      <c r="S183" t="s">
        <v>225</v>
      </c>
      <c r="T183" t="s">
        <v>267</v>
      </c>
      <c r="U183">
        <v>78.099999999999994</v>
      </c>
      <c r="V183">
        <f>SBA[[#This Row],[SBA (%)]]/100</f>
        <v>0.78099999999999992</v>
      </c>
      <c r="AF183" s="24" t="s">
        <v>212</v>
      </c>
      <c r="AG183" s="24" t="s">
        <v>253</v>
      </c>
      <c r="AH183" s="24">
        <v>49</v>
      </c>
      <c r="AI183" s="25">
        <f>IF(birthdose[[#This Row],[2017]]/100=0, ,birthdose[[#This Row],[2017]]/100)</f>
        <v>0.49</v>
      </c>
      <c r="AK183" s="24" t="s">
        <v>212</v>
      </c>
      <c r="AL183" s="24" t="s">
        <v>254</v>
      </c>
      <c r="AM183" s="24">
        <v>52</v>
      </c>
      <c r="AN183" s="25">
        <f>IF(fullvax[[#This Row],[2017]]/100=0, ,fullvax[[#This Row],[2017]]/100)</f>
        <v>0.52</v>
      </c>
    </row>
    <row r="184" spans="1:40" x14ac:dyDescent="0.35">
      <c r="A184" t="s">
        <v>159</v>
      </c>
      <c r="B184">
        <v>170560182</v>
      </c>
      <c r="C184">
        <v>174184265</v>
      </c>
      <c r="D184">
        <v>177911533</v>
      </c>
      <c r="E184">
        <v>181712595</v>
      </c>
      <c r="F184">
        <v>185546257</v>
      </c>
      <c r="G184">
        <v>189380513</v>
      </c>
      <c r="H184">
        <v>193203476</v>
      </c>
      <c r="I184">
        <v>197015955</v>
      </c>
      <c r="K184" t="s">
        <v>159</v>
      </c>
      <c r="L184">
        <v>28.233000000000001</v>
      </c>
      <c r="M184">
        <f>birthrate[[#This Row],[2016]]/1000</f>
        <v>2.8233000000000001E-2</v>
      </c>
      <c r="AF184" s="29" t="s">
        <v>213</v>
      </c>
      <c r="AG184" s="24" t="s">
        <v>253</v>
      </c>
      <c r="AH184" s="24">
        <v>97</v>
      </c>
      <c r="AI184" s="25">
        <f>IF(birthdose[[#This Row],[2017]]/100=0, ,birthdose[[#This Row],[2017]]/100)</f>
        <v>0.97</v>
      </c>
      <c r="AK184" s="29" t="s">
        <v>213</v>
      </c>
      <c r="AL184" s="24" t="s">
        <v>254</v>
      </c>
      <c r="AM184" s="24">
        <v>98</v>
      </c>
      <c r="AN184" s="25">
        <f>IF(fullvax[[#This Row],[2017]]/100=0, ,fullvax[[#This Row],[2017]]/100)</f>
        <v>0.98</v>
      </c>
    </row>
    <row r="185" spans="1:40" x14ac:dyDescent="0.35">
      <c r="A185" t="s">
        <v>161</v>
      </c>
      <c r="B185">
        <v>3643222</v>
      </c>
      <c r="C185">
        <v>3707782</v>
      </c>
      <c r="D185">
        <v>3772938</v>
      </c>
      <c r="E185">
        <v>3838462</v>
      </c>
      <c r="F185">
        <v>3903986</v>
      </c>
      <c r="G185">
        <v>3969249</v>
      </c>
      <c r="H185">
        <v>4034119</v>
      </c>
      <c r="I185">
        <v>4098587</v>
      </c>
      <c r="K185" t="s">
        <v>161</v>
      </c>
      <c r="L185">
        <v>19.533000000000001</v>
      </c>
      <c r="M185">
        <f>birthrate[[#This Row],[2016]]/1000</f>
        <v>1.9533000000000002E-2</v>
      </c>
      <c r="AF185" s="29" t="s">
        <v>214</v>
      </c>
      <c r="AG185" s="24" t="s">
        <v>253</v>
      </c>
      <c r="AH185" s="24"/>
      <c r="AI185" s="25">
        <f>IF(birthdose[[#This Row],[2017]]/100=0, ,birthdose[[#This Row],[2017]]/100)</f>
        <v>0</v>
      </c>
      <c r="AK185" s="29" t="s">
        <v>214</v>
      </c>
      <c r="AL185" s="24" t="s">
        <v>254</v>
      </c>
      <c r="AM185" s="24"/>
      <c r="AN185" s="25">
        <f>IF(fullvax[[#This Row],[2017]]/100=0, ,fullvax[[#This Row],[2017]]/100)</f>
        <v>0</v>
      </c>
    </row>
    <row r="186" spans="1:40" x14ac:dyDescent="0.35">
      <c r="A186" t="s">
        <v>164</v>
      </c>
      <c r="B186">
        <v>29373646</v>
      </c>
      <c r="C186">
        <v>29759989</v>
      </c>
      <c r="D186">
        <v>30158966</v>
      </c>
      <c r="E186">
        <v>30565716</v>
      </c>
      <c r="F186">
        <v>30973354</v>
      </c>
      <c r="G186">
        <v>31376671</v>
      </c>
      <c r="H186">
        <v>31773839</v>
      </c>
      <c r="I186">
        <v>32165485</v>
      </c>
      <c r="K186" t="s">
        <v>164</v>
      </c>
      <c r="L186">
        <v>19.280999999999999</v>
      </c>
      <c r="M186">
        <f>birthrate[[#This Row],[2016]]/1000</f>
        <v>1.9281E-2</v>
      </c>
      <c r="AF186" s="24" t="s">
        <v>215</v>
      </c>
      <c r="AG186" s="24" t="s">
        <v>253</v>
      </c>
      <c r="AH186" s="24"/>
      <c r="AI186" s="25">
        <f>IF(birthdose[[#This Row],[2017]]/100=0, ,birthdose[[#This Row],[2017]]/100)</f>
        <v>0</v>
      </c>
      <c r="AK186" s="24" t="s">
        <v>215</v>
      </c>
      <c r="AL186" s="24" t="s">
        <v>254</v>
      </c>
      <c r="AM186" s="24">
        <v>97</v>
      </c>
      <c r="AN186" s="25">
        <f>IF(fullvax[[#This Row],[2017]]/100=0, ,fullvax[[#This Row],[2017]]/100)</f>
        <v>0.97</v>
      </c>
    </row>
    <row r="187" spans="1:40" ht="15" thickBot="1" x14ac:dyDescent="0.4">
      <c r="A187" t="s">
        <v>165</v>
      </c>
      <c r="B187">
        <v>93726624</v>
      </c>
      <c r="C187">
        <v>95277940</v>
      </c>
      <c r="D187">
        <v>96866642</v>
      </c>
      <c r="E187">
        <v>98481032</v>
      </c>
      <c r="F187">
        <v>100102249</v>
      </c>
      <c r="G187">
        <v>101716359</v>
      </c>
      <c r="H187">
        <v>103320222</v>
      </c>
      <c r="I187">
        <v>104918090</v>
      </c>
      <c r="K187" t="s">
        <v>165</v>
      </c>
      <c r="L187">
        <v>23.21</v>
      </c>
      <c r="M187">
        <f>birthrate[[#This Row],[2016]]/1000</f>
        <v>2.3210000000000001E-2</v>
      </c>
      <c r="AF187" s="38" t="s">
        <v>216</v>
      </c>
      <c r="AG187" s="24" t="s">
        <v>253</v>
      </c>
      <c r="AH187" s="24">
        <v>64</v>
      </c>
      <c r="AI187" s="25">
        <f>IF(birthdose[[#This Row],[2017]]/100=0, ,birthdose[[#This Row],[2017]]/100)</f>
        <v>0.64</v>
      </c>
      <c r="AK187" s="38" t="s">
        <v>216</v>
      </c>
      <c r="AL187" s="24" t="s">
        <v>254</v>
      </c>
      <c r="AM187" s="24">
        <v>93</v>
      </c>
      <c r="AN187" s="25">
        <f>IF(fullvax[[#This Row],[2017]]/100=0, ,fullvax[[#This Row],[2017]]/100)</f>
        <v>0.93</v>
      </c>
    </row>
    <row r="188" spans="1:40" x14ac:dyDescent="0.35">
      <c r="A188" t="s">
        <v>160</v>
      </c>
      <c r="B188">
        <v>20470</v>
      </c>
      <c r="C188">
        <v>20599</v>
      </c>
      <c r="D188">
        <v>20758</v>
      </c>
      <c r="E188">
        <v>20920</v>
      </c>
      <c r="F188">
        <v>21094</v>
      </c>
      <c r="G188">
        <v>21288</v>
      </c>
      <c r="H188">
        <v>21503</v>
      </c>
      <c r="I188">
        <v>21729</v>
      </c>
      <c r="K188" t="s">
        <v>160</v>
      </c>
      <c r="L188">
        <v>12</v>
      </c>
      <c r="M188">
        <f>birthrate[[#This Row],[2016]]/1000</f>
        <v>1.2E-2</v>
      </c>
      <c r="AF188" s="24" t="s">
        <v>217</v>
      </c>
      <c r="AG188" s="24" t="s">
        <v>253</v>
      </c>
      <c r="AH188" s="24"/>
      <c r="AI188" s="25">
        <f>IF(birthdose[[#This Row],[2017]]/100=0, ,birthdose[[#This Row],[2017]]/100)</f>
        <v>0</v>
      </c>
      <c r="AK188" s="24" t="s">
        <v>217</v>
      </c>
      <c r="AL188" s="24" t="s">
        <v>254</v>
      </c>
      <c r="AM188" s="24">
        <v>95</v>
      </c>
      <c r="AN188" s="25">
        <f>IF(fullvax[[#This Row],[2017]]/100=0, ,fullvax[[#This Row],[2017]]/100)</f>
        <v>0.95</v>
      </c>
    </row>
    <row r="189" spans="1:40" x14ac:dyDescent="0.35">
      <c r="A189" t="s">
        <v>162</v>
      </c>
      <c r="B189">
        <v>7108239</v>
      </c>
      <c r="C189">
        <v>7269348</v>
      </c>
      <c r="D189">
        <v>7430836</v>
      </c>
      <c r="E189">
        <v>7592865</v>
      </c>
      <c r="F189">
        <v>7755785</v>
      </c>
      <c r="G189">
        <v>7919825</v>
      </c>
      <c r="H189">
        <v>8084991</v>
      </c>
      <c r="I189">
        <v>8251162</v>
      </c>
      <c r="K189" t="s">
        <v>162</v>
      </c>
      <c r="L189">
        <v>27.606000000000002</v>
      </c>
      <c r="M189">
        <f>birthrate[[#This Row],[2016]]/1000</f>
        <v>2.7606000000000002E-2</v>
      </c>
      <c r="AF189" s="24" t="s">
        <v>218</v>
      </c>
      <c r="AG189" s="24" t="s">
        <v>253</v>
      </c>
      <c r="AH189" s="24">
        <v>99</v>
      </c>
      <c r="AI189" s="25">
        <f>IF(birthdose[[#This Row],[2017]]/100=0, ,birthdose[[#This Row],[2017]]/100)</f>
        <v>0.99</v>
      </c>
      <c r="AK189" s="24" t="s">
        <v>218</v>
      </c>
      <c r="AL189" s="24" t="s">
        <v>254</v>
      </c>
      <c r="AM189" s="24">
        <v>99</v>
      </c>
      <c r="AN189" s="25">
        <f>IF(fullvax[[#This Row],[2017]]/100=0, ,fullvax[[#This Row],[2017]]/100)</f>
        <v>0.99</v>
      </c>
    </row>
    <row r="190" spans="1:40" x14ac:dyDescent="0.35">
      <c r="A190" t="s">
        <v>166</v>
      </c>
      <c r="B190">
        <v>38042794</v>
      </c>
      <c r="C190">
        <v>38063255</v>
      </c>
      <c r="D190">
        <v>38063164</v>
      </c>
      <c r="E190">
        <v>38040196</v>
      </c>
      <c r="F190">
        <v>38011735</v>
      </c>
      <c r="G190">
        <v>37986412</v>
      </c>
      <c r="H190">
        <v>37970087</v>
      </c>
      <c r="I190">
        <v>37975841</v>
      </c>
      <c r="K190" t="s">
        <v>166</v>
      </c>
      <c r="L190">
        <v>10.1</v>
      </c>
      <c r="M190">
        <f>birthrate[[#This Row],[2016]]/1000</f>
        <v>1.01E-2</v>
      </c>
      <c r="AF190" s="24" t="s">
        <v>219</v>
      </c>
      <c r="AG190" s="24" t="s">
        <v>253</v>
      </c>
      <c r="AH190" s="24"/>
      <c r="AI190" s="25">
        <f>IF(birthdose[[#This Row],[2017]]/100=0, ,birthdose[[#This Row],[2017]]/100)</f>
        <v>0</v>
      </c>
      <c r="AK190" s="24" t="s">
        <v>219</v>
      </c>
      <c r="AL190" s="24" t="s">
        <v>254</v>
      </c>
      <c r="AM190" s="24">
        <v>85</v>
      </c>
      <c r="AN190" s="25">
        <f>IF(fullvax[[#This Row],[2017]]/100=0, ,fullvax[[#This Row],[2017]]/100)</f>
        <v>0.85</v>
      </c>
    </row>
    <row r="191" spans="1:40" x14ac:dyDescent="0.35">
      <c r="A191" t="s">
        <v>352</v>
      </c>
      <c r="B191">
        <v>739082260</v>
      </c>
      <c r="C191">
        <v>760942116</v>
      </c>
      <c r="D191">
        <v>783505835</v>
      </c>
      <c r="E191">
        <v>806705375</v>
      </c>
      <c r="F191">
        <v>830442736</v>
      </c>
      <c r="G191">
        <v>854646007</v>
      </c>
      <c r="H191">
        <v>879292453</v>
      </c>
      <c r="I191">
        <v>904399841</v>
      </c>
      <c r="K191" t="s">
        <v>352</v>
      </c>
      <c r="L191">
        <v>37.997831356877356</v>
      </c>
      <c r="M191">
        <f>birthrate[[#This Row],[2016]]/1000</f>
        <v>3.7997831356877357E-2</v>
      </c>
      <c r="AF191" s="24" t="s">
        <v>220</v>
      </c>
      <c r="AG191" s="24" t="s">
        <v>253</v>
      </c>
      <c r="AH191" s="24">
        <v>56</v>
      </c>
      <c r="AI191" s="25">
        <f>IF(birthdose[[#This Row],[2017]]/100=0, ,birthdose[[#This Row],[2017]]/100)</f>
        <v>0.56000000000000005</v>
      </c>
      <c r="AK191" s="24" t="s">
        <v>220</v>
      </c>
      <c r="AL191" s="24" t="s">
        <v>254</v>
      </c>
      <c r="AM191" s="24">
        <v>84</v>
      </c>
      <c r="AN191" s="25">
        <f>IF(fullvax[[#This Row],[2017]]/100=0, ,fullvax[[#This Row],[2017]]/100)</f>
        <v>0.84</v>
      </c>
    </row>
    <row r="192" spans="1:40" x14ac:dyDescent="0.35">
      <c r="A192" t="s">
        <v>353</v>
      </c>
      <c r="B192">
        <v>3721525</v>
      </c>
      <c r="C192">
        <v>3678732</v>
      </c>
      <c r="D192">
        <v>3634488</v>
      </c>
      <c r="E192">
        <v>3593077</v>
      </c>
      <c r="F192">
        <v>3534874</v>
      </c>
      <c r="G192">
        <v>3473177</v>
      </c>
      <c r="H192">
        <v>3406520</v>
      </c>
      <c r="I192">
        <v>3337177</v>
      </c>
      <c r="K192" t="s">
        <v>353</v>
      </c>
      <c r="L192">
        <v>9</v>
      </c>
      <c r="M192">
        <f>birthrate[[#This Row],[2016]]/1000</f>
        <v>8.9999999999999993E-3</v>
      </c>
      <c r="AF192" s="24" t="s">
        <v>221</v>
      </c>
      <c r="AG192" s="24" t="s">
        <v>253</v>
      </c>
      <c r="AH192" s="24">
        <v>77</v>
      </c>
      <c r="AI192" s="25">
        <f>IF(birthdose[[#This Row],[2017]]/100=0, ,birthdose[[#This Row],[2017]]/100)</f>
        <v>0.77</v>
      </c>
      <c r="AK192" s="24" t="s">
        <v>221</v>
      </c>
      <c r="AL192" s="24" t="s">
        <v>254</v>
      </c>
      <c r="AM192" s="24">
        <v>94</v>
      </c>
      <c r="AN192" s="25">
        <f>IF(fullvax[[#This Row],[2017]]/100=0, ,fullvax[[#This Row],[2017]]/100)</f>
        <v>0.94</v>
      </c>
    </row>
    <row r="193" spans="1:40" x14ac:dyDescent="0.35">
      <c r="A193" s="8" t="s">
        <v>76</v>
      </c>
      <c r="B193">
        <v>24591599</v>
      </c>
      <c r="C193">
        <v>24722298</v>
      </c>
      <c r="D193">
        <v>24854034</v>
      </c>
      <c r="E193">
        <v>24985976</v>
      </c>
      <c r="F193">
        <v>25116363</v>
      </c>
      <c r="G193">
        <v>25243917</v>
      </c>
      <c r="H193">
        <v>25368620</v>
      </c>
      <c r="I193">
        <v>25490965</v>
      </c>
      <c r="K193" s="8" t="s">
        <v>76</v>
      </c>
      <c r="L193">
        <v>13.834</v>
      </c>
      <c r="M193">
        <f>birthrate[[#This Row],[2016]]/1000</f>
        <v>1.3833999999999999E-2</v>
      </c>
      <c r="AF193" s="24" t="s">
        <v>222</v>
      </c>
      <c r="AG193" s="24" t="s">
        <v>253</v>
      </c>
      <c r="AH193" s="24"/>
      <c r="AI193" s="25">
        <f>IF(birthdose[[#This Row],[2017]]/100=0, ,birthdose[[#This Row],[2017]]/100)</f>
        <v>0</v>
      </c>
      <c r="AK193" s="24" t="s">
        <v>222</v>
      </c>
      <c r="AL193" s="24" t="s">
        <v>254</v>
      </c>
      <c r="AM193" s="24">
        <v>68</v>
      </c>
      <c r="AN193" s="25">
        <f>IF(fullvax[[#This Row],[2017]]/100=0, ,fullvax[[#This Row],[2017]]/100)</f>
        <v>0.68</v>
      </c>
    </row>
    <row r="194" spans="1:40" x14ac:dyDescent="0.35">
      <c r="A194" t="s">
        <v>167</v>
      </c>
      <c r="B194">
        <v>10573100</v>
      </c>
      <c r="C194">
        <v>10557560</v>
      </c>
      <c r="D194">
        <v>10514844</v>
      </c>
      <c r="E194">
        <v>10457295</v>
      </c>
      <c r="F194">
        <v>10401062</v>
      </c>
      <c r="G194">
        <v>10358076</v>
      </c>
      <c r="H194">
        <v>10325452</v>
      </c>
      <c r="I194">
        <v>10293718</v>
      </c>
      <c r="K194" t="s">
        <v>167</v>
      </c>
      <c r="L194">
        <v>8.4</v>
      </c>
      <c r="M194">
        <f>birthrate[[#This Row],[2016]]/1000</f>
        <v>8.4000000000000012E-3</v>
      </c>
      <c r="AF194" s="24" t="s">
        <v>224</v>
      </c>
      <c r="AG194" s="24" t="s">
        <v>253</v>
      </c>
      <c r="AH194" s="24"/>
      <c r="AI194" s="25">
        <f>IF(birthdose[[#This Row],[2017]]/100=0, ,birthdose[[#This Row],[2017]]/100)</f>
        <v>0</v>
      </c>
      <c r="AK194" s="24" t="s">
        <v>224</v>
      </c>
      <c r="AL194" s="24" t="s">
        <v>254</v>
      </c>
      <c r="AM194" s="24">
        <v>94</v>
      </c>
      <c r="AN194" s="25">
        <f>IF(fullvax[[#This Row],[2017]]/100=0, ,fullvax[[#This Row],[2017]]/100)</f>
        <v>0.94</v>
      </c>
    </row>
    <row r="195" spans="1:40" x14ac:dyDescent="0.35">
      <c r="A195" t="s">
        <v>163</v>
      </c>
      <c r="B195">
        <v>6209877</v>
      </c>
      <c r="C195">
        <v>6293783</v>
      </c>
      <c r="D195">
        <v>6379219</v>
      </c>
      <c r="E195">
        <v>6465740</v>
      </c>
      <c r="F195">
        <v>6552584</v>
      </c>
      <c r="G195">
        <v>6639119</v>
      </c>
      <c r="H195">
        <v>6725308</v>
      </c>
      <c r="I195">
        <v>6811297</v>
      </c>
      <c r="K195" t="s">
        <v>163</v>
      </c>
      <c r="L195">
        <v>20.946999999999999</v>
      </c>
      <c r="M195">
        <f>birthrate[[#This Row],[2016]]/1000</f>
        <v>2.0947E-2</v>
      </c>
      <c r="AF195" s="24" t="s">
        <v>225</v>
      </c>
      <c r="AG195" s="24" t="s">
        <v>253</v>
      </c>
      <c r="AH195" s="24"/>
      <c r="AI195" s="25">
        <f>IF(birthdose[[#This Row],[2017]]/100=0, ,birthdose[[#This Row],[2017]]/100)</f>
        <v>0</v>
      </c>
      <c r="AK195" s="24" t="s">
        <v>225</v>
      </c>
      <c r="AL195" s="24" t="s">
        <v>254</v>
      </c>
      <c r="AM195" s="24">
        <v>89</v>
      </c>
      <c r="AN195" s="25">
        <f>IF(fullvax[[#This Row],[2017]]/100=0, ,fullvax[[#This Row],[2017]]/100)</f>
        <v>0.89</v>
      </c>
    </row>
    <row r="196" spans="1:40" x14ac:dyDescent="0.35">
      <c r="A196" t="s">
        <v>354</v>
      </c>
      <c r="B196">
        <v>3811102</v>
      </c>
      <c r="C196">
        <v>3927051</v>
      </c>
      <c r="D196">
        <v>4046901</v>
      </c>
      <c r="E196">
        <v>4169506</v>
      </c>
      <c r="F196">
        <v>4294682</v>
      </c>
      <c r="G196">
        <v>4422143</v>
      </c>
      <c r="H196">
        <v>4551566</v>
      </c>
      <c r="I196">
        <v>4684777</v>
      </c>
      <c r="K196" t="s">
        <v>354</v>
      </c>
      <c r="L196">
        <v>31.783000000000001</v>
      </c>
      <c r="M196">
        <f>birthrate[[#This Row],[2016]]/1000</f>
        <v>3.1782999999999999E-2</v>
      </c>
    </row>
    <row r="197" spans="1:40" x14ac:dyDescent="0.35">
      <c r="A197" t="s">
        <v>355</v>
      </c>
      <c r="B197">
        <v>2214096</v>
      </c>
      <c r="C197">
        <v>2242763</v>
      </c>
      <c r="D197">
        <v>2271298</v>
      </c>
      <c r="E197">
        <v>2300045</v>
      </c>
      <c r="F197">
        <v>2329458</v>
      </c>
      <c r="G197">
        <v>2358955</v>
      </c>
      <c r="H197">
        <v>2388875</v>
      </c>
      <c r="I197">
        <v>2419188</v>
      </c>
      <c r="K197" t="s">
        <v>355</v>
      </c>
      <c r="L197">
        <v>23.787043951475628</v>
      </c>
      <c r="M197">
        <f>birthrate[[#This Row],[2016]]/1000</f>
        <v>2.3787043951475628E-2</v>
      </c>
    </row>
    <row r="198" spans="1:40" x14ac:dyDescent="0.35">
      <c r="A198" t="s">
        <v>356</v>
      </c>
      <c r="B198">
        <v>1075131208</v>
      </c>
      <c r="C198">
        <v>1078064180</v>
      </c>
      <c r="D198">
        <v>1082727404</v>
      </c>
      <c r="E198">
        <v>1087610209</v>
      </c>
      <c r="F198">
        <v>1092678876</v>
      </c>
      <c r="G198">
        <v>1097735849</v>
      </c>
      <c r="H198">
        <v>1102778565</v>
      </c>
      <c r="I198">
        <v>1107374909</v>
      </c>
      <c r="K198" t="s">
        <v>356</v>
      </c>
      <c r="L198">
        <v>10.459936361743663</v>
      </c>
      <c r="M198">
        <f>birthrate[[#This Row],[2016]]/1000</f>
        <v>1.0459936361743664E-2</v>
      </c>
    </row>
    <row r="199" spans="1:40" x14ac:dyDescent="0.35">
      <c r="A199" t="s">
        <v>357</v>
      </c>
      <c r="B199">
        <v>267820</v>
      </c>
      <c r="C199">
        <v>269843</v>
      </c>
      <c r="D199">
        <v>271703</v>
      </c>
      <c r="E199">
        <v>273528</v>
      </c>
      <c r="F199">
        <v>275484</v>
      </c>
      <c r="G199">
        <v>277690</v>
      </c>
      <c r="H199">
        <v>280208</v>
      </c>
      <c r="I199">
        <v>283007</v>
      </c>
      <c r="K199" t="s">
        <v>357</v>
      </c>
      <c r="L199">
        <v>15.379</v>
      </c>
      <c r="M199">
        <f>birthrate[[#This Row],[2016]]/1000</f>
        <v>1.5379E-2</v>
      </c>
    </row>
    <row r="200" spans="1:40" x14ac:dyDescent="0.35">
      <c r="A200" t="s">
        <v>168</v>
      </c>
      <c r="B200">
        <v>1779676</v>
      </c>
      <c r="C200">
        <v>1952054</v>
      </c>
      <c r="D200">
        <v>2109568</v>
      </c>
      <c r="E200">
        <v>2250473</v>
      </c>
      <c r="F200">
        <v>2374419</v>
      </c>
      <c r="G200">
        <v>2481539</v>
      </c>
      <c r="H200">
        <v>2569804</v>
      </c>
      <c r="I200">
        <v>2639211</v>
      </c>
      <c r="K200" t="s">
        <v>168</v>
      </c>
      <c r="L200">
        <v>10.146000000000001</v>
      </c>
      <c r="M200">
        <f>birthrate[[#This Row],[2016]]/1000</f>
        <v>1.0146000000000001E-2</v>
      </c>
    </row>
    <row r="201" spans="1:40" x14ac:dyDescent="0.35">
      <c r="A201" t="s">
        <v>171</v>
      </c>
      <c r="B201">
        <v>20246871</v>
      </c>
      <c r="C201">
        <v>20147528</v>
      </c>
      <c r="D201">
        <v>20058035</v>
      </c>
      <c r="E201">
        <v>19983693</v>
      </c>
      <c r="F201">
        <v>19908979</v>
      </c>
      <c r="G201">
        <v>19815481</v>
      </c>
      <c r="H201">
        <v>19702332</v>
      </c>
      <c r="I201">
        <v>19586539</v>
      </c>
      <c r="K201" t="s">
        <v>171</v>
      </c>
      <c r="L201">
        <v>9.6</v>
      </c>
      <c r="M201">
        <f>birthrate[[#This Row],[2016]]/1000</f>
        <v>9.5999999999999992E-3</v>
      </c>
    </row>
    <row r="202" spans="1:40" x14ac:dyDescent="0.35">
      <c r="A202" t="s">
        <v>172</v>
      </c>
      <c r="B202">
        <v>142849449</v>
      </c>
      <c r="C202">
        <v>142960868</v>
      </c>
      <c r="D202">
        <v>143201676</v>
      </c>
      <c r="E202">
        <v>143506911</v>
      </c>
      <c r="F202">
        <v>143819666</v>
      </c>
      <c r="G202">
        <v>144096870</v>
      </c>
      <c r="H202">
        <v>144342396</v>
      </c>
      <c r="I202">
        <v>144495044</v>
      </c>
      <c r="K202" t="s">
        <v>172</v>
      </c>
      <c r="L202">
        <v>12.9</v>
      </c>
      <c r="M202">
        <f>birthrate[[#This Row],[2016]]/1000</f>
        <v>1.29E-2</v>
      </c>
    </row>
    <row r="203" spans="1:40" x14ac:dyDescent="0.35">
      <c r="A203" t="s">
        <v>173</v>
      </c>
      <c r="B203">
        <v>10246842</v>
      </c>
      <c r="C203">
        <v>10516071</v>
      </c>
      <c r="D203">
        <v>10788853</v>
      </c>
      <c r="E203">
        <v>11065151</v>
      </c>
      <c r="F203">
        <v>11345357</v>
      </c>
      <c r="G203">
        <v>11629553</v>
      </c>
      <c r="H203">
        <v>11917508</v>
      </c>
      <c r="I203">
        <v>12208407</v>
      </c>
      <c r="K203" t="s">
        <v>173</v>
      </c>
      <c r="L203">
        <v>31.105</v>
      </c>
      <c r="M203">
        <f>birthrate[[#This Row],[2016]]/1000</f>
        <v>3.1105000000000001E-2</v>
      </c>
    </row>
    <row r="204" spans="1:40" x14ac:dyDescent="0.35">
      <c r="A204" t="s">
        <v>37</v>
      </c>
      <c r="B204">
        <v>1630806784</v>
      </c>
      <c r="C204">
        <v>1653798614</v>
      </c>
      <c r="D204">
        <v>1676615491</v>
      </c>
      <c r="E204">
        <v>1699310450</v>
      </c>
      <c r="F204">
        <v>1721847786</v>
      </c>
      <c r="G204">
        <v>1744199944</v>
      </c>
      <c r="H204">
        <v>1766393714</v>
      </c>
      <c r="I204">
        <v>1788388852</v>
      </c>
      <c r="K204" t="s">
        <v>37</v>
      </c>
      <c r="L204">
        <v>20.260474271656634</v>
      </c>
      <c r="M204">
        <f>birthrate[[#This Row],[2016]]/1000</f>
        <v>2.0260474271656635E-2</v>
      </c>
    </row>
    <row r="205" spans="1:40" x14ac:dyDescent="0.35">
      <c r="A205" t="s">
        <v>180</v>
      </c>
      <c r="B205">
        <v>27425676</v>
      </c>
      <c r="C205">
        <v>28238020</v>
      </c>
      <c r="D205">
        <v>29086357</v>
      </c>
      <c r="E205">
        <v>29944476</v>
      </c>
      <c r="F205">
        <v>30776722</v>
      </c>
      <c r="G205">
        <v>31557144</v>
      </c>
      <c r="H205">
        <v>32275687</v>
      </c>
      <c r="I205">
        <v>32938213</v>
      </c>
      <c r="K205" t="s">
        <v>180</v>
      </c>
      <c r="L205">
        <v>19.562000000000001</v>
      </c>
      <c r="M205">
        <f>birthrate[[#This Row],[2016]]/1000</f>
        <v>1.9562E-2</v>
      </c>
    </row>
    <row r="206" spans="1:40" x14ac:dyDescent="0.35">
      <c r="A206" t="s">
        <v>194</v>
      </c>
      <c r="B206">
        <v>34385963</v>
      </c>
      <c r="C206">
        <v>35167314</v>
      </c>
      <c r="D206">
        <v>35990192</v>
      </c>
      <c r="E206">
        <v>36849918</v>
      </c>
      <c r="F206">
        <v>37737913</v>
      </c>
      <c r="G206">
        <v>38647803</v>
      </c>
      <c r="H206">
        <v>39578828</v>
      </c>
      <c r="I206">
        <v>40533330</v>
      </c>
      <c r="K206" t="s">
        <v>194</v>
      </c>
      <c r="L206">
        <v>32.926000000000002</v>
      </c>
      <c r="M206">
        <f>birthrate[[#This Row],[2016]]/1000</f>
        <v>3.2926000000000004E-2</v>
      </c>
    </row>
    <row r="207" spans="1:40" x14ac:dyDescent="0.35">
      <c r="A207" t="s">
        <v>181</v>
      </c>
      <c r="B207">
        <v>12916229</v>
      </c>
      <c r="C207">
        <v>13300910</v>
      </c>
      <c r="D207">
        <v>13703513</v>
      </c>
      <c r="E207">
        <v>14120320</v>
      </c>
      <c r="F207">
        <v>14546111</v>
      </c>
      <c r="G207">
        <v>14976994</v>
      </c>
      <c r="H207">
        <v>15411614</v>
      </c>
      <c r="I207">
        <v>15850567</v>
      </c>
      <c r="K207" t="s">
        <v>181</v>
      </c>
      <c r="L207">
        <v>35.598999999999997</v>
      </c>
      <c r="M207">
        <f>birthrate[[#This Row],[2016]]/1000</f>
        <v>3.5598999999999999E-2</v>
      </c>
    </row>
    <row r="208" spans="1:40" x14ac:dyDescent="0.35">
      <c r="A208" t="s">
        <v>185</v>
      </c>
      <c r="B208">
        <v>5076732</v>
      </c>
      <c r="C208">
        <v>5183688</v>
      </c>
      <c r="D208">
        <v>5312437</v>
      </c>
      <c r="E208">
        <v>5399162</v>
      </c>
      <c r="F208">
        <v>5469724</v>
      </c>
      <c r="G208">
        <v>5535002</v>
      </c>
      <c r="H208">
        <v>5607283</v>
      </c>
      <c r="I208">
        <v>5612253</v>
      </c>
      <c r="K208" t="s">
        <v>185</v>
      </c>
      <c r="L208">
        <v>9.4</v>
      </c>
      <c r="M208">
        <f>birthrate[[#This Row],[2016]]/1000</f>
        <v>9.4000000000000004E-3</v>
      </c>
    </row>
    <row r="209" spans="1:13" x14ac:dyDescent="0.35">
      <c r="A209" t="s">
        <v>188</v>
      </c>
      <c r="B209">
        <v>527790</v>
      </c>
      <c r="C209">
        <v>539614</v>
      </c>
      <c r="D209">
        <v>551531</v>
      </c>
      <c r="E209">
        <v>563513</v>
      </c>
      <c r="F209">
        <v>575504</v>
      </c>
      <c r="G209">
        <v>587482</v>
      </c>
      <c r="H209">
        <v>599419</v>
      </c>
      <c r="I209">
        <v>611343</v>
      </c>
      <c r="K209" t="s">
        <v>188</v>
      </c>
      <c r="L209">
        <v>28.713000000000001</v>
      </c>
      <c r="M209">
        <f>birthrate[[#This Row],[2016]]/1000</f>
        <v>2.8713000000000002E-2</v>
      </c>
    </row>
    <row r="210" spans="1:13" x14ac:dyDescent="0.35">
      <c r="A210" t="s">
        <v>184</v>
      </c>
      <c r="B210">
        <v>6458720</v>
      </c>
      <c r="C210">
        <v>6611692</v>
      </c>
      <c r="D210">
        <v>6766103</v>
      </c>
      <c r="E210">
        <v>6922079</v>
      </c>
      <c r="F210">
        <v>7079162</v>
      </c>
      <c r="G210">
        <v>7237025</v>
      </c>
      <c r="H210">
        <v>7396190</v>
      </c>
      <c r="I210">
        <v>7557212</v>
      </c>
      <c r="K210" t="s">
        <v>184</v>
      </c>
      <c r="L210">
        <v>35.006</v>
      </c>
      <c r="M210">
        <f>birthrate[[#This Row],[2016]]/1000</f>
        <v>3.5006000000000002E-2</v>
      </c>
    </row>
    <row r="211" spans="1:13" x14ac:dyDescent="0.35">
      <c r="A211" t="s">
        <v>84</v>
      </c>
      <c r="B211">
        <v>6164626</v>
      </c>
      <c r="C211">
        <v>6192560</v>
      </c>
      <c r="D211">
        <v>6221246</v>
      </c>
      <c r="E211">
        <v>6250777</v>
      </c>
      <c r="F211">
        <v>6281189</v>
      </c>
      <c r="G211">
        <v>6312478</v>
      </c>
      <c r="H211">
        <v>6344722</v>
      </c>
      <c r="I211">
        <v>6377853</v>
      </c>
      <c r="K211" t="s">
        <v>84</v>
      </c>
      <c r="L211">
        <v>18.538</v>
      </c>
      <c r="M211">
        <f>birthrate[[#This Row],[2016]]/1000</f>
        <v>1.8537999999999999E-2</v>
      </c>
    </row>
    <row r="212" spans="1:13" x14ac:dyDescent="0.35">
      <c r="A212" t="s">
        <v>178</v>
      </c>
      <c r="B212">
        <v>31110</v>
      </c>
      <c r="C212">
        <v>31504</v>
      </c>
      <c r="D212">
        <v>31914</v>
      </c>
      <c r="E212">
        <v>32303</v>
      </c>
      <c r="F212">
        <v>32657</v>
      </c>
      <c r="G212">
        <v>32960</v>
      </c>
      <c r="H212">
        <v>33203</v>
      </c>
      <c r="I212">
        <v>33400</v>
      </c>
      <c r="K212" t="s">
        <v>178</v>
      </c>
      <c r="L212">
        <v>7.9</v>
      </c>
      <c r="M212">
        <f>birthrate[[#This Row],[2016]]/1000</f>
        <v>7.9000000000000008E-3</v>
      </c>
    </row>
    <row r="213" spans="1:13" x14ac:dyDescent="0.35">
      <c r="A213" t="s">
        <v>189</v>
      </c>
      <c r="B213">
        <v>12053223</v>
      </c>
      <c r="C213">
        <v>12404725</v>
      </c>
      <c r="D213">
        <v>12763776</v>
      </c>
      <c r="E213">
        <v>13132349</v>
      </c>
      <c r="F213">
        <v>13513125</v>
      </c>
      <c r="G213">
        <v>13908129</v>
      </c>
      <c r="H213">
        <v>14317996</v>
      </c>
      <c r="I213">
        <v>14742523</v>
      </c>
      <c r="K213" t="s">
        <v>189</v>
      </c>
      <c r="L213">
        <v>43.362000000000002</v>
      </c>
      <c r="M213">
        <f>birthrate[[#This Row],[2016]]/1000</f>
        <v>4.3362000000000005E-2</v>
      </c>
    </row>
    <row r="214" spans="1:13" x14ac:dyDescent="0.35">
      <c r="A214" t="s">
        <v>182</v>
      </c>
      <c r="B214">
        <v>7291436</v>
      </c>
      <c r="C214">
        <v>7234099</v>
      </c>
      <c r="D214">
        <v>7199077</v>
      </c>
      <c r="E214">
        <v>7164132</v>
      </c>
      <c r="F214">
        <v>7130576</v>
      </c>
      <c r="G214">
        <v>7095383</v>
      </c>
      <c r="H214">
        <v>7058322</v>
      </c>
      <c r="I214">
        <v>7022268</v>
      </c>
      <c r="K214" t="s">
        <v>182</v>
      </c>
      <c r="L214">
        <v>9.1999999999999993</v>
      </c>
      <c r="M214">
        <f>birthrate[[#This Row],[2016]]/1000</f>
        <v>9.1999999999999998E-3</v>
      </c>
    </row>
    <row r="215" spans="1:13" x14ac:dyDescent="0.35">
      <c r="A215" t="s">
        <v>358</v>
      </c>
      <c r="B215">
        <v>877538597</v>
      </c>
      <c r="C215">
        <v>901902485</v>
      </c>
      <c r="D215">
        <v>926951572</v>
      </c>
      <c r="E215">
        <v>952644123</v>
      </c>
      <c r="F215">
        <v>978926559</v>
      </c>
      <c r="G215">
        <v>1005756630</v>
      </c>
      <c r="H215">
        <v>1033118066</v>
      </c>
      <c r="I215">
        <v>1061011878</v>
      </c>
      <c r="K215" t="s">
        <v>358</v>
      </c>
      <c r="L215">
        <v>36.304604053576774</v>
      </c>
      <c r="M215">
        <f>birthrate[[#This Row],[2016]]/1000</f>
        <v>3.6304604053576772E-2</v>
      </c>
    </row>
    <row r="216" spans="1:13" x14ac:dyDescent="0.35">
      <c r="A216" t="s">
        <v>191</v>
      </c>
      <c r="B216">
        <v>10067192</v>
      </c>
      <c r="C216">
        <v>10448857</v>
      </c>
      <c r="D216">
        <v>10818258</v>
      </c>
      <c r="E216">
        <v>11177490</v>
      </c>
      <c r="F216">
        <v>11530971</v>
      </c>
      <c r="G216">
        <v>11882136</v>
      </c>
      <c r="H216">
        <v>12230730</v>
      </c>
      <c r="I216">
        <v>12575714</v>
      </c>
      <c r="K216" t="s">
        <v>191</v>
      </c>
      <c r="L216">
        <v>35.936</v>
      </c>
      <c r="M216">
        <f>birthrate[[#This Row],[2016]]/1000</f>
        <v>3.5936000000000003E-2</v>
      </c>
    </row>
    <row r="217" spans="1:13" x14ac:dyDescent="0.35">
      <c r="A217" t="s">
        <v>15</v>
      </c>
      <c r="B217">
        <v>877628367</v>
      </c>
      <c r="C217">
        <v>901989926</v>
      </c>
      <c r="D217">
        <v>927039875</v>
      </c>
      <c r="E217">
        <v>952734072</v>
      </c>
      <c r="F217">
        <v>979017918</v>
      </c>
      <c r="G217">
        <v>1005850049</v>
      </c>
      <c r="H217">
        <v>1033212743</v>
      </c>
      <c r="I217">
        <v>1061107721</v>
      </c>
      <c r="K217" t="s">
        <v>15</v>
      </c>
      <c r="L217">
        <v>36.302871756709443</v>
      </c>
      <c r="M217">
        <f>birthrate[[#This Row],[2016]]/1000</f>
        <v>3.6302871756709446E-2</v>
      </c>
    </row>
    <row r="218" spans="1:13" x14ac:dyDescent="0.35">
      <c r="A218" t="s">
        <v>359</v>
      </c>
      <c r="B218">
        <v>35465245</v>
      </c>
      <c r="C218">
        <v>36171934</v>
      </c>
      <c r="D218">
        <v>36875022</v>
      </c>
      <c r="E218">
        <v>37572012</v>
      </c>
      <c r="F218">
        <v>38266156</v>
      </c>
      <c r="G218">
        <v>38960406</v>
      </c>
      <c r="H218">
        <v>39646847</v>
      </c>
      <c r="I218">
        <v>40324496</v>
      </c>
      <c r="K218" t="s">
        <v>359</v>
      </c>
      <c r="L218">
        <v>22.542364755765607</v>
      </c>
      <c r="M218">
        <f>birthrate[[#This Row],[2016]]/1000</f>
        <v>2.2542364755765609E-2</v>
      </c>
    </row>
    <row r="219" spans="1:13" x14ac:dyDescent="0.35">
      <c r="A219" t="s">
        <v>179</v>
      </c>
      <c r="B219">
        <v>174776</v>
      </c>
      <c r="C219">
        <v>178800</v>
      </c>
      <c r="D219">
        <v>182889</v>
      </c>
      <c r="E219">
        <v>187045</v>
      </c>
      <c r="F219">
        <v>191266</v>
      </c>
      <c r="G219">
        <v>195553</v>
      </c>
      <c r="H219">
        <v>199910</v>
      </c>
      <c r="I219">
        <v>204327</v>
      </c>
      <c r="K219" t="s">
        <v>179</v>
      </c>
      <c r="L219">
        <v>33.834000000000003</v>
      </c>
      <c r="M219">
        <f>birthrate[[#This Row],[2016]]/1000</f>
        <v>3.3834000000000003E-2</v>
      </c>
    </row>
    <row r="220" spans="1:13" x14ac:dyDescent="0.35">
      <c r="A220" t="s">
        <v>195</v>
      </c>
      <c r="B220">
        <v>526103</v>
      </c>
      <c r="C220">
        <v>531589</v>
      </c>
      <c r="D220">
        <v>537077</v>
      </c>
      <c r="E220">
        <v>542540</v>
      </c>
      <c r="F220">
        <v>547928</v>
      </c>
      <c r="G220">
        <v>553208</v>
      </c>
      <c r="H220">
        <v>558368</v>
      </c>
      <c r="I220">
        <v>563402</v>
      </c>
      <c r="K220" t="s">
        <v>195</v>
      </c>
      <c r="L220">
        <v>18.216000000000001</v>
      </c>
      <c r="M220">
        <f>birthrate[[#This Row],[2016]]/1000</f>
        <v>1.8216E-2</v>
      </c>
    </row>
    <row r="221" spans="1:13" x14ac:dyDescent="0.35">
      <c r="A221" s="12" t="s">
        <v>186</v>
      </c>
      <c r="B221">
        <v>5391428</v>
      </c>
      <c r="C221">
        <v>5398384</v>
      </c>
      <c r="D221">
        <v>5407579</v>
      </c>
      <c r="E221">
        <v>5413393</v>
      </c>
      <c r="F221">
        <v>5418649</v>
      </c>
      <c r="G221">
        <v>5423801</v>
      </c>
      <c r="H221">
        <v>5430798</v>
      </c>
      <c r="I221">
        <v>5439892</v>
      </c>
      <c r="K221" s="12" t="s">
        <v>186</v>
      </c>
      <c r="L221">
        <v>10.6</v>
      </c>
      <c r="M221">
        <f>birthrate[[#This Row],[2016]]/1000</f>
        <v>1.06E-2</v>
      </c>
    </row>
    <row r="222" spans="1:13" x14ac:dyDescent="0.35">
      <c r="A222" t="s">
        <v>187</v>
      </c>
      <c r="B222">
        <v>2048583</v>
      </c>
      <c r="C222">
        <v>2052843</v>
      </c>
      <c r="D222">
        <v>2057159</v>
      </c>
      <c r="E222">
        <v>2059953</v>
      </c>
      <c r="F222">
        <v>2061980</v>
      </c>
      <c r="G222">
        <v>2063531</v>
      </c>
      <c r="H222">
        <v>2065042</v>
      </c>
      <c r="I222">
        <v>2066748</v>
      </c>
      <c r="K222" t="s">
        <v>187</v>
      </c>
      <c r="L222">
        <v>9.9</v>
      </c>
      <c r="M222">
        <f>birthrate[[#This Row],[2016]]/1000</f>
        <v>9.9000000000000008E-3</v>
      </c>
    </row>
    <row r="223" spans="1:13" x14ac:dyDescent="0.35">
      <c r="A223" t="s">
        <v>197</v>
      </c>
      <c r="B223">
        <v>9378126</v>
      </c>
      <c r="C223">
        <v>9449213</v>
      </c>
      <c r="D223">
        <v>9519374</v>
      </c>
      <c r="E223">
        <v>9600379</v>
      </c>
      <c r="F223">
        <v>9696110</v>
      </c>
      <c r="G223">
        <v>9799186</v>
      </c>
      <c r="H223">
        <v>9923085</v>
      </c>
      <c r="I223">
        <v>10067744</v>
      </c>
      <c r="K223" t="s">
        <v>197</v>
      </c>
      <c r="L223">
        <v>11.8</v>
      </c>
      <c r="M223">
        <f>birthrate[[#This Row],[2016]]/1000</f>
        <v>1.1800000000000001E-2</v>
      </c>
    </row>
    <row r="224" spans="1:13" x14ac:dyDescent="0.35">
      <c r="A224" t="s">
        <v>287</v>
      </c>
      <c r="B224">
        <v>1202843</v>
      </c>
      <c r="C224">
        <v>1225258</v>
      </c>
      <c r="D224">
        <v>1248158</v>
      </c>
      <c r="E224">
        <v>1271456</v>
      </c>
      <c r="F224">
        <v>1295097</v>
      </c>
      <c r="G224">
        <v>1319011</v>
      </c>
      <c r="H224">
        <v>1343098</v>
      </c>
      <c r="I224">
        <v>1367254</v>
      </c>
      <c r="K224" t="s">
        <v>287</v>
      </c>
      <c r="L224">
        <v>28.85</v>
      </c>
      <c r="M224">
        <f>birthrate[[#This Row],[2016]]/1000</f>
        <v>2.8850000000000001E-2</v>
      </c>
    </row>
    <row r="225" spans="1:13" x14ac:dyDescent="0.35">
      <c r="A225" t="s">
        <v>360</v>
      </c>
      <c r="B225">
        <v>34056</v>
      </c>
      <c r="C225">
        <v>33435</v>
      </c>
      <c r="D225">
        <v>34640</v>
      </c>
      <c r="E225">
        <v>36607</v>
      </c>
      <c r="F225">
        <v>37685</v>
      </c>
      <c r="G225">
        <v>38824</v>
      </c>
      <c r="H225">
        <v>39969</v>
      </c>
      <c r="I225">
        <v>41109</v>
      </c>
      <c r="K225" t="s">
        <v>360</v>
      </c>
      <c r="M225">
        <f>birthrate[[#This Row],[2016]]/1000</f>
        <v>0</v>
      </c>
    </row>
    <row r="226" spans="1:13" x14ac:dyDescent="0.35">
      <c r="A226" t="s">
        <v>183</v>
      </c>
      <c r="B226">
        <v>89770</v>
      </c>
      <c r="C226">
        <v>87441</v>
      </c>
      <c r="D226">
        <v>88303</v>
      </c>
      <c r="E226">
        <v>89949</v>
      </c>
      <c r="F226">
        <v>91359</v>
      </c>
      <c r="G226">
        <v>93419</v>
      </c>
      <c r="H226">
        <v>94677</v>
      </c>
      <c r="I226">
        <v>95843</v>
      </c>
      <c r="K226" t="s">
        <v>183</v>
      </c>
      <c r="L226">
        <v>17.399999999999999</v>
      </c>
      <c r="M226">
        <f>birthrate[[#This Row],[2016]]/1000</f>
        <v>1.7399999999999999E-2</v>
      </c>
    </row>
    <row r="227" spans="1:13" x14ac:dyDescent="0.35">
      <c r="A227" t="s">
        <v>199</v>
      </c>
      <c r="B227">
        <v>21018834</v>
      </c>
      <c r="C227">
        <v>20863993</v>
      </c>
      <c r="D227">
        <v>20420701</v>
      </c>
      <c r="E227">
        <v>19809141</v>
      </c>
      <c r="F227">
        <v>19203090</v>
      </c>
      <c r="G227">
        <v>18734987</v>
      </c>
      <c r="H227">
        <v>18430453</v>
      </c>
      <c r="I227">
        <v>18269868</v>
      </c>
      <c r="K227" t="s">
        <v>199</v>
      </c>
      <c r="L227">
        <v>21.472000000000001</v>
      </c>
      <c r="M227">
        <f>birthrate[[#This Row],[2016]]/1000</f>
        <v>2.1472000000000002E-2</v>
      </c>
    </row>
    <row r="228" spans="1:13" x14ac:dyDescent="0.35">
      <c r="A228" t="s">
        <v>361</v>
      </c>
      <c r="B228">
        <v>30994</v>
      </c>
      <c r="C228">
        <v>31731</v>
      </c>
      <c r="D228">
        <v>32431</v>
      </c>
      <c r="E228">
        <v>33108</v>
      </c>
      <c r="F228">
        <v>33739</v>
      </c>
      <c r="G228">
        <v>34339</v>
      </c>
      <c r="H228">
        <v>34900</v>
      </c>
      <c r="I228">
        <v>35446</v>
      </c>
      <c r="K228" t="s">
        <v>361</v>
      </c>
      <c r="M228">
        <f>birthrate[[#This Row],[2016]]/1000</f>
        <v>0</v>
      </c>
    </row>
    <row r="229" spans="1:13" x14ac:dyDescent="0.35">
      <c r="A229" t="s">
        <v>63</v>
      </c>
      <c r="B229">
        <v>11887202</v>
      </c>
      <c r="C229">
        <v>12288651</v>
      </c>
      <c r="D229">
        <v>12705135</v>
      </c>
      <c r="E229">
        <v>13133589</v>
      </c>
      <c r="F229">
        <v>13569438</v>
      </c>
      <c r="G229">
        <v>14009413</v>
      </c>
      <c r="H229">
        <v>14452543</v>
      </c>
      <c r="I229">
        <v>14899994</v>
      </c>
      <c r="K229" t="s">
        <v>63</v>
      </c>
      <c r="L229">
        <v>43.331000000000003</v>
      </c>
      <c r="M229">
        <f>birthrate[[#This Row],[2016]]/1000</f>
        <v>4.3331000000000001E-2</v>
      </c>
    </row>
    <row r="230" spans="1:13" x14ac:dyDescent="0.35">
      <c r="A230" t="s">
        <v>362</v>
      </c>
      <c r="B230">
        <v>1941604842</v>
      </c>
      <c r="C230">
        <v>1955546907</v>
      </c>
      <c r="D230">
        <v>1969762859</v>
      </c>
      <c r="E230">
        <v>1984152637</v>
      </c>
      <c r="F230">
        <v>1998686391</v>
      </c>
      <c r="G230">
        <v>2013132699</v>
      </c>
      <c r="H230">
        <v>2027896410</v>
      </c>
      <c r="I230">
        <v>2042783496</v>
      </c>
      <c r="K230" t="s">
        <v>362</v>
      </c>
      <c r="L230">
        <v>14.096921443576351</v>
      </c>
      <c r="M230">
        <f>birthrate[[#This Row],[2016]]/1000</f>
        <v>1.4096921443576351E-2</v>
      </c>
    </row>
    <row r="231" spans="1:13" x14ac:dyDescent="0.35">
      <c r="A231" t="s">
        <v>363</v>
      </c>
      <c r="B231">
        <v>441513779</v>
      </c>
      <c r="C231">
        <v>443585809</v>
      </c>
      <c r="D231">
        <v>445770413</v>
      </c>
      <c r="E231">
        <v>448167115</v>
      </c>
      <c r="F231">
        <v>450521747</v>
      </c>
      <c r="G231">
        <v>452960829</v>
      </c>
      <c r="H231">
        <v>455379371</v>
      </c>
      <c r="I231">
        <v>457647735</v>
      </c>
      <c r="K231" t="s">
        <v>363</v>
      </c>
      <c r="L231">
        <v>14.422724319791376</v>
      </c>
      <c r="M231">
        <f>birthrate[[#This Row],[2016]]/1000</f>
        <v>1.4422724319791375E-2</v>
      </c>
    </row>
    <row r="232" spans="1:13" x14ac:dyDescent="0.35">
      <c r="A232" t="s">
        <v>204</v>
      </c>
      <c r="B232">
        <v>6502952</v>
      </c>
      <c r="C232">
        <v>6679282</v>
      </c>
      <c r="D232">
        <v>6859482</v>
      </c>
      <c r="E232">
        <v>7042948</v>
      </c>
      <c r="F232">
        <v>7228915</v>
      </c>
      <c r="G232">
        <v>7416802</v>
      </c>
      <c r="H232">
        <v>7606374</v>
      </c>
      <c r="I232">
        <v>7797694</v>
      </c>
      <c r="K232" t="s">
        <v>204</v>
      </c>
      <c r="L232">
        <v>34.027999999999999</v>
      </c>
      <c r="M232">
        <f>birthrate[[#This Row],[2016]]/1000</f>
        <v>3.4027999999999996E-2</v>
      </c>
    </row>
    <row r="233" spans="1:13" x14ac:dyDescent="0.35">
      <c r="A233" t="s">
        <v>201</v>
      </c>
      <c r="B233">
        <v>67208808</v>
      </c>
      <c r="C233">
        <v>67530130</v>
      </c>
      <c r="D233">
        <v>67843979</v>
      </c>
      <c r="E233">
        <v>68143065</v>
      </c>
      <c r="F233">
        <v>68416772</v>
      </c>
      <c r="G233">
        <v>68657600</v>
      </c>
      <c r="H233">
        <v>68863514</v>
      </c>
      <c r="I233">
        <v>69037513</v>
      </c>
      <c r="K233" t="s">
        <v>201</v>
      </c>
      <c r="L233">
        <v>10.333</v>
      </c>
      <c r="M233">
        <f>birthrate[[#This Row],[2016]]/1000</f>
        <v>1.0333E-2</v>
      </c>
    </row>
    <row r="234" spans="1:13" x14ac:dyDescent="0.35">
      <c r="A234" t="s">
        <v>200</v>
      </c>
      <c r="B234">
        <v>7641630</v>
      </c>
      <c r="C234">
        <v>7815949</v>
      </c>
      <c r="D234">
        <v>7995062</v>
      </c>
      <c r="E234">
        <v>8177809</v>
      </c>
      <c r="F234">
        <v>8362745</v>
      </c>
      <c r="G234">
        <v>8548651</v>
      </c>
      <c r="H234">
        <v>8734951</v>
      </c>
      <c r="I234">
        <v>8921343</v>
      </c>
      <c r="K234" t="s">
        <v>200</v>
      </c>
      <c r="L234">
        <v>28.841999999999999</v>
      </c>
      <c r="M234">
        <f>birthrate[[#This Row],[2016]]/1000</f>
        <v>2.8842E-2</v>
      </c>
    </row>
    <row r="235" spans="1:13" x14ac:dyDescent="0.35">
      <c r="A235" t="s">
        <v>209</v>
      </c>
      <c r="B235">
        <v>5087210</v>
      </c>
      <c r="C235">
        <v>5174061</v>
      </c>
      <c r="D235">
        <v>5267839</v>
      </c>
      <c r="E235">
        <v>5366277</v>
      </c>
      <c r="F235">
        <v>5466241</v>
      </c>
      <c r="G235">
        <v>5565284</v>
      </c>
      <c r="H235">
        <v>5662544</v>
      </c>
      <c r="I235">
        <v>5758075</v>
      </c>
      <c r="K235" t="s">
        <v>209</v>
      </c>
      <c r="L235">
        <v>25.373000000000001</v>
      </c>
      <c r="M235">
        <f>birthrate[[#This Row],[2016]]/1000</f>
        <v>2.5373E-2</v>
      </c>
    </row>
    <row r="236" spans="1:13" x14ac:dyDescent="0.35">
      <c r="A236" t="s">
        <v>364</v>
      </c>
      <c r="B236">
        <v>580246796</v>
      </c>
      <c r="C236">
        <v>587315129</v>
      </c>
      <c r="D236">
        <v>594330743</v>
      </c>
      <c r="E236">
        <v>601277206</v>
      </c>
      <c r="F236">
        <v>608136047</v>
      </c>
      <c r="G236">
        <v>614891969</v>
      </c>
      <c r="H236">
        <v>621534921</v>
      </c>
      <c r="I236">
        <v>628059792</v>
      </c>
      <c r="K236" t="s">
        <v>364</v>
      </c>
      <c r="L236">
        <v>16.999384016876412</v>
      </c>
      <c r="M236">
        <f>birthrate[[#This Row],[2016]]/1000</f>
        <v>1.6999384016876413E-2</v>
      </c>
    </row>
    <row r="237" spans="1:13" x14ac:dyDescent="0.35">
      <c r="A237" t="s">
        <v>203</v>
      </c>
      <c r="B237">
        <v>1109591</v>
      </c>
      <c r="C237">
        <v>1131523</v>
      </c>
      <c r="D237">
        <v>1156760</v>
      </c>
      <c r="E237">
        <v>1184366</v>
      </c>
      <c r="F237">
        <v>1212814</v>
      </c>
      <c r="G237">
        <v>1240977</v>
      </c>
      <c r="H237">
        <v>1268671</v>
      </c>
      <c r="I237">
        <v>1296311</v>
      </c>
      <c r="K237" t="s">
        <v>203</v>
      </c>
      <c r="L237">
        <v>35.048000000000002</v>
      </c>
      <c r="M237">
        <f>birthrate[[#This Row],[2016]]/1000</f>
        <v>3.5048000000000003E-2</v>
      </c>
    </row>
    <row r="238" spans="1:13" x14ac:dyDescent="0.35">
      <c r="A238" t="s">
        <v>365</v>
      </c>
      <c r="B238">
        <v>331770455</v>
      </c>
      <c r="C238">
        <v>337894992</v>
      </c>
      <c r="D238">
        <v>344148796</v>
      </c>
      <c r="E238">
        <v>350471538</v>
      </c>
      <c r="F238">
        <v>356783315</v>
      </c>
      <c r="G238">
        <v>363027163</v>
      </c>
      <c r="H238">
        <v>369167489</v>
      </c>
      <c r="I238">
        <v>375217005</v>
      </c>
      <c r="K238" t="s">
        <v>365</v>
      </c>
      <c r="L238">
        <v>23.588133960051938</v>
      </c>
      <c r="M238">
        <f>birthrate[[#This Row],[2016]]/1000</f>
        <v>2.3588133960051938E-2</v>
      </c>
    </row>
    <row r="239" spans="1:13" x14ac:dyDescent="0.35">
      <c r="A239" t="s">
        <v>205</v>
      </c>
      <c r="B239">
        <v>104137</v>
      </c>
      <c r="C239">
        <v>104577</v>
      </c>
      <c r="D239">
        <v>104951</v>
      </c>
      <c r="E239">
        <v>105328</v>
      </c>
      <c r="F239">
        <v>105782</v>
      </c>
      <c r="G239">
        <v>106364</v>
      </c>
      <c r="H239">
        <v>107122</v>
      </c>
      <c r="I239">
        <v>108020</v>
      </c>
      <c r="K239" t="s">
        <v>205</v>
      </c>
      <c r="L239">
        <v>23.981999999999999</v>
      </c>
      <c r="M239">
        <f>birthrate[[#This Row],[2016]]/1000</f>
        <v>2.3982E-2</v>
      </c>
    </row>
    <row r="240" spans="1:13" x14ac:dyDescent="0.35">
      <c r="A240" t="s">
        <v>366</v>
      </c>
      <c r="B240">
        <v>1630806784</v>
      </c>
      <c r="C240">
        <v>1653798614</v>
      </c>
      <c r="D240">
        <v>1676615491</v>
      </c>
      <c r="E240">
        <v>1699310450</v>
      </c>
      <c r="F240">
        <v>1721847786</v>
      </c>
      <c r="G240">
        <v>1744199944</v>
      </c>
      <c r="H240">
        <v>1766393714</v>
      </c>
      <c r="I240">
        <v>1788388852</v>
      </c>
      <c r="K240" t="s">
        <v>366</v>
      </c>
      <c r="L240">
        <v>20.26047427165663</v>
      </c>
      <c r="M240">
        <f>birthrate[[#This Row],[2016]]/1000</f>
        <v>2.0260474271656628E-2</v>
      </c>
    </row>
    <row r="241" spans="1:13" x14ac:dyDescent="0.35">
      <c r="A241" t="s">
        <v>367</v>
      </c>
      <c r="B241">
        <v>877628367</v>
      </c>
      <c r="C241">
        <v>901989926</v>
      </c>
      <c r="D241">
        <v>927039875</v>
      </c>
      <c r="E241">
        <v>952734072</v>
      </c>
      <c r="F241">
        <v>979017918</v>
      </c>
      <c r="G241">
        <v>1005850049</v>
      </c>
      <c r="H241">
        <v>1033212743</v>
      </c>
      <c r="I241">
        <v>1061107721</v>
      </c>
      <c r="K241" t="s">
        <v>367</v>
      </c>
      <c r="L241">
        <v>36.302871756709457</v>
      </c>
      <c r="M241">
        <f>birthrate[[#This Row],[2016]]/1000</f>
        <v>3.6302871756709459E-2</v>
      </c>
    </row>
    <row r="242" spans="1:13" x14ac:dyDescent="0.35">
      <c r="A242" t="s">
        <v>206</v>
      </c>
      <c r="B242">
        <v>1328100</v>
      </c>
      <c r="C242">
        <v>1334788</v>
      </c>
      <c r="D242">
        <v>1341588</v>
      </c>
      <c r="E242">
        <v>1348248</v>
      </c>
      <c r="F242">
        <v>1354493</v>
      </c>
      <c r="G242">
        <v>1360092</v>
      </c>
      <c r="H242">
        <v>1364962</v>
      </c>
      <c r="I242">
        <v>1369125</v>
      </c>
      <c r="K242" t="s">
        <v>206</v>
      </c>
      <c r="L242">
        <v>13.608000000000001</v>
      </c>
      <c r="M242">
        <f>birthrate[[#This Row],[2016]]/1000</f>
        <v>1.3608E-2</v>
      </c>
    </row>
    <row r="243" spans="1:13" x14ac:dyDescent="0.35">
      <c r="A243" t="s">
        <v>207</v>
      </c>
      <c r="B243">
        <v>10639931</v>
      </c>
      <c r="C243">
        <v>10761467</v>
      </c>
      <c r="D243">
        <v>10886668</v>
      </c>
      <c r="E243">
        <v>11014558</v>
      </c>
      <c r="F243">
        <v>11143908</v>
      </c>
      <c r="G243">
        <v>11273661</v>
      </c>
      <c r="H243">
        <v>11403248</v>
      </c>
      <c r="I243">
        <v>11532127</v>
      </c>
      <c r="K243" t="s">
        <v>207</v>
      </c>
      <c r="L243">
        <v>18.295000000000002</v>
      </c>
      <c r="M243">
        <f>birthrate[[#This Row],[2016]]/1000</f>
        <v>1.8295000000000002E-2</v>
      </c>
    </row>
    <row r="244" spans="1:13" x14ac:dyDescent="0.35">
      <c r="A244" t="s">
        <v>208</v>
      </c>
      <c r="B244">
        <v>72326914</v>
      </c>
      <c r="C244">
        <v>73409455</v>
      </c>
      <c r="D244">
        <v>74569867</v>
      </c>
      <c r="E244">
        <v>75787333</v>
      </c>
      <c r="F244">
        <v>77030628</v>
      </c>
      <c r="G244">
        <v>78271472</v>
      </c>
      <c r="H244">
        <v>79512426</v>
      </c>
      <c r="I244">
        <v>80745020</v>
      </c>
      <c r="K244" t="s">
        <v>208</v>
      </c>
      <c r="L244">
        <v>16.241</v>
      </c>
      <c r="M244">
        <f>birthrate[[#This Row],[2016]]/1000</f>
        <v>1.6240999999999998E-2</v>
      </c>
    </row>
    <row r="245" spans="1:13" x14ac:dyDescent="0.35">
      <c r="A245" t="s">
        <v>210</v>
      </c>
      <c r="B245">
        <v>10531</v>
      </c>
      <c r="C245">
        <v>10628</v>
      </c>
      <c r="D245">
        <v>10725</v>
      </c>
      <c r="E245">
        <v>10819</v>
      </c>
      <c r="F245">
        <v>10908</v>
      </c>
      <c r="G245">
        <v>11001</v>
      </c>
      <c r="H245">
        <v>11097</v>
      </c>
      <c r="I245">
        <v>11192</v>
      </c>
      <c r="K245" t="s">
        <v>210</v>
      </c>
      <c r="L245">
        <v>23.7</v>
      </c>
      <c r="M245">
        <f>birthrate[[#This Row],[2016]]/1000</f>
        <v>2.3699999999999999E-2</v>
      </c>
    </row>
    <row r="246" spans="1:13" x14ac:dyDescent="0.35">
      <c r="A246" s="8" t="s">
        <v>215</v>
      </c>
      <c r="B246">
        <v>46098591</v>
      </c>
      <c r="C246">
        <v>47570902</v>
      </c>
      <c r="D246">
        <v>49082997</v>
      </c>
      <c r="E246">
        <v>50636595</v>
      </c>
      <c r="F246">
        <v>52234869</v>
      </c>
      <c r="G246">
        <v>53879957</v>
      </c>
      <c r="H246">
        <v>55572201</v>
      </c>
      <c r="I246">
        <v>57310019</v>
      </c>
      <c r="K246" s="8" t="s">
        <v>215</v>
      </c>
      <c r="L246">
        <v>38.186</v>
      </c>
      <c r="M246">
        <f>birthrate[[#This Row],[2016]]/1000</f>
        <v>3.8185999999999998E-2</v>
      </c>
    </row>
    <row r="247" spans="1:13" x14ac:dyDescent="0.35">
      <c r="A247" t="s">
        <v>211</v>
      </c>
      <c r="B247">
        <v>33915133</v>
      </c>
      <c r="C247">
        <v>35093648</v>
      </c>
      <c r="D247">
        <v>36306796</v>
      </c>
      <c r="E247">
        <v>37553726</v>
      </c>
      <c r="F247">
        <v>38833338</v>
      </c>
      <c r="G247">
        <v>40144870</v>
      </c>
      <c r="H247">
        <v>41487965</v>
      </c>
      <c r="I247">
        <v>42862958</v>
      </c>
      <c r="K247" t="s">
        <v>211</v>
      </c>
      <c r="L247">
        <v>42.143999999999998</v>
      </c>
      <c r="M247">
        <f>birthrate[[#This Row],[2016]]/1000</f>
        <v>4.2144000000000001E-2</v>
      </c>
    </row>
    <row r="248" spans="1:13" x14ac:dyDescent="0.35">
      <c r="A248" t="s">
        <v>212</v>
      </c>
      <c r="B248">
        <v>45870700</v>
      </c>
      <c r="C248">
        <v>45706100</v>
      </c>
      <c r="D248">
        <v>45593300</v>
      </c>
      <c r="E248">
        <v>45489600</v>
      </c>
      <c r="F248">
        <v>45271947</v>
      </c>
      <c r="G248">
        <v>45154029</v>
      </c>
      <c r="H248">
        <v>45004645</v>
      </c>
      <c r="I248">
        <v>44831159</v>
      </c>
      <c r="K248" t="s">
        <v>212</v>
      </c>
      <c r="L248">
        <v>10.3</v>
      </c>
      <c r="M248">
        <f>birthrate[[#This Row],[2016]]/1000</f>
        <v>1.03E-2</v>
      </c>
    </row>
    <row r="249" spans="1:13" x14ac:dyDescent="0.35">
      <c r="A249" t="s">
        <v>368</v>
      </c>
      <c r="B249">
        <v>2440543075</v>
      </c>
      <c r="C249">
        <v>2459175685</v>
      </c>
      <c r="D249">
        <v>2478491686</v>
      </c>
      <c r="E249">
        <v>2498184210</v>
      </c>
      <c r="F249">
        <v>2517979764</v>
      </c>
      <c r="G249">
        <v>2537437057</v>
      </c>
      <c r="H249">
        <v>2556921923</v>
      </c>
      <c r="I249">
        <v>2576202556</v>
      </c>
      <c r="K249" t="s">
        <v>368</v>
      </c>
      <c r="L249">
        <v>14.171582376645276</v>
      </c>
      <c r="M249">
        <f>birthrate[[#This Row],[2016]]/1000</f>
        <v>1.4171582376645276E-2</v>
      </c>
    </row>
    <row r="250" spans="1:13" x14ac:dyDescent="0.35">
      <c r="A250" t="s">
        <v>217</v>
      </c>
      <c r="B250">
        <v>3374415</v>
      </c>
      <c r="C250">
        <v>3385624</v>
      </c>
      <c r="D250">
        <v>3396777</v>
      </c>
      <c r="E250">
        <v>3408005</v>
      </c>
      <c r="F250">
        <v>3419546</v>
      </c>
      <c r="G250">
        <v>3431552</v>
      </c>
      <c r="H250">
        <v>3444006</v>
      </c>
      <c r="I250">
        <v>3456750</v>
      </c>
      <c r="K250" t="s">
        <v>217</v>
      </c>
      <c r="L250">
        <v>14.034000000000001</v>
      </c>
      <c r="M250">
        <f>birthrate[[#This Row],[2016]]/1000</f>
        <v>1.4034000000000001E-2</v>
      </c>
    </row>
    <row r="251" spans="1:13" x14ac:dyDescent="0.35">
      <c r="A251" s="12" t="s">
        <v>216</v>
      </c>
      <c r="B251">
        <v>309338421</v>
      </c>
      <c r="C251">
        <v>311644280</v>
      </c>
      <c r="D251">
        <v>313993272</v>
      </c>
      <c r="E251">
        <v>316234505</v>
      </c>
      <c r="F251">
        <v>318622525</v>
      </c>
      <c r="G251">
        <v>321039839</v>
      </c>
      <c r="H251">
        <v>323405935</v>
      </c>
      <c r="I251">
        <v>325719178</v>
      </c>
      <c r="K251" s="12" t="s">
        <v>216</v>
      </c>
      <c r="L251">
        <v>12.4</v>
      </c>
      <c r="M251">
        <f>birthrate[[#This Row],[2016]]/1000</f>
        <v>1.24E-2</v>
      </c>
    </row>
    <row r="252" spans="1:13" x14ac:dyDescent="0.35">
      <c r="A252" t="s">
        <v>218</v>
      </c>
      <c r="B252">
        <v>28562400</v>
      </c>
      <c r="C252">
        <v>29339400</v>
      </c>
      <c r="D252">
        <v>29774500</v>
      </c>
      <c r="E252">
        <v>30243200</v>
      </c>
      <c r="F252">
        <v>30757700</v>
      </c>
      <c r="G252">
        <v>31298900</v>
      </c>
      <c r="H252">
        <v>31847900</v>
      </c>
      <c r="I252">
        <v>32387200</v>
      </c>
      <c r="K252" t="s">
        <v>218</v>
      </c>
      <c r="L252">
        <v>22.8</v>
      </c>
      <c r="M252">
        <f>birthrate[[#This Row],[2016]]/1000</f>
        <v>2.2800000000000001E-2</v>
      </c>
    </row>
    <row r="253" spans="1:13" x14ac:dyDescent="0.35">
      <c r="A253" s="12" t="s">
        <v>176</v>
      </c>
      <c r="B253">
        <v>109315</v>
      </c>
      <c r="C253">
        <v>109341</v>
      </c>
      <c r="D253">
        <v>109328</v>
      </c>
      <c r="E253">
        <v>109320</v>
      </c>
      <c r="F253">
        <v>109357</v>
      </c>
      <c r="G253">
        <v>109455</v>
      </c>
      <c r="H253">
        <v>109643</v>
      </c>
      <c r="I253">
        <v>109897</v>
      </c>
      <c r="K253" s="12" t="s">
        <v>176</v>
      </c>
      <c r="L253">
        <v>15.507</v>
      </c>
      <c r="M253">
        <f>birthrate[[#This Row],[2016]]/1000</f>
        <v>1.5507E-2</v>
      </c>
    </row>
    <row r="254" spans="1:13" x14ac:dyDescent="0.35">
      <c r="A254" s="12" t="s">
        <v>220</v>
      </c>
      <c r="B254">
        <v>29028033</v>
      </c>
      <c r="C254">
        <v>29463291</v>
      </c>
      <c r="D254">
        <v>29893080</v>
      </c>
      <c r="E254">
        <v>30317848</v>
      </c>
      <c r="F254">
        <v>30738378</v>
      </c>
      <c r="G254">
        <v>31155134</v>
      </c>
      <c r="H254">
        <v>31568179</v>
      </c>
      <c r="I254">
        <v>31977065</v>
      </c>
      <c r="K254" s="12" t="s">
        <v>220</v>
      </c>
      <c r="L254">
        <v>19.03</v>
      </c>
      <c r="M254">
        <f>birthrate[[#This Row],[2016]]/1000</f>
        <v>1.9030000000000002E-2</v>
      </c>
    </row>
    <row r="255" spans="1:13" x14ac:dyDescent="0.35">
      <c r="A255" t="s">
        <v>369</v>
      </c>
      <c r="B255">
        <v>27224</v>
      </c>
      <c r="C255">
        <v>27901</v>
      </c>
      <c r="D255">
        <v>28509</v>
      </c>
      <c r="E255">
        <v>29056</v>
      </c>
      <c r="F255">
        <v>29588</v>
      </c>
      <c r="G255">
        <v>30113</v>
      </c>
      <c r="H255">
        <v>30661</v>
      </c>
      <c r="I255">
        <v>31196</v>
      </c>
      <c r="K255" t="s">
        <v>369</v>
      </c>
      <c r="M255">
        <f>birthrate[[#This Row],[2016]]/1000</f>
        <v>0</v>
      </c>
    </row>
    <row r="256" spans="1:13" x14ac:dyDescent="0.35">
      <c r="A256" t="s">
        <v>370</v>
      </c>
      <c r="B256">
        <v>108358</v>
      </c>
      <c r="C256">
        <v>108292</v>
      </c>
      <c r="D256">
        <v>108191</v>
      </c>
      <c r="E256">
        <v>108044</v>
      </c>
      <c r="F256">
        <v>107884</v>
      </c>
      <c r="G256">
        <v>107710</v>
      </c>
      <c r="H256">
        <v>107510</v>
      </c>
      <c r="I256">
        <v>107268</v>
      </c>
      <c r="K256" t="s">
        <v>370</v>
      </c>
      <c r="L256">
        <v>13</v>
      </c>
      <c r="M256">
        <f>birthrate[[#This Row],[2016]]/1000</f>
        <v>1.2999999999999999E-2</v>
      </c>
    </row>
    <row r="257" spans="1:13" x14ac:dyDescent="0.35">
      <c r="A257" s="8" t="s">
        <v>221</v>
      </c>
      <c r="B257">
        <v>88472512</v>
      </c>
      <c r="C257">
        <v>89436644</v>
      </c>
      <c r="D257">
        <v>90451881</v>
      </c>
      <c r="E257">
        <v>91497725</v>
      </c>
      <c r="F257">
        <v>92544915</v>
      </c>
      <c r="G257">
        <v>93571567</v>
      </c>
      <c r="H257">
        <v>94569072</v>
      </c>
      <c r="I257">
        <v>95540800</v>
      </c>
      <c r="K257" s="8" t="s">
        <v>221</v>
      </c>
      <c r="L257">
        <v>16.690999999999999</v>
      </c>
      <c r="M257">
        <f>birthrate[[#This Row],[2016]]/1000</f>
        <v>1.6690999999999998E-2</v>
      </c>
    </row>
    <row r="258" spans="1:13" x14ac:dyDescent="0.35">
      <c r="A258" t="s">
        <v>219</v>
      </c>
      <c r="B258">
        <v>236295</v>
      </c>
      <c r="C258">
        <v>241871</v>
      </c>
      <c r="D258">
        <v>247485</v>
      </c>
      <c r="E258">
        <v>253142</v>
      </c>
      <c r="F258">
        <v>258850</v>
      </c>
      <c r="G258">
        <v>264603</v>
      </c>
      <c r="H258">
        <v>270402</v>
      </c>
      <c r="I258">
        <v>276244</v>
      </c>
      <c r="K258" t="s">
        <v>219</v>
      </c>
      <c r="L258">
        <v>25.855</v>
      </c>
      <c r="M258">
        <f>birthrate[[#This Row],[2016]]/1000</f>
        <v>2.5855E-2</v>
      </c>
    </row>
    <row r="259" spans="1:13" x14ac:dyDescent="0.35">
      <c r="A259" t="s">
        <v>371</v>
      </c>
      <c r="B259">
        <v>6932869743</v>
      </c>
      <c r="C259">
        <v>7014983968</v>
      </c>
      <c r="D259">
        <v>7099557649</v>
      </c>
      <c r="E259">
        <v>7185137526</v>
      </c>
      <c r="F259">
        <v>7271322821</v>
      </c>
      <c r="G259">
        <v>7357559450</v>
      </c>
      <c r="H259">
        <v>7444157356</v>
      </c>
      <c r="I259">
        <v>7530360149</v>
      </c>
      <c r="K259" t="s">
        <v>371</v>
      </c>
      <c r="L259">
        <v>18.886128936929399</v>
      </c>
      <c r="M259">
        <f>birthrate[[#This Row],[2016]]/1000</f>
        <v>1.8886128936929401E-2</v>
      </c>
    </row>
    <row r="260" spans="1:13" x14ac:dyDescent="0.35">
      <c r="A260" t="s">
        <v>177</v>
      </c>
      <c r="B260">
        <v>186205</v>
      </c>
      <c r="C260">
        <v>187665</v>
      </c>
      <c r="D260">
        <v>189194</v>
      </c>
      <c r="E260">
        <v>190757</v>
      </c>
      <c r="F260">
        <v>192290</v>
      </c>
      <c r="G260">
        <v>193759</v>
      </c>
      <c r="H260">
        <v>195125</v>
      </c>
      <c r="I260">
        <v>196440</v>
      </c>
      <c r="K260" t="s">
        <v>177</v>
      </c>
      <c r="L260">
        <v>24.689</v>
      </c>
      <c r="M260">
        <f>birthrate[[#This Row],[2016]]/1000</f>
        <v>2.4688999999999999E-2</v>
      </c>
    </row>
    <row r="261" spans="1:13" x14ac:dyDescent="0.35">
      <c r="A261" t="s">
        <v>372</v>
      </c>
      <c r="B261">
        <v>1775680</v>
      </c>
      <c r="C261">
        <v>1791000</v>
      </c>
      <c r="D261">
        <v>1805200</v>
      </c>
      <c r="E261">
        <v>1824100</v>
      </c>
      <c r="F261">
        <v>1821800</v>
      </c>
      <c r="G261">
        <v>1801800</v>
      </c>
      <c r="H261">
        <v>1816200</v>
      </c>
      <c r="I261">
        <v>1830700</v>
      </c>
      <c r="K261" t="s">
        <v>372</v>
      </c>
      <c r="L261">
        <v>16.8</v>
      </c>
      <c r="M261">
        <f>birthrate[[#This Row],[2016]]/1000</f>
        <v>1.6800000000000002E-2</v>
      </c>
    </row>
    <row r="262" spans="1:13" x14ac:dyDescent="0.35">
      <c r="A262" s="12" t="s">
        <v>222</v>
      </c>
      <c r="B262">
        <v>23606779</v>
      </c>
      <c r="C262">
        <v>24252206</v>
      </c>
      <c r="D262">
        <v>24909969</v>
      </c>
      <c r="E262">
        <v>25576322</v>
      </c>
      <c r="F262">
        <v>26246327</v>
      </c>
      <c r="G262">
        <v>26916207</v>
      </c>
      <c r="H262">
        <v>27584213</v>
      </c>
      <c r="I262">
        <v>28250420</v>
      </c>
      <c r="K262" s="12" t="s">
        <v>222</v>
      </c>
      <c r="L262">
        <v>31.635999999999999</v>
      </c>
      <c r="M262">
        <f>birthrate[[#This Row],[2016]]/1000</f>
        <v>3.1635999999999997E-2</v>
      </c>
    </row>
    <row r="263" spans="1:13" x14ac:dyDescent="0.35">
      <c r="A263" t="s">
        <v>190</v>
      </c>
      <c r="B263">
        <v>51584663</v>
      </c>
      <c r="C263">
        <v>52263516</v>
      </c>
      <c r="D263">
        <v>52998213</v>
      </c>
      <c r="E263">
        <v>53767396</v>
      </c>
      <c r="F263">
        <v>54539571</v>
      </c>
      <c r="G263">
        <v>55291225</v>
      </c>
      <c r="H263">
        <v>56015473</v>
      </c>
      <c r="I263">
        <v>56717156</v>
      </c>
      <c r="K263" t="s">
        <v>190</v>
      </c>
      <c r="L263">
        <v>20.981000000000002</v>
      </c>
      <c r="M263">
        <f>birthrate[[#This Row],[2016]]/1000</f>
        <v>2.0981000000000003E-2</v>
      </c>
    </row>
    <row r="264" spans="1:13" x14ac:dyDescent="0.35">
      <c r="A264" t="s">
        <v>224</v>
      </c>
      <c r="B264">
        <v>13850033</v>
      </c>
      <c r="C264">
        <v>14264756</v>
      </c>
      <c r="D264">
        <v>14699937</v>
      </c>
      <c r="E264">
        <v>15153210</v>
      </c>
      <c r="F264">
        <v>15620974</v>
      </c>
      <c r="G264">
        <v>16100587</v>
      </c>
      <c r="H264">
        <v>16591390</v>
      </c>
      <c r="I264">
        <v>17094130</v>
      </c>
      <c r="K264" t="s">
        <v>224</v>
      </c>
      <c r="L264">
        <v>38.131</v>
      </c>
      <c r="M264">
        <f>birthrate[[#This Row],[2016]]/1000</f>
        <v>3.8130999999999998E-2</v>
      </c>
    </row>
    <row r="265" spans="1:13" x14ac:dyDescent="0.35">
      <c r="A265" t="s">
        <v>223</v>
      </c>
      <c r="I265">
        <v>23230000</v>
      </c>
      <c r="K265" t="s">
        <v>223</v>
      </c>
      <c r="L265">
        <v>11</v>
      </c>
      <c r="M265" s="39">
        <f>birthrate[[#This Row],[2016]]/1000</f>
        <v>1.0999999999999999E-2</v>
      </c>
    </row>
    <row r="266" spans="1:13" x14ac:dyDescent="0.35">
      <c r="A266" t="s">
        <v>196</v>
      </c>
      <c r="B266">
        <v>1193148</v>
      </c>
      <c r="I266">
        <v>1367000</v>
      </c>
      <c r="K266" t="s">
        <v>196</v>
      </c>
      <c r="L266">
        <v>28.85</v>
      </c>
      <c r="M266" s="39">
        <f>birthrate[[#This Row],[2016]]/1000</f>
        <v>2.8850000000000001E-2</v>
      </c>
    </row>
    <row r="267" spans="1:13" x14ac:dyDescent="0.35">
      <c r="A267" t="s">
        <v>174</v>
      </c>
      <c r="I267">
        <v>55345</v>
      </c>
      <c r="K267" t="s">
        <v>174</v>
      </c>
      <c r="L267">
        <v>13.2</v>
      </c>
      <c r="M267" s="39">
        <f>birthrate[[#This Row],[2016]]/1000</f>
        <v>1.32E-2</v>
      </c>
    </row>
    <row r="268" spans="1:13" x14ac:dyDescent="0.35">
      <c r="A268" t="s">
        <v>156</v>
      </c>
      <c r="I268">
        <v>1627</v>
      </c>
      <c r="K268" t="s">
        <v>156</v>
      </c>
      <c r="L268">
        <v>15.84</v>
      </c>
      <c r="M268" s="39">
        <f>birthrate[[#This Row],[2016]]/1000</f>
        <v>1.584E-2</v>
      </c>
    </row>
    <row r="269" spans="1:13" x14ac:dyDescent="0.35">
      <c r="A269" t="s">
        <v>69</v>
      </c>
      <c r="I269">
        <v>17424</v>
      </c>
      <c r="K269" s="8" t="s">
        <v>80</v>
      </c>
      <c r="L269">
        <v>15.1</v>
      </c>
      <c r="M269" s="39">
        <f>birthrate[[#This Row],[2016]]/1000</f>
        <v>1.5099999999999999E-2</v>
      </c>
    </row>
    <row r="270" spans="1:13" x14ac:dyDescent="0.35">
      <c r="A270" t="s">
        <v>225</v>
      </c>
      <c r="B270">
        <v>14086317</v>
      </c>
      <c r="C270">
        <v>14386649</v>
      </c>
      <c r="D270">
        <v>14710826</v>
      </c>
      <c r="E270">
        <v>15054506</v>
      </c>
      <c r="F270">
        <v>15411675</v>
      </c>
      <c r="G270">
        <v>15777451</v>
      </c>
      <c r="H270">
        <v>16150362</v>
      </c>
      <c r="I270">
        <v>16529904</v>
      </c>
      <c r="K270" t="s">
        <v>69</v>
      </c>
      <c r="L270">
        <v>14</v>
      </c>
      <c r="M270" s="39">
        <f>birthrate[[#This Row],[2016]]/1000</f>
        <v>1.4E-2</v>
      </c>
    </row>
    <row r="271" spans="1:13" x14ac:dyDescent="0.35">
      <c r="A271" t="s">
        <v>214</v>
      </c>
      <c r="H271">
        <v>65788574</v>
      </c>
      <c r="I271">
        <v>66181585</v>
      </c>
      <c r="K271" t="s">
        <v>214</v>
      </c>
      <c r="L271">
        <v>11.8</v>
      </c>
      <c r="M271" s="39">
        <f>birthrate[[#This Row],[2016]]/1000</f>
        <v>1.1800000000000001E-2</v>
      </c>
    </row>
    <row r="272" spans="1:13" x14ac:dyDescent="0.35">
      <c r="K272" t="s">
        <v>225</v>
      </c>
      <c r="L272">
        <v>33.143999999999998</v>
      </c>
      <c r="M272">
        <f>birthrate[[#This Row],[2016]]/1000</f>
        <v>3.3144E-2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6"/>
  <sheetViews>
    <sheetView workbookViewId="0">
      <selection activeCell="A5" sqref="A5"/>
    </sheetView>
  </sheetViews>
  <sheetFormatPr defaultRowHeight="14.5" x14ac:dyDescent="0.35"/>
  <cols>
    <col min="1" max="1" width="42.36328125" customWidth="1"/>
    <col min="2" max="3" width="9.36328125" bestFit="1" customWidth="1"/>
    <col min="4" max="4" width="9" customWidth="1"/>
    <col min="5" max="5" width="9.7265625" customWidth="1"/>
    <col min="6" max="6" width="11.36328125" customWidth="1"/>
  </cols>
  <sheetData>
    <row r="1" spans="1:6" x14ac:dyDescent="0.3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</row>
    <row r="2" spans="1:6" x14ac:dyDescent="0.35">
      <c r="A2" t="s">
        <v>11</v>
      </c>
      <c r="B2" s="44">
        <f>VLOOKUP(Table13[[Region]:[Region]],costs_calc!$A$4:$L$9,8,FALSE)</f>
        <v>44.525141999999995</v>
      </c>
      <c r="C2" s="44">
        <f>VLOOKUP(Table13[[Region]:[Region]],costs_calc!$A$4:$L$9,9,FALSE)</f>
        <v>44.525141999999995</v>
      </c>
      <c r="D2" s="44">
        <f>VLOOKUP(Table13[[Region]:[Region]],costs_calc!$A$4:$L$9,10,FALSE)</f>
        <v>92.254001999999986</v>
      </c>
      <c r="E2" s="44">
        <f>VLOOKUP(Table13[[Region]:[Region]],costs_calc!$A$4:$L$9,11,FALSE)</f>
        <v>92.254001999999986</v>
      </c>
      <c r="F2" s="44">
        <f>VLOOKUP(Table13[[Region]:[Region]],costs_calc!$A$4:$L$9,12,FALSE)</f>
        <v>92.254001999999986</v>
      </c>
    </row>
    <row r="3" spans="1:6" x14ac:dyDescent="0.35">
      <c r="A3" t="s">
        <v>58</v>
      </c>
      <c r="B3" s="44">
        <f>VLOOKUP(Table13[[Region]:[Region]],costs_calc!$A$4:$L$9,8,FALSE)</f>
        <v>73.064384999999987</v>
      </c>
      <c r="C3" s="44">
        <f>VLOOKUP(Table13[[Region]:[Region]],costs_calc!$A$4:$L$9,9,FALSE)</f>
        <v>73.064384999999987</v>
      </c>
      <c r="D3" s="44">
        <f>VLOOKUP(Table13[[Region]:[Region]],costs_calc!$A$4:$L$9,10,FALSE)</f>
        <v>120.79324499999998</v>
      </c>
      <c r="E3" s="44">
        <f>VLOOKUP(Table13[[Region]:[Region]],costs_calc!$A$4:$L$9,11,FALSE)</f>
        <v>120.79324499999998</v>
      </c>
      <c r="F3" s="44">
        <f>VLOOKUP(Table13[[Region]:[Region]],costs_calc!$A$4:$L$9,12,FALSE)</f>
        <v>120.79324499999998</v>
      </c>
    </row>
    <row r="4" spans="1:6" x14ac:dyDescent="0.35">
      <c r="A4" t="s">
        <v>383</v>
      </c>
      <c r="B4" s="44">
        <f>VLOOKUP(Table13[[Region]:[Region]],costs_calc!$A$4:$L$9,8,FALSE)</f>
        <v>86.85998699999999</v>
      </c>
      <c r="C4" s="44">
        <f>VLOOKUP(Table13[[Region]:[Region]],costs_calc!$A$4:$L$9,9,FALSE)</f>
        <v>86.85998699999999</v>
      </c>
      <c r="D4" s="44">
        <f>VLOOKUP(Table13[[Region]:[Region]],costs_calc!$A$4:$L$9,10,FALSE)</f>
        <v>134.58884699999999</v>
      </c>
      <c r="E4" s="44">
        <f>VLOOKUP(Table13[[Region]:[Region]],costs_calc!$A$4:$L$9,11,FALSE)</f>
        <v>134.58884699999999</v>
      </c>
      <c r="F4" s="44">
        <f>VLOOKUP(Table13[[Region]:[Region]],costs_calc!$A$4:$L$9,12,FALSE)</f>
        <v>134.58884699999999</v>
      </c>
    </row>
    <row r="5" spans="1:6" x14ac:dyDescent="0.35">
      <c r="A5" t="s">
        <v>7</v>
      </c>
      <c r="B5" s="44">
        <f>VLOOKUP(Table13[[Region]:[Region]],costs_calc!$A$4:$L$9,8,FALSE)</f>
        <v>57.906657999999993</v>
      </c>
      <c r="C5" s="44">
        <f>VLOOKUP(Table13[[Region]:[Region]],costs_calc!$A$4:$L$9,9,FALSE)</f>
        <v>57.906657999999993</v>
      </c>
      <c r="D5" s="44">
        <f>VLOOKUP(Table13[[Region]:[Region]],costs_calc!$A$4:$L$9,10,FALSE)</f>
        <v>105.63551799999999</v>
      </c>
      <c r="E5" s="44">
        <f>VLOOKUP(Table13[[Region]:[Region]],costs_calc!$A$4:$L$9,11,FALSE)</f>
        <v>105.63551799999999</v>
      </c>
      <c r="F5" s="44">
        <f>VLOOKUP(Table13[[Region]:[Region]],costs_calc!$A$4:$L$9,12,FALSE)</f>
        <v>105.63551799999999</v>
      </c>
    </row>
    <row r="6" spans="1:6" x14ac:dyDescent="0.35">
      <c r="A6" t="s">
        <v>37</v>
      </c>
      <c r="B6" s="44">
        <f>VLOOKUP(Table13[[Region]:[Region]],costs_calc!$A$4:$L$9,8,FALSE)</f>
        <v>57.361807999999996</v>
      </c>
      <c r="C6" s="44">
        <f>VLOOKUP(Table13[[Region]:[Region]],costs_calc!$A$4:$L$9,9,FALSE)</f>
        <v>57.361807999999996</v>
      </c>
      <c r="D6" s="44">
        <f>VLOOKUP(Table13[[Region]:[Region]],costs_calc!$A$4:$L$9,10,FALSE)</f>
        <v>105.09066799999999</v>
      </c>
      <c r="E6" s="44">
        <f>VLOOKUP(Table13[[Region]:[Region]],costs_calc!$A$4:$L$9,11,FALSE)</f>
        <v>105.09066799999999</v>
      </c>
      <c r="F6" s="44">
        <f>VLOOKUP(Table13[[Region]:[Region]],costs_calc!$A$4:$L$9,12,FALSE)</f>
        <v>105.09066799999999</v>
      </c>
    </row>
    <row r="7" spans="1:6" x14ac:dyDescent="0.35">
      <c r="A7" t="s">
        <v>15</v>
      </c>
      <c r="B7" s="44">
        <f>VLOOKUP(Table13[[Region]:[Region]],costs_calc!$A$4:$L$9,8,FALSE)</f>
        <v>29.912264999999998</v>
      </c>
      <c r="C7" s="44">
        <f>VLOOKUP(Table13[[Region]:[Region]],costs_calc!$A$4:$L$9,9,FALSE)</f>
        <v>29.912264999999998</v>
      </c>
      <c r="D7" s="44">
        <f>VLOOKUP(Table13[[Region]:[Region]],costs_calc!$A$4:$L$9,10,FALSE)</f>
        <v>77.641124999999988</v>
      </c>
      <c r="E7" s="44">
        <f>VLOOKUP(Table13[[Region]:[Region]],costs_calc!$A$4:$L$9,11,FALSE)</f>
        <v>77.641124999999988</v>
      </c>
      <c r="F7" s="44">
        <f>VLOOKUP(Table13[[Region]:[Region]],costs_calc!$A$4:$L$9,12,FALSE)</f>
        <v>77.641124999999988</v>
      </c>
    </row>
    <row r="10" spans="1:6" x14ac:dyDescent="0.35">
      <c r="A10" t="s">
        <v>435</v>
      </c>
      <c r="B10" t="s">
        <v>429</v>
      </c>
      <c r="C10" t="s">
        <v>430</v>
      </c>
      <c r="D10" t="s">
        <v>431</v>
      </c>
      <c r="E10" t="s">
        <v>432</v>
      </c>
      <c r="F10" t="s">
        <v>433</v>
      </c>
    </row>
    <row r="11" spans="1:6" x14ac:dyDescent="0.35">
      <c r="A11" t="s">
        <v>11</v>
      </c>
      <c r="B11">
        <f>VLOOKUP(Table14[[Region]:[Region]],costs_calc!$F$27:$K$32, 2, FALSE)</f>
        <v>6.4182919999999992</v>
      </c>
      <c r="C11">
        <f>VLOOKUP(Table14[[Region]:[Region]],costs_calc!$F$27:$K$32, 3, FALSE)</f>
        <v>7.0357919999999998</v>
      </c>
      <c r="D11">
        <f>VLOOKUP(Table14[[Region]:[Region]],costs_calc!$F$27:$K$32, 4, FALSE)</f>
        <v>10.482872999999998</v>
      </c>
      <c r="E11">
        <f>VLOOKUP(Table14[[Region]:[Region]],costs_calc!$F$27:$K$32, 5, FALSE)</f>
        <v>11.100372999999999</v>
      </c>
      <c r="F11">
        <f>VLOOKUP(Table14[[Region]:[Region]],costs_calc!$F$27:$K$32, 6, FALSE)</f>
        <v>11.670624999999999</v>
      </c>
    </row>
    <row r="12" spans="1:6" x14ac:dyDescent="0.35">
      <c r="A12" t="s">
        <v>58</v>
      </c>
      <c r="B12">
        <f>VLOOKUP(Table14[[Region]:[Region]],costs_calc!$F$27:$K$32, 2, FALSE)</f>
        <v>1.34029</v>
      </c>
      <c r="C12">
        <f>VLOOKUP(Table14[[Region]:[Region]],costs_calc!$F$27:$K$32, 3, FALSE)</f>
        <v>1.9577900000000001</v>
      </c>
      <c r="D12">
        <f>VLOOKUP(Table14[[Region]:[Region]],costs_calc!$F$27:$K$32, 4, FALSE)</f>
        <v>1.9723159999999997</v>
      </c>
      <c r="E12">
        <f>VLOOKUP(Table14[[Region]:[Region]],costs_calc!$F$27:$K$32, 5, FALSE)</f>
        <v>2.5898159999999999</v>
      </c>
      <c r="F12">
        <f>VLOOKUP(Table14[[Region]:[Region]],costs_calc!$F$27:$K$32, 6, FALSE)</f>
        <v>3.1600679999999999</v>
      </c>
    </row>
    <row r="13" spans="1:6" x14ac:dyDescent="0.35">
      <c r="A13" t="s">
        <v>383</v>
      </c>
      <c r="B13">
        <f>VLOOKUP(Table14[[Region]:[Region]],costs_calc!$F$27:$K$32, 2, FALSE)</f>
        <v>1.514642</v>
      </c>
      <c r="C13">
        <f>VLOOKUP(Table14[[Region]:[Region]],costs_calc!$F$27:$K$32, 3, FALSE)</f>
        <v>2.132142</v>
      </c>
      <c r="D13">
        <f>VLOOKUP(Table14[[Region]:[Region]],costs_calc!$F$27:$K$32, 4, FALSE)</f>
        <v>1.5364360000000001</v>
      </c>
      <c r="E13">
        <f>VLOOKUP(Table14[[Region]:[Region]],costs_calc!$F$27:$K$32, 5, FALSE)</f>
        <v>2.1539359999999999</v>
      </c>
      <c r="F13">
        <f>VLOOKUP(Table14[[Region]:[Region]],costs_calc!$F$27:$K$32, 6, FALSE)</f>
        <v>2.7241879999999998</v>
      </c>
    </row>
    <row r="14" spans="1:6" x14ac:dyDescent="0.35">
      <c r="A14" t="s">
        <v>7</v>
      </c>
      <c r="B14">
        <f>VLOOKUP(Table14[[Region]:[Region]],costs_calc!$F$27:$K$32, 2, FALSE)</f>
        <v>1.5037449999999999</v>
      </c>
      <c r="C14">
        <f>VLOOKUP(Table14[[Region]:[Region]],costs_calc!$F$27:$K$32, 3, FALSE)</f>
        <v>2.121245</v>
      </c>
      <c r="D14">
        <f>VLOOKUP(Table14[[Region]:[Region]],costs_calc!$F$27:$K$32, 4, FALSE)</f>
        <v>1.9832129999999999</v>
      </c>
      <c r="E14">
        <f>VLOOKUP(Table14[[Region]:[Region]],costs_calc!$F$27:$K$32, 5, FALSE)</f>
        <v>2.6007129999999998</v>
      </c>
      <c r="F14">
        <f>VLOOKUP(Table14[[Region]:[Region]],costs_calc!$F$27:$K$32, 6, FALSE)</f>
        <v>3.1709649999999998</v>
      </c>
    </row>
    <row r="15" spans="1:6" x14ac:dyDescent="0.35">
      <c r="A15" t="s">
        <v>37</v>
      </c>
      <c r="B15">
        <f>VLOOKUP(Table14[[Region]:[Region]],costs_calc!$F$27:$K$32, 2, FALSE)</f>
        <v>0.95889500000000005</v>
      </c>
      <c r="C15">
        <f>VLOOKUP(Table14[[Region]:[Region]],costs_calc!$F$27:$K$32, 3, FALSE)</f>
        <v>1.5763950000000002</v>
      </c>
      <c r="D15">
        <f>VLOOKUP(Table14[[Region]:[Region]],costs_calc!$F$27:$K$32, 4, FALSE)</f>
        <v>33.028765999999997</v>
      </c>
      <c r="E15">
        <f>VLOOKUP(Table14[[Region]:[Region]],costs_calc!$F$27:$K$32, 5, FALSE)</f>
        <v>33.646265999999997</v>
      </c>
      <c r="F15">
        <f>VLOOKUP(Table14[[Region]:[Region]],costs_calc!$F$27:$K$32, 6, FALSE)</f>
        <v>34.216518000000001</v>
      </c>
    </row>
    <row r="16" spans="1:6" x14ac:dyDescent="0.35">
      <c r="A16" t="s">
        <v>15</v>
      </c>
      <c r="B16">
        <f>VLOOKUP(Table14[[Region]:[Region]],costs_calc!$F$27:$K$32, 2, FALSE)</f>
        <v>0.96979199999999999</v>
      </c>
      <c r="C16">
        <f>VLOOKUP(Table14[[Region]:[Region]],costs_calc!$F$27:$K$32, 3, FALSE)</f>
        <v>1.5872920000000001</v>
      </c>
      <c r="D16">
        <f>VLOOKUP(Table14[[Region]:[Region]],costs_calc!$F$27:$K$32, 4, FALSE)</f>
        <v>5.7971629999999994</v>
      </c>
      <c r="E16">
        <f>VLOOKUP(Table14[[Region]:[Region]],costs_calc!$F$27:$K$32, 5, FALSE)</f>
        <v>6.4146629999999991</v>
      </c>
      <c r="F16">
        <f>VLOOKUP(Table14[[Region]:[Region]],costs_calc!$F$27:$K$32, 6, FALSE)</f>
        <v>6.9849149999999991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158"/>
  <sheetViews>
    <sheetView topLeftCell="Z1" zoomScale="70" zoomScaleNormal="70" workbookViewId="0">
      <selection activeCell="AW4" sqref="AW4"/>
    </sheetView>
  </sheetViews>
  <sheetFormatPr defaultRowHeight="14.5" x14ac:dyDescent="0.35"/>
  <cols>
    <col min="1" max="1" width="46.453125" customWidth="1"/>
    <col min="2" max="2" width="20.453125" customWidth="1"/>
    <col min="3" max="3" width="41" customWidth="1"/>
    <col min="4" max="4" width="55.1796875" customWidth="1"/>
    <col min="5" max="5" width="35.1796875" customWidth="1"/>
    <col min="6" max="6" width="16.90625" customWidth="1"/>
    <col min="7" max="7" width="18.6328125" customWidth="1"/>
    <col min="8" max="8" width="14.26953125" customWidth="1"/>
    <col min="10" max="10" width="13.26953125" customWidth="1"/>
    <col min="11" max="11" width="12.6328125" customWidth="1"/>
    <col min="12" max="12" width="11.7265625" customWidth="1"/>
    <col min="50" max="50" width="12.1796875" customWidth="1"/>
    <col min="51" max="51" width="11.81640625" customWidth="1"/>
    <col min="52" max="52" width="12.36328125" customWidth="1"/>
  </cols>
  <sheetData>
    <row r="1" spans="1:52" x14ac:dyDescent="0.35">
      <c r="A1" t="s">
        <v>441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240</v>
      </c>
      <c r="K1" t="s">
        <v>450</v>
      </c>
      <c r="L1" t="s">
        <v>451</v>
      </c>
      <c r="M1" t="s">
        <v>244</v>
      </c>
      <c r="N1" t="s">
        <v>452</v>
      </c>
      <c r="O1" t="s">
        <v>453</v>
      </c>
      <c r="P1" t="s">
        <v>454</v>
      </c>
      <c r="Q1" t="s">
        <v>385</v>
      </c>
      <c r="R1" t="s">
        <v>386</v>
      </c>
      <c r="S1" t="s">
        <v>387</v>
      </c>
      <c r="T1" s="39" t="s">
        <v>388</v>
      </c>
      <c r="U1" s="39" t="s">
        <v>389</v>
      </c>
      <c r="V1" s="39" t="s">
        <v>390</v>
      </c>
      <c r="W1" s="39" t="s">
        <v>391</v>
      </c>
      <c r="X1" s="39" t="s">
        <v>392</v>
      </c>
      <c r="Y1" s="39" t="s">
        <v>393</v>
      </c>
      <c r="Z1" s="39" t="s">
        <v>394</v>
      </c>
      <c r="AA1" s="39" t="s">
        <v>395</v>
      </c>
      <c r="AB1" s="39" t="s">
        <v>396</v>
      </c>
      <c r="AC1" s="39" t="s">
        <v>397</v>
      </c>
      <c r="AD1" s="39" t="s">
        <v>398</v>
      </c>
      <c r="AE1" s="39" t="s">
        <v>399</v>
      </c>
      <c r="AF1" s="39" t="s">
        <v>400</v>
      </c>
      <c r="AG1" s="39" t="s">
        <v>401</v>
      </c>
      <c r="AH1" s="39" t="s">
        <v>402</v>
      </c>
      <c r="AI1" s="39" t="s">
        <v>403</v>
      </c>
      <c r="AJ1" t="s">
        <v>404</v>
      </c>
      <c r="AK1" t="s">
        <v>405</v>
      </c>
      <c r="AL1" t="s">
        <v>406</v>
      </c>
      <c r="AM1" t="s">
        <v>436</v>
      </c>
      <c r="AN1" t="s">
        <v>437</v>
      </c>
      <c r="AO1" t="s">
        <v>438</v>
      </c>
      <c r="AP1" t="s">
        <v>439</v>
      </c>
      <c r="AQ1" t="s">
        <v>440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455</v>
      </c>
      <c r="AX1" t="s">
        <v>374</v>
      </c>
      <c r="AY1" t="s">
        <v>377</v>
      </c>
      <c r="AZ1" t="s">
        <v>456</v>
      </c>
    </row>
    <row r="2" spans="1:52" x14ac:dyDescent="0.35">
      <c r="A2" s="8" t="s">
        <v>12</v>
      </c>
      <c r="B2" s="10" t="s">
        <v>14</v>
      </c>
      <c r="C2" s="10" t="s">
        <v>13</v>
      </c>
      <c r="D2" s="11" t="s">
        <v>15</v>
      </c>
      <c r="E2">
        <f>VLOOKUP(all_lmics[[Setting]:[Setting]],populations[],9,FALSE)</f>
        <v>41318142</v>
      </c>
      <c r="F2">
        <f>VLOOKUP(all_lmics[[Setting]:[Setting]],birthrate[],3,FALSE)</f>
        <v>2.3132E-2</v>
      </c>
      <c r="G2">
        <f>all_lmics[[#This Row],[2017_population]]*all_lmics[[#This Row],[2016_birthrate]]</f>
        <v>955771.26074399997</v>
      </c>
      <c r="H2">
        <f>VLOOKUP(all_lmics[[Setting]:[Setting]],birthdose[],4,FALSE)</f>
        <v>0.99</v>
      </c>
      <c r="I2">
        <f>VLOOKUP(all_lmics[[Setting]:[Setting]],fullvax[],4,FALSE)</f>
        <v>0.91</v>
      </c>
      <c r="J2">
        <f>IFERROR(VLOOKUP(all_lmics[[Setting]:[Setting]],prev[],3,FALSE),0)</f>
        <v>2.1499999999999998E-2</v>
      </c>
      <c r="K2">
        <f>IFERROR(VLOOKUP(all_lmics[[Setting]:[Setting]],prev[],4,FALSE),0)</f>
        <v>1.4E-2</v>
      </c>
      <c r="L2">
        <f>IFERROR(VLOOKUP(all_lmics[[Setting]:[Setting]],prev[],5,FALSE),0)</f>
        <v>3.2300000000000002E-2</v>
      </c>
      <c r="M2">
        <f>IFERROR(VLOOKUP(all_lmics[[Setting]:[Setting]],prev[],7,FALSE),0)</f>
        <v>5.5102040816326549E-3</v>
      </c>
      <c r="N2">
        <f>IFERROR(VLOOKUP(all_lmics[[Setting]:[Setting]],prev[],6,FALSE),0)</f>
        <v>36117637</v>
      </c>
      <c r="O2">
        <f>IFERROR(VLOOKUP(all_lmics[[Setting]:[Setting]],SBA[],4,FALSE),0)</f>
        <v>0.96599999999999997</v>
      </c>
      <c r="P2">
        <f>IFERROR(VLOOKUP(all_lmics[[Setting]:[Setting]], facility[], 3,FALSE),0)</f>
        <v>0.96799999999999997</v>
      </c>
      <c r="Q2">
        <f>IFERROR(VLOOKUP(all_lmics[[Setting]:[Setting]],all_cause_mort[],4,FALSE),0)</f>
        <v>2.1659504999999999E-2</v>
      </c>
      <c r="R2">
        <f>IFERROR(VLOOKUP(all_lmics[[Setting]:[Setting]],all_cause_mort[],5,FALSE),0)</f>
        <v>8.7548632999999995E-4</v>
      </c>
      <c r="S2">
        <f>IFERROR(VLOOKUP(all_lmics[[Setting]:[Setting]],all_cause_mort[],6,FALSE),0)</f>
        <v>4.4614190999999999E-4</v>
      </c>
      <c r="T2">
        <f>IFERROR(VLOOKUP(all_lmics[[Setting]:[Setting]],all_cause_mort[],7,FALSE),0)</f>
        <v>3.9632223000000001E-4</v>
      </c>
      <c r="U2">
        <f>IFERROR(VLOOKUP(all_lmics[[Setting]:[Setting]],all_cause_mort[],8,FALSE),0)</f>
        <v>5.6781373000000003E-4</v>
      </c>
      <c r="V2">
        <f>IFERROR(VLOOKUP(all_lmics[[Setting]:[Setting]],all_cause_mort[],9,FALSE),0)</f>
        <v>7.3915389000000001E-4</v>
      </c>
      <c r="W2">
        <f>IFERROR(VLOOKUP(all_lmics[[Setting]:[Setting]],all_cause_mort[],10,FALSE),0)</f>
        <v>8.7255345000000002E-4</v>
      </c>
      <c r="X2">
        <f>IFERROR(VLOOKUP(all_lmics[[Setting]:[Setting]],all_cause_mort[],11,FALSE),0)</f>
        <v>1.031119E-3</v>
      </c>
      <c r="Y2">
        <f>IFERROR(VLOOKUP(all_lmics[[Setting]:[Setting]],all_cause_mort[],12,FALSE),0)</f>
        <v>1.3854932999999999E-3</v>
      </c>
      <c r="Z2">
        <f>IFERROR(VLOOKUP(all_lmics[[Setting]:[Setting]],all_cause_mort[],13,FALSE),0)</f>
        <v>1.8800754000000001E-3</v>
      </c>
      <c r="AA2">
        <f>IFERROR(VLOOKUP(all_lmics[[Setting]:[Setting]],all_cause_mort[],14,FALSE),0)</f>
        <v>2.7545235000000002E-3</v>
      </c>
      <c r="AB2">
        <f>IFERROR(VLOOKUP(all_lmics[[Setting]:[Setting]],all_cause_mort[],15,FALSE),0)</f>
        <v>4.0843998999999997E-3</v>
      </c>
      <c r="AC2">
        <f>IFERROR(VLOOKUP(all_lmics[[Setting]:[Setting]],all_cause_mort[],16,FALSE),0)</f>
        <v>6.2116617999999997E-3</v>
      </c>
      <c r="AD2">
        <f>IFERROR(VLOOKUP(all_lmics[[Setting]:[Setting]],all_cause_mort[],17,FALSE),0)</f>
        <v>9.9289819999999994E-3</v>
      </c>
      <c r="AE2">
        <f>IFERROR(VLOOKUP(all_lmics[[Setting]:[Setting]],all_cause_mort[],18,FALSE),0)</f>
        <v>1.5267958999999999E-2</v>
      </c>
      <c r="AF2">
        <f>IFERROR(VLOOKUP(all_lmics[[Setting]:[Setting]],all_cause_mort[],19,FALSE),0)</f>
        <v>2.5445237999999998E-2</v>
      </c>
      <c r="AG2">
        <f>IFERROR(VLOOKUP(all_lmics[[Setting]:[Setting]],all_cause_mort[],20,FALSE),0)</f>
        <v>4.4917462999999998E-2</v>
      </c>
      <c r="AH2">
        <f>IFERROR(VLOOKUP(all_lmics[[Setting]:[Setting]],all_cause_mort[],21,FALSE),0)</f>
        <v>8.0227533000000004E-2</v>
      </c>
      <c r="AI2">
        <f>IFERROR(VLOOKUP(all_lmics[[Setting]:[Setting]],all_cause_mort[],22,FALSE),0)</f>
        <v>0.13637622999999999</v>
      </c>
      <c r="AJ2">
        <f>IFERROR(VLOOKUP(all_lmics[[Setting]:[Setting]],all_cause_mort[],23,FALSE),0)</f>
        <v>0.21586394</v>
      </c>
      <c r="AK2">
        <f>IFERROR(VLOOKUP(all_lmics[[Setting]:[Setting]],all_cause_mort[],24,FALSE),0)</f>
        <v>0.31644028000000002</v>
      </c>
      <c r="AL2">
        <f>IFERROR(VLOOKUP(all_lmics[[Setting]:[Setting]],all_cause_mort[],25,FALSE),0)</f>
        <v>0.45656238112257003</v>
      </c>
      <c r="AM2">
        <f>VLOOKUP(all_lmics[[worldbank_region]:[worldbank_region]],Table13[],2,FALSE)</f>
        <v>29.912264999999998</v>
      </c>
      <c r="AN2">
        <f>VLOOKUP(all_lmics[[worldbank_region]:[worldbank_region]],Table13[],3,FALSE)</f>
        <v>29.912264999999998</v>
      </c>
      <c r="AO2">
        <f>VLOOKUP(all_lmics[[worldbank_region]:[worldbank_region]],Table13[],4,FALSE)</f>
        <v>77.641124999999988</v>
      </c>
      <c r="AP2">
        <f>VLOOKUP(all_lmics[[worldbank_region]:[worldbank_region]],Table13[],5,FALSE)</f>
        <v>77.641124999999988</v>
      </c>
      <c r="AQ2">
        <f>VLOOKUP(all_lmics[[worldbank_region]:[worldbank_region]],Table13[],6,FALSE)</f>
        <v>77.641124999999988</v>
      </c>
      <c r="AR2">
        <f>VLOOKUP(all_lmics[[worldbank_region]:[worldbank_region]],Table14[],2,FALSE)</f>
        <v>0.96979199999999999</v>
      </c>
      <c r="AS2">
        <f>VLOOKUP(all_lmics[[worldbank_region]:[worldbank_region]],Table14[],3,FALSE)</f>
        <v>1.5872920000000001</v>
      </c>
      <c r="AT2">
        <f>VLOOKUP(all_lmics[[worldbank_region]:[worldbank_region]],Table14[],4,FALSE)</f>
        <v>5.7971629999999994</v>
      </c>
      <c r="AU2">
        <f>VLOOKUP(all_lmics[[worldbank_region]:[worldbank_region]],Table14[],5,FALSE)</f>
        <v>6.4146629999999991</v>
      </c>
      <c r="AV2">
        <f>VLOOKUP(all_lmics[[worldbank_region]:[worldbank_region]],Table14[],6,FALSE)</f>
        <v>6.9849149999999991</v>
      </c>
      <c r="AW2">
        <f>IFERROR(VLOOKUP(all_lmics[[Setting]:[Setting]],nFacSBA[],4,FALSE),0)</f>
        <v>0</v>
      </c>
      <c r="AX2">
        <f>VLOOKUP(all_lmics[[worldbank_region]:[worldbank_region]],hbe[],2)</f>
        <v>0.3</v>
      </c>
      <c r="AY2">
        <f>VLOOKUP(all_lmics[[worldbank_region]:[worldbank_region]],hbe[],5)</f>
        <v>0.875</v>
      </c>
      <c r="AZ2">
        <f>VLOOKUP(all_lmics[[worldbank_region]:[worldbank_region]],hbe[],8)</f>
        <v>0.15</v>
      </c>
    </row>
    <row r="3" spans="1:52" x14ac:dyDescent="0.35">
      <c r="A3" s="8" t="s">
        <v>19</v>
      </c>
      <c r="B3" s="10" t="s">
        <v>14</v>
      </c>
      <c r="C3" s="10" t="s">
        <v>13</v>
      </c>
      <c r="D3" s="11" t="s">
        <v>15</v>
      </c>
      <c r="E3">
        <f>VLOOKUP(all_lmics[[Setting]:[Setting]],populations[],9,FALSE)</f>
        <v>29784193</v>
      </c>
      <c r="F3">
        <f>VLOOKUP(all_lmics[[Setting]:[Setting]],birthrate[],3,FALSE)</f>
        <v>4.1819000000000002E-2</v>
      </c>
      <c r="G3">
        <f>all_lmics[[#This Row],[2017_population]]*all_lmics[[#This Row],[2016_birthrate]]</f>
        <v>1245545.1670669999</v>
      </c>
      <c r="H3">
        <f>VLOOKUP(all_lmics[[Setting]:[Setting]],birthdose[],4,FALSE)</f>
        <v>0</v>
      </c>
      <c r="I3">
        <f>VLOOKUP(all_lmics[[Setting]:[Setting]],fullvax[],4,FALSE)</f>
        <v>0.52</v>
      </c>
      <c r="J3">
        <f>IFERROR(VLOOKUP(all_lmics[[Setting]:[Setting]],prev[],3,FALSE),0)</f>
        <v>0.10199999999999999</v>
      </c>
      <c r="K3">
        <f>IFERROR(VLOOKUP(all_lmics[[Setting]:[Setting]],prev[],4,FALSE),0)</f>
        <v>9.2999999999999999E-2</v>
      </c>
      <c r="L3">
        <f>IFERROR(VLOOKUP(all_lmics[[Setting]:[Setting]],prev[],5,FALSE),0)</f>
        <v>0.114</v>
      </c>
      <c r="M3">
        <f>IFERROR(VLOOKUP(all_lmics[[Setting]:[Setting]],prev[],7,FALSE),0)</f>
        <v>6.1224489795918425E-3</v>
      </c>
      <c r="N3">
        <f>IFERROR(VLOOKUP(all_lmics[[Setting]:[Setting]],prev[],6,FALSE),0)</f>
        <v>29784193</v>
      </c>
      <c r="O3">
        <f>IFERROR(VLOOKUP(all_lmics[[Setting]:[Setting]],SBA[],4,FALSE),0)</f>
        <v>0.46600000000000003</v>
      </c>
      <c r="P3">
        <f>IFERROR(VLOOKUP(all_lmics[[Setting]:[Setting]], facility[], 3,FALSE),0)</f>
        <v>0.45600000000000002</v>
      </c>
      <c r="Q3">
        <f>IFERROR(VLOOKUP(all_lmics[[Setting]:[Setting]],all_cause_mort[],4,FALSE),0)</f>
        <v>6.4531059000000002E-2</v>
      </c>
      <c r="R3">
        <f>IFERROR(VLOOKUP(all_lmics[[Setting]:[Setting]],all_cause_mort[],5,FALSE),0)</f>
        <v>5.2451637000000004E-3</v>
      </c>
      <c r="S3">
        <f>IFERROR(VLOOKUP(all_lmics[[Setting]:[Setting]],all_cause_mort[],6,FALSE),0)</f>
        <v>1.9172759000000001E-3</v>
      </c>
      <c r="T3">
        <f>IFERROR(VLOOKUP(all_lmics[[Setting]:[Setting]],all_cause_mort[],7,FALSE),0)</f>
        <v>1.3961970000000001E-3</v>
      </c>
      <c r="U3">
        <f>IFERROR(VLOOKUP(all_lmics[[Setting]:[Setting]],all_cause_mort[],8,FALSE),0)</f>
        <v>2.3501540000000001E-3</v>
      </c>
      <c r="V3">
        <f>IFERROR(VLOOKUP(all_lmics[[Setting]:[Setting]],all_cause_mort[],9,FALSE),0)</f>
        <v>3.2809611999999998E-3</v>
      </c>
      <c r="W3">
        <f>IFERROR(VLOOKUP(all_lmics[[Setting]:[Setting]],all_cause_mort[],10,FALSE),0)</f>
        <v>3.6205431E-3</v>
      </c>
      <c r="X3">
        <f>IFERROR(VLOOKUP(all_lmics[[Setting]:[Setting]],all_cause_mort[],11,FALSE),0)</f>
        <v>4.1828852E-3</v>
      </c>
      <c r="Y3">
        <f>IFERROR(VLOOKUP(all_lmics[[Setting]:[Setting]],all_cause_mort[],12,FALSE),0)</f>
        <v>5.2032420000000003E-3</v>
      </c>
      <c r="Z3">
        <f>IFERROR(VLOOKUP(all_lmics[[Setting]:[Setting]],all_cause_mort[],13,FALSE),0)</f>
        <v>6.7017502999999999E-3</v>
      </c>
      <c r="AA3">
        <f>IFERROR(VLOOKUP(all_lmics[[Setting]:[Setting]],all_cause_mort[],14,FALSE),0)</f>
        <v>9.0027179000000002E-3</v>
      </c>
      <c r="AB3">
        <f>IFERROR(VLOOKUP(all_lmics[[Setting]:[Setting]],all_cause_mort[],15,FALSE),0)</f>
        <v>1.2711191E-2</v>
      </c>
      <c r="AC3">
        <f>IFERROR(VLOOKUP(all_lmics[[Setting]:[Setting]],all_cause_mort[],16,FALSE),0)</f>
        <v>1.8137687999999999E-2</v>
      </c>
      <c r="AD3">
        <f>IFERROR(VLOOKUP(all_lmics[[Setting]:[Setting]],all_cause_mort[],17,FALSE),0)</f>
        <v>2.7309130000000001E-2</v>
      </c>
      <c r="AE3">
        <f>IFERROR(VLOOKUP(all_lmics[[Setting]:[Setting]],all_cause_mort[],18,FALSE),0)</f>
        <v>4.1340635000000001E-2</v>
      </c>
      <c r="AF3">
        <f>IFERROR(VLOOKUP(all_lmics[[Setting]:[Setting]],all_cause_mort[],19,FALSE),0)</f>
        <v>6.4313836999999999E-2</v>
      </c>
      <c r="AG3">
        <f>IFERROR(VLOOKUP(all_lmics[[Setting]:[Setting]],all_cause_mort[],20,FALSE),0)</f>
        <v>9.9995339000000003E-2</v>
      </c>
      <c r="AH3">
        <f>IFERROR(VLOOKUP(all_lmics[[Setting]:[Setting]],all_cause_mort[],21,FALSE),0)</f>
        <v>0.1528484</v>
      </c>
      <c r="AI3">
        <f>IFERROR(VLOOKUP(all_lmics[[Setting]:[Setting]],all_cause_mort[],22,FALSE),0)</f>
        <v>0.22775861999999999</v>
      </c>
      <c r="AJ3">
        <f>IFERROR(VLOOKUP(all_lmics[[Setting]:[Setting]],all_cause_mort[],23,FALSE),0)</f>
        <v>0.32140297000000001</v>
      </c>
      <c r="AK3">
        <f>IFERROR(VLOOKUP(all_lmics[[Setting]:[Setting]],all_cause_mort[],24,FALSE),0)</f>
        <v>0.44126733000000001</v>
      </c>
      <c r="AL3">
        <f>IFERROR(VLOOKUP(all_lmics[[Setting]:[Setting]],all_cause_mort[],25,FALSE),0)</f>
        <v>0.57121585064579095</v>
      </c>
      <c r="AM3">
        <f>VLOOKUP(all_lmics[[worldbank_region]:[worldbank_region]],Table13[],2,FALSE)</f>
        <v>29.912264999999998</v>
      </c>
      <c r="AN3">
        <f>VLOOKUP(all_lmics[[worldbank_region]:[worldbank_region]],Table13[],3,FALSE)</f>
        <v>29.912264999999998</v>
      </c>
      <c r="AO3">
        <f>VLOOKUP(all_lmics[[worldbank_region]:[worldbank_region]],Table13[],4,FALSE)</f>
        <v>77.641124999999988</v>
      </c>
      <c r="AP3">
        <f>VLOOKUP(all_lmics[[worldbank_region]:[worldbank_region]],Table13[],5,FALSE)</f>
        <v>77.641124999999988</v>
      </c>
      <c r="AQ3">
        <f>VLOOKUP(all_lmics[[worldbank_region]:[worldbank_region]],Table13[],6,FALSE)</f>
        <v>77.641124999999988</v>
      </c>
      <c r="AR3">
        <f>VLOOKUP(all_lmics[[worldbank_region]:[worldbank_region]],Table14[],2,FALSE)</f>
        <v>0.96979199999999999</v>
      </c>
      <c r="AS3">
        <f>VLOOKUP(all_lmics[[worldbank_region]:[worldbank_region]],Table14[],3,FALSE)</f>
        <v>1.5872920000000001</v>
      </c>
      <c r="AT3">
        <f>VLOOKUP(all_lmics[[worldbank_region]:[worldbank_region]],Table14[],4,FALSE)</f>
        <v>5.7971629999999994</v>
      </c>
      <c r="AU3">
        <f>VLOOKUP(all_lmics[[worldbank_region]:[worldbank_region]],Table14[],5,FALSE)</f>
        <v>6.4146629999999991</v>
      </c>
      <c r="AV3">
        <f>VLOOKUP(all_lmics[[worldbank_region]:[worldbank_region]],Table14[],6,FALSE)</f>
        <v>6.9849149999999991</v>
      </c>
      <c r="AW3">
        <f>IFERROR(VLOOKUP(all_lmics[[Setting]:[Setting]],nFacSBA[],4,FALSE),0)</f>
        <v>0</v>
      </c>
      <c r="AX3">
        <f>VLOOKUP(all_lmics[[worldbank_region]:[worldbank_region]],hbe[],2)</f>
        <v>0.3</v>
      </c>
      <c r="AY3">
        <f>VLOOKUP(all_lmics[[worldbank_region]:[worldbank_region]],hbe[],5)</f>
        <v>0.875</v>
      </c>
      <c r="AZ3">
        <f>VLOOKUP(all_lmics[[worldbank_region]:[worldbank_region]],hbe[],8)</f>
        <v>0.15</v>
      </c>
    </row>
    <row r="4" spans="1:52" x14ac:dyDescent="0.35">
      <c r="A4" s="8" t="s">
        <v>43</v>
      </c>
      <c r="B4" s="10" t="s">
        <v>14</v>
      </c>
      <c r="C4" s="10" t="s">
        <v>13</v>
      </c>
      <c r="D4" s="11" t="s">
        <v>15</v>
      </c>
      <c r="E4">
        <f>VLOOKUP(all_lmics[[Setting]:[Setting]],populations[],9,FALSE)</f>
        <v>11175692</v>
      </c>
      <c r="F4">
        <f>VLOOKUP(all_lmics[[Setting]:[Setting]],birthrate[],3,FALSE)</f>
        <v>3.7026000000000003E-2</v>
      </c>
      <c r="G4">
        <f>all_lmics[[#This Row],[2017_population]]*all_lmics[[#This Row],[2016_birthrate]]</f>
        <v>413791.17199200002</v>
      </c>
      <c r="H4">
        <f>VLOOKUP(all_lmics[[Setting]:[Setting]],birthdose[],4,FALSE)</f>
        <v>0</v>
      </c>
      <c r="I4">
        <f>VLOOKUP(all_lmics[[Setting]:[Setting]],fullvax[],4,FALSE)</f>
        <v>0.82</v>
      </c>
      <c r="J4">
        <f>IFERROR(VLOOKUP(all_lmics[[Setting]:[Setting]],prev[],3,FALSE),0)</f>
        <v>0.1575</v>
      </c>
      <c r="K4">
        <f>IFERROR(VLOOKUP(all_lmics[[Setting]:[Setting]],prev[],4,FALSE),0)</f>
        <v>0.1242</v>
      </c>
      <c r="L4">
        <f>IFERROR(VLOOKUP(all_lmics[[Setting]:[Setting]],prev[],5,FALSE),0)</f>
        <v>0.19339999999999999</v>
      </c>
      <c r="M4">
        <f>IFERROR(VLOOKUP(all_lmics[[Setting]:[Setting]],prev[],7,FALSE),0)</f>
        <v>1.8316326530612239E-2</v>
      </c>
      <c r="N4">
        <f>IFERROR(VLOOKUP(all_lmics[[Setting]:[Setting]],prev[],6,FALSE),0)</f>
        <v>9199259</v>
      </c>
      <c r="O4">
        <f>IFERROR(VLOOKUP(all_lmics[[Setting]:[Setting]],SBA[],4,FALSE),0)</f>
        <v>0.77200000000000002</v>
      </c>
      <c r="P4">
        <f>IFERROR(VLOOKUP(all_lmics[[Setting]:[Setting]], facility[], 3,FALSE),0)</f>
        <v>0.87</v>
      </c>
      <c r="Q4">
        <f>IFERROR(VLOOKUP(all_lmics[[Setting]:[Setting]],all_cause_mort[],4,FALSE),0)</f>
        <v>6.4210196999999997E-2</v>
      </c>
      <c r="R4">
        <f>IFERROR(VLOOKUP(all_lmics[[Setting]:[Setting]],all_cause_mort[],5,FALSE),0)</f>
        <v>9.4132555000000003E-3</v>
      </c>
      <c r="S4">
        <f>IFERROR(VLOOKUP(all_lmics[[Setting]:[Setting]],all_cause_mort[],6,FALSE),0)</f>
        <v>3.1206441000000001E-3</v>
      </c>
      <c r="T4">
        <f>IFERROR(VLOOKUP(all_lmics[[Setting]:[Setting]],all_cause_mort[],7,FALSE),0)</f>
        <v>1.8410379000000001E-3</v>
      </c>
      <c r="U4">
        <f>IFERROR(VLOOKUP(all_lmics[[Setting]:[Setting]],all_cause_mort[],8,FALSE),0)</f>
        <v>2.4778029000000002E-3</v>
      </c>
      <c r="V4">
        <f>IFERROR(VLOOKUP(all_lmics[[Setting]:[Setting]],all_cause_mort[],9,FALSE),0)</f>
        <v>3.3614639000000002E-3</v>
      </c>
      <c r="W4">
        <f>IFERROR(VLOOKUP(all_lmics[[Setting]:[Setting]],all_cause_mort[],10,FALSE),0)</f>
        <v>3.698705E-3</v>
      </c>
      <c r="X4">
        <f>IFERROR(VLOOKUP(all_lmics[[Setting]:[Setting]],all_cause_mort[],11,FALSE),0)</f>
        <v>4.0851113000000003E-3</v>
      </c>
      <c r="Y4">
        <f>IFERROR(VLOOKUP(all_lmics[[Setting]:[Setting]],all_cause_mort[],12,FALSE),0)</f>
        <v>4.6605876999999997E-3</v>
      </c>
      <c r="Z4">
        <f>IFERROR(VLOOKUP(all_lmics[[Setting]:[Setting]],all_cause_mort[],13,FALSE),0)</f>
        <v>5.7745046E-3</v>
      </c>
      <c r="AA4">
        <f>IFERROR(VLOOKUP(all_lmics[[Setting]:[Setting]],all_cause_mort[],14,FALSE),0)</f>
        <v>7.0352686000000001E-3</v>
      </c>
      <c r="AB4">
        <f>IFERROR(VLOOKUP(all_lmics[[Setting]:[Setting]],all_cause_mort[],15,FALSE),0)</f>
        <v>9.8449268000000006E-3</v>
      </c>
      <c r="AC4">
        <f>IFERROR(VLOOKUP(all_lmics[[Setting]:[Setting]],all_cause_mort[],16,FALSE),0)</f>
        <v>1.3270379000000001E-2</v>
      </c>
      <c r="AD4">
        <f>IFERROR(VLOOKUP(all_lmics[[Setting]:[Setting]],all_cause_mort[],17,FALSE),0)</f>
        <v>2.0265406999999999E-2</v>
      </c>
      <c r="AE4">
        <f>IFERROR(VLOOKUP(all_lmics[[Setting]:[Setting]],all_cause_mort[],18,FALSE),0)</f>
        <v>3.1703303000000002E-2</v>
      </c>
      <c r="AF4">
        <f>IFERROR(VLOOKUP(all_lmics[[Setting]:[Setting]],all_cause_mort[],19,FALSE),0)</f>
        <v>5.0788672E-2</v>
      </c>
      <c r="AG4">
        <f>IFERROR(VLOOKUP(all_lmics[[Setting]:[Setting]],all_cause_mort[],20,FALSE),0)</f>
        <v>8.1372317999999999E-2</v>
      </c>
      <c r="AH4">
        <f>IFERROR(VLOOKUP(all_lmics[[Setting]:[Setting]],all_cause_mort[],21,FALSE),0)</f>
        <v>0.13044120000000001</v>
      </c>
      <c r="AI4">
        <f>IFERROR(VLOOKUP(all_lmics[[Setting]:[Setting]],all_cause_mort[],22,FALSE),0)</f>
        <v>0.20114161999999999</v>
      </c>
      <c r="AJ4">
        <f>IFERROR(VLOOKUP(all_lmics[[Setting]:[Setting]],all_cause_mort[],23,FALSE),0)</f>
        <v>0.29528442999999999</v>
      </c>
      <c r="AK4">
        <f>IFERROR(VLOOKUP(all_lmics[[Setting]:[Setting]],all_cause_mort[],24,FALSE),0)</f>
        <v>0.40665932999999999</v>
      </c>
      <c r="AL4">
        <f>IFERROR(VLOOKUP(all_lmics[[Setting]:[Setting]],all_cause_mort[],25,FALSE),0)</f>
        <v>0.54217247970445104</v>
      </c>
      <c r="AM4">
        <f>VLOOKUP(all_lmics[[worldbank_region]:[worldbank_region]],Table13[],2,FALSE)</f>
        <v>29.912264999999998</v>
      </c>
      <c r="AN4">
        <f>VLOOKUP(all_lmics[[worldbank_region]:[worldbank_region]],Table13[],3,FALSE)</f>
        <v>29.912264999999998</v>
      </c>
      <c r="AO4">
        <f>VLOOKUP(all_lmics[[worldbank_region]:[worldbank_region]],Table13[],4,FALSE)</f>
        <v>77.641124999999988</v>
      </c>
      <c r="AP4">
        <f>VLOOKUP(all_lmics[[worldbank_region]:[worldbank_region]],Table13[],5,FALSE)</f>
        <v>77.641124999999988</v>
      </c>
      <c r="AQ4">
        <f>VLOOKUP(all_lmics[[worldbank_region]:[worldbank_region]],Table13[],6,FALSE)</f>
        <v>77.641124999999988</v>
      </c>
      <c r="AR4">
        <f>VLOOKUP(all_lmics[[worldbank_region]:[worldbank_region]],Table14[],2,FALSE)</f>
        <v>0.96979199999999999</v>
      </c>
      <c r="AS4">
        <f>VLOOKUP(all_lmics[[worldbank_region]:[worldbank_region]],Table14[],3,FALSE)</f>
        <v>1.5872920000000001</v>
      </c>
      <c r="AT4">
        <f>VLOOKUP(all_lmics[[worldbank_region]:[worldbank_region]],Table14[],4,FALSE)</f>
        <v>5.7971629999999994</v>
      </c>
      <c r="AU4">
        <f>VLOOKUP(all_lmics[[worldbank_region]:[worldbank_region]],Table14[],5,FALSE)</f>
        <v>6.4146629999999991</v>
      </c>
      <c r="AV4">
        <f>VLOOKUP(all_lmics[[worldbank_region]:[worldbank_region]],Table14[],6,FALSE)</f>
        <v>6.9849149999999991</v>
      </c>
      <c r="AW4">
        <f>IFERROR(VLOOKUP(all_lmics[[Setting]:[Setting]],nFacSBA[],4,FALSE),0)</f>
        <v>7.7079277442430885E-2</v>
      </c>
      <c r="AX4">
        <f>VLOOKUP(all_lmics[[worldbank_region]:[worldbank_region]],hbe[],2)</f>
        <v>0.3</v>
      </c>
      <c r="AY4">
        <f>VLOOKUP(all_lmics[[worldbank_region]:[worldbank_region]],hbe[],5)</f>
        <v>0.875</v>
      </c>
      <c r="AZ4">
        <f>VLOOKUP(all_lmics[[worldbank_region]:[worldbank_region]],hbe[],8)</f>
        <v>0.15</v>
      </c>
    </row>
    <row r="5" spans="1:52" x14ac:dyDescent="0.35">
      <c r="A5" s="8" t="s">
        <v>53</v>
      </c>
      <c r="B5" s="10" t="s">
        <v>14</v>
      </c>
      <c r="C5" s="10" t="s">
        <v>13</v>
      </c>
      <c r="D5" s="11" t="s">
        <v>15</v>
      </c>
      <c r="E5">
        <f>VLOOKUP(all_lmics[[Setting]:[Setting]],populations[],9,FALSE)</f>
        <v>19193382</v>
      </c>
      <c r="F5">
        <f>VLOOKUP(all_lmics[[Setting]:[Setting]],birthrate[],3,FALSE)</f>
        <v>3.8920000000000003E-2</v>
      </c>
      <c r="G5">
        <f>all_lmics[[#This Row],[2017_population]]*all_lmics[[#This Row],[2016_birthrate]]</f>
        <v>747006.42744000012</v>
      </c>
      <c r="H5">
        <f>VLOOKUP(all_lmics[[Setting]:[Setting]],birthdose[],4,FALSE)</f>
        <v>0</v>
      </c>
      <c r="I5">
        <f>VLOOKUP(all_lmics[[Setting]:[Setting]],fullvax[],4,FALSE)</f>
        <v>0.91</v>
      </c>
      <c r="J5">
        <f>IFERROR(VLOOKUP(all_lmics[[Setting]:[Setting]],prev[],3,FALSE),0)</f>
        <v>6.0999999999999999E-2</v>
      </c>
      <c r="K5">
        <f>IFERROR(VLOOKUP(all_lmics[[Setting]:[Setting]],prev[],4,FALSE),0)</f>
        <v>5.3999999999999999E-2</v>
      </c>
      <c r="L5">
        <f>IFERROR(VLOOKUP(all_lmics[[Setting]:[Setting]],prev[],5,FALSE),0)</f>
        <v>6.6000000000000003E-2</v>
      </c>
      <c r="M5">
        <f>IFERROR(VLOOKUP(all_lmics[[Setting]:[Setting]],prev[],7,FALSE),0)</f>
        <v>2.5510204081632677E-3</v>
      </c>
      <c r="N5">
        <f>IFERROR(VLOOKUP(all_lmics[[Setting]:[Setting]],prev[],6,FALSE),0)</f>
        <v>19193382</v>
      </c>
      <c r="O5">
        <f>IFERROR(VLOOKUP(all_lmics[[Setting]:[Setting]],SBA[],4,FALSE),0)</f>
        <v>0.79799999999999993</v>
      </c>
      <c r="P5">
        <f>IFERROR(VLOOKUP(all_lmics[[Setting]:[Setting]], facility[], 3,FALSE),0)</f>
        <v>0.82200000000000006</v>
      </c>
      <c r="Q5">
        <f>IFERROR(VLOOKUP(all_lmics[[Setting]:[Setting]],all_cause_mort[],4,FALSE),0)</f>
        <v>5.6670724999999998E-2</v>
      </c>
      <c r="R5">
        <f>IFERROR(VLOOKUP(all_lmics[[Setting]:[Setting]],all_cause_mort[],5,FALSE),0)</f>
        <v>7.9561192000000003E-3</v>
      </c>
      <c r="S5">
        <f>IFERROR(VLOOKUP(all_lmics[[Setting]:[Setting]],all_cause_mort[],6,FALSE),0)</f>
        <v>2.7283332E-3</v>
      </c>
      <c r="T5">
        <f>IFERROR(VLOOKUP(all_lmics[[Setting]:[Setting]],all_cause_mort[],7,FALSE),0)</f>
        <v>1.6175550999999999E-3</v>
      </c>
      <c r="U5">
        <f>IFERROR(VLOOKUP(all_lmics[[Setting]:[Setting]],all_cause_mort[],8,FALSE),0)</f>
        <v>2.4707928000000001E-3</v>
      </c>
      <c r="V5">
        <f>IFERROR(VLOOKUP(all_lmics[[Setting]:[Setting]],all_cause_mort[],9,FALSE),0)</f>
        <v>3.4695579000000002E-3</v>
      </c>
      <c r="W5">
        <f>IFERROR(VLOOKUP(all_lmics[[Setting]:[Setting]],all_cause_mort[],10,FALSE),0)</f>
        <v>3.7178478000000001E-3</v>
      </c>
      <c r="X5">
        <f>IFERROR(VLOOKUP(all_lmics[[Setting]:[Setting]],all_cause_mort[],11,FALSE),0)</f>
        <v>4.1098323000000004E-3</v>
      </c>
      <c r="Y5">
        <f>IFERROR(VLOOKUP(all_lmics[[Setting]:[Setting]],all_cause_mort[],12,FALSE),0)</f>
        <v>4.7204261999999999E-3</v>
      </c>
      <c r="Z5">
        <f>IFERROR(VLOOKUP(all_lmics[[Setting]:[Setting]],all_cause_mort[],13,FALSE),0)</f>
        <v>5.8167082000000004E-3</v>
      </c>
      <c r="AA5">
        <f>IFERROR(VLOOKUP(all_lmics[[Setting]:[Setting]],all_cause_mort[],14,FALSE),0)</f>
        <v>7.3107266999999998E-3</v>
      </c>
      <c r="AB5">
        <f>IFERROR(VLOOKUP(all_lmics[[Setting]:[Setting]],all_cause_mort[],15,FALSE),0)</f>
        <v>1.032632E-2</v>
      </c>
      <c r="AC5">
        <f>IFERROR(VLOOKUP(all_lmics[[Setting]:[Setting]],all_cause_mort[],16,FALSE),0)</f>
        <v>1.4825661E-2</v>
      </c>
      <c r="AD5">
        <f>IFERROR(VLOOKUP(all_lmics[[Setting]:[Setting]],all_cause_mort[],17,FALSE),0)</f>
        <v>2.3500014E-2</v>
      </c>
      <c r="AE5">
        <f>IFERROR(VLOOKUP(all_lmics[[Setting]:[Setting]],all_cause_mort[],18,FALSE),0)</f>
        <v>3.7373742000000001E-2</v>
      </c>
      <c r="AF5">
        <f>IFERROR(VLOOKUP(all_lmics[[Setting]:[Setting]],all_cause_mort[],19,FALSE),0)</f>
        <v>6.3455684999999998E-2</v>
      </c>
      <c r="AG5">
        <f>IFERROR(VLOOKUP(all_lmics[[Setting]:[Setting]],all_cause_mort[],20,FALSE),0)</f>
        <v>0.10738005</v>
      </c>
      <c r="AH5">
        <f>IFERROR(VLOOKUP(all_lmics[[Setting]:[Setting]],all_cause_mort[],21,FALSE),0)</f>
        <v>0.17871722000000001</v>
      </c>
      <c r="AI5">
        <f>IFERROR(VLOOKUP(all_lmics[[Setting]:[Setting]],all_cause_mort[],22,FALSE),0)</f>
        <v>0.27899512999999998</v>
      </c>
      <c r="AJ5">
        <f>IFERROR(VLOOKUP(all_lmics[[Setting]:[Setting]],all_cause_mort[],23,FALSE),0)</f>
        <v>0.40755004</v>
      </c>
      <c r="AK5">
        <f>IFERROR(VLOOKUP(all_lmics[[Setting]:[Setting]],all_cause_mort[],24,FALSE),0)</f>
        <v>0.57030132</v>
      </c>
      <c r="AL5">
        <f>IFERROR(VLOOKUP(all_lmics[[Setting]:[Setting]],all_cause_mort[],25,FALSE),0)</f>
        <v>1.66790233210941</v>
      </c>
      <c r="AM5">
        <f>VLOOKUP(all_lmics[[worldbank_region]:[worldbank_region]],Table13[],2,FALSE)</f>
        <v>29.912264999999998</v>
      </c>
      <c r="AN5">
        <f>VLOOKUP(all_lmics[[worldbank_region]:[worldbank_region]],Table13[],3,FALSE)</f>
        <v>29.912264999999998</v>
      </c>
      <c r="AO5">
        <f>VLOOKUP(all_lmics[[worldbank_region]:[worldbank_region]],Table13[],4,FALSE)</f>
        <v>77.641124999999988</v>
      </c>
      <c r="AP5">
        <f>VLOOKUP(all_lmics[[worldbank_region]:[worldbank_region]],Table13[],5,FALSE)</f>
        <v>77.641124999999988</v>
      </c>
      <c r="AQ5">
        <f>VLOOKUP(all_lmics[[worldbank_region]:[worldbank_region]],Table13[],6,FALSE)</f>
        <v>77.641124999999988</v>
      </c>
      <c r="AR5">
        <f>VLOOKUP(all_lmics[[worldbank_region]:[worldbank_region]],Table14[],2,FALSE)</f>
        <v>0.96979199999999999</v>
      </c>
      <c r="AS5">
        <f>VLOOKUP(all_lmics[[worldbank_region]:[worldbank_region]],Table14[],3,FALSE)</f>
        <v>1.5872920000000001</v>
      </c>
      <c r="AT5">
        <f>VLOOKUP(all_lmics[[worldbank_region]:[worldbank_region]],Table14[],4,FALSE)</f>
        <v>5.7971629999999994</v>
      </c>
      <c r="AU5">
        <f>VLOOKUP(all_lmics[[worldbank_region]:[worldbank_region]],Table14[],5,FALSE)</f>
        <v>6.4146629999999991</v>
      </c>
      <c r="AV5">
        <f>VLOOKUP(all_lmics[[worldbank_region]:[worldbank_region]],Table14[],6,FALSE)</f>
        <v>6.9849149999999991</v>
      </c>
      <c r="AW5">
        <f>IFERROR(VLOOKUP(all_lmics[[Setting]:[Setting]],nFacSBA[],4,FALSE),0)</f>
        <v>3.5547572004205795E-2</v>
      </c>
      <c r="AX5">
        <f>VLOOKUP(all_lmics[[worldbank_region]:[worldbank_region]],hbe[],2)</f>
        <v>0.3</v>
      </c>
      <c r="AY5">
        <f>VLOOKUP(all_lmics[[worldbank_region]:[worldbank_region]],hbe[],5)</f>
        <v>0.875</v>
      </c>
      <c r="AZ5">
        <f>VLOOKUP(all_lmics[[worldbank_region]:[worldbank_region]],hbe[],8)</f>
        <v>0.15</v>
      </c>
    </row>
    <row r="6" spans="1:52" x14ac:dyDescent="0.35">
      <c r="A6" s="8" t="s">
        <v>55</v>
      </c>
      <c r="B6" s="10" t="s">
        <v>14</v>
      </c>
      <c r="C6" s="10" t="s">
        <v>13</v>
      </c>
      <c r="D6" s="11" t="s">
        <v>15</v>
      </c>
      <c r="E6">
        <f>VLOOKUP(all_lmics[[Setting]:[Setting]],populations[],9,FALSE)</f>
        <v>546388</v>
      </c>
      <c r="F6">
        <f>VLOOKUP(all_lmics[[Setting]:[Setting]],birthrate[],3,FALSE)</f>
        <v>2.0900999999999999E-2</v>
      </c>
      <c r="G6">
        <f>all_lmics[[#This Row],[2017_population]]*all_lmics[[#This Row],[2016_birthrate]]</f>
        <v>11420.055587999999</v>
      </c>
      <c r="H6">
        <f>VLOOKUP(all_lmics[[Setting]:[Setting]],birthdose[],4,FALSE)</f>
        <v>0.96</v>
      </c>
      <c r="I6">
        <f>VLOOKUP(all_lmics[[Setting]:[Setting]],fullvax[],4,FALSE)</f>
        <v>0.97</v>
      </c>
      <c r="J6">
        <f>IFERROR(VLOOKUP(all_lmics[[Setting]:[Setting]],prev[],3,FALSE),0)</f>
        <v>0</v>
      </c>
      <c r="K6">
        <f>IFERROR(VLOOKUP(all_lmics[[Setting]:[Setting]],prev[],4,FALSE),0)</f>
        <v>0</v>
      </c>
      <c r="L6">
        <f>IFERROR(VLOOKUP(all_lmics[[Setting]:[Setting]],prev[],5,FALSE),0)</f>
        <v>0</v>
      </c>
      <c r="M6">
        <f>IFERROR(VLOOKUP(all_lmics[[Setting]:[Setting]],prev[],7,FALSE),0)</f>
        <v>0</v>
      </c>
      <c r="N6">
        <f>IFERROR(VLOOKUP(all_lmics[[Setting]:[Setting]],prev[],6,FALSE),0)</f>
        <v>0</v>
      </c>
      <c r="O6">
        <f>IFERROR(VLOOKUP(all_lmics[[Setting]:[Setting]],SBA[],4,FALSE),0)</f>
        <v>0.91400000000000003</v>
      </c>
      <c r="P6">
        <f>IFERROR(VLOOKUP(all_lmics[[Setting]:[Setting]], facility[], 3,FALSE),0)</f>
        <v>0</v>
      </c>
      <c r="Q6">
        <f>IFERROR(VLOOKUP(all_lmics[[Setting]:[Setting]],all_cause_mort[],4,FALSE),0)</f>
        <v>1.7153295999999998E-2</v>
      </c>
      <c r="R6">
        <f>IFERROR(VLOOKUP(all_lmics[[Setting]:[Setting]],all_cause_mort[],5,FALSE),0)</f>
        <v>8.8542310000000002E-4</v>
      </c>
      <c r="S6">
        <f>IFERROR(VLOOKUP(all_lmics[[Setting]:[Setting]],all_cause_mort[],6,FALSE),0)</f>
        <v>3.6051565E-4</v>
      </c>
      <c r="T6">
        <f>IFERROR(VLOOKUP(all_lmics[[Setting]:[Setting]],all_cause_mort[],7,FALSE),0)</f>
        <v>3.1768729999999998E-4</v>
      </c>
      <c r="U6">
        <f>IFERROR(VLOOKUP(all_lmics[[Setting]:[Setting]],all_cause_mort[],8,FALSE),0)</f>
        <v>7.1992015999999999E-4</v>
      </c>
      <c r="V6">
        <f>IFERROR(VLOOKUP(all_lmics[[Setting]:[Setting]],all_cause_mort[],9,FALSE),0)</f>
        <v>9.896588999999999E-4</v>
      </c>
      <c r="W6">
        <f>IFERROR(VLOOKUP(all_lmics[[Setting]:[Setting]],all_cause_mort[],10,FALSE),0)</f>
        <v>1.0576461E-3</v>
      </c>
      <c r="X6">
        <f>IFERROR(VLOOKUP(all_lmics[[Setting]:[Setting]],all_cause_mort[],11,FALSE),0)</f>
        <v>1.2855958999999999E-3</v>
      </c>
      <c r="Y6">
        <f>IFERROR(VLOOKUP(all_lmics[[Setting]:[Setting]],all_cause_mort[],12,FALSE),0)</f>
        <v>1.7741284E-3</v>
      </c>
      <c r="Z6">
        <f>IFERROR(VLOOKUP(all_lmics[[Setting]:[Setting]],all_cause_mort[],13,FALSE),0)</f>
        <v>2.6482204999999999E-3</v>
      </c>
      <c r="AA6">
        <f>IFERROR(VLOOKUP(all_lmics[[Setting]:[Setting]],all_cause_mort[],14,FALSE),0)</f>
        <v>4.1680455999999998E-3</v>
      </c>
      <c r="AB6">
        <f>IFERROR(VLOOKUP(all_lmics[[Setting]:[Setting]],all_cause_mort[],15,FALSE),0)</f>
        <v>6.4743044999999999E-3</v>
      </c>
      <c r="AC6">
        <f>IFERROR(VLOOKUP(all_lmics[[Setting]:[Setting]],all_cause_mort[],16,FALSE),0)</f>
        <v>1.0062336999999999E-2</v>
      </c>
      <c r="AD6">
        <f>IFERROR(VLOOKUP(all_lmics[[Setting]:[Setting]],all_cause_mort[],17,FALSE),0)</f>
        <v>1.5953370000000001E-2</v>
      </c>
      <c r="AE6">
        <f>IFERROR(VLOOKUP(all_lmics[[Setting]:[Setting]],all_cause_mort[],18,FALSE),0)</f>
        <v>2.5262908000000001E-2</v>
      </c>
      <c r="AF6">
        <f>IFERROR(VLOOKUP(all_lmics[[Setting]:[Setting]],all_cause_mort[],19,FALSE),0)</f>
        <v>4.0841272999999997E-2</v>
      </c>
      <c r="AG6">
        <f>IFERROR(VLOOKUP(all_lmics[[Setting]:[Setting]],all_cause_mort[],20,FALSE),0)</f>
        <v>6.9481919000000003E-2</v>
      </c>
      <c r="AH6">
        <f>IFERROR(VLOOKUP(all_lmics[[Setting]:[Setting]],all_cause_mort[],21,FALSE),0)</f>
        <v>0.11467402</v>
      </c>
      <c r="AI6">
        <f>IFERROR(VLOOKUP(all_lmics[[Setting]:[Setting]],all_cause_mort[],22,FALSE),0)</f>
        <v>0.18286848</v>
      </c>
      <c r="AJ6">
        <f>IFERROR(VLOOKUP(all_lmics[[Setting]:[Setting]],all_cause_mort[],23,FALSE),0)</f>
        <v>0.27716899</v>
      </c>
      <c r="AK6">
        <f>IFERROR(VLOOKUP(all_lmics[[Setting]:[Setting]],all_cause_mort[],24,FALSE),0)</f>
        <v>0.39896030999999998</v>
      </c>
      <c r="AL6">
        <f>IFERROR(VLOOKUP(all_lmics[[Setting]:[Setting]],all_cause_mort[],25,FALSE),0)</f>
        <v>0.53980107142955502</v>
      </c>
      <c r="AM6">
        <f>VLOOKUP(all_lmics[[worldbank_region]:[worldbank_region]],Table13[],2,FALSE)</f>
        <v>29.912264999999998</v>
      </c>
      <c r="AN6">
        <f>VLOOKUP(all_lmics[[worldbank_region]:[worldbank_region]],Table13[],3,FALSE)</f>
        <v>29.912264999999998</v>
      </c>
      <c r="AO6">
        <f>VLOOKUP(all_lmics[[worldbank_region]:[worldbank_region]],Table13[],4,FALSE)</f>
        <v>77.641124999999988</v>
      </c>
      <c r="AP6">
        <f>VLOOKUP(all_lmics[[worldbank_region]:[worldbank_region]],Table13[],5,FALSE)</f>
        <v>77.641124999999988</v>
      </c>
      <c r="AQ6">
        <f>VLOOKUP(all_lmics[[worldbank_region]:[worldbank_region]],Table13[],6,FALSE)</f>
        <v>77.641124999999988</v>
      </c>
      <c r="AR6">
        <f>VLOOKUP(all_lmics[[worldbank_region]:[worldbank_region]],Table14[],2,FALSE)</f>
        <v>0.96979199999999999</v>
      </c>
      <c r="AS6">
        <f>VLOOKUP(all_lmics[[worldbank_region]:[worldbank_region]],Table14[],3,FALSE)</f>
        <v>1.5872920000000001</v>
      </c>
      <c r="AT6">
        <f>VLOOKUP(all_lmics[[worldbank_region]:[worldbank_region]],Table14[],4,FALSE)</f>
        <v>5.7971629999999994</v>
      </c>
      <c r="AU6">
        <f>VLOOKUP(all_lmics[[worldbank_region]:[worldbank_region]],Table14[],5,FALSE)</f>
        <v>6.4146629999999991</v>
      </c>
      <c r="AV6">
        <f>VLOOKUP(all_lmics[[worldbank_region]:[worldbank_region]],Table14[],6,FALSE)</f>
        <v>6.9849149999999991</v>
      </c>
      <c r="AW6">
        <f>IFERROR(VLOOKUP(all_lmics[[Setting]:[Setting]],nFacSBA[],4,FALSE),0)</f>
        <v>0</v>
      </c>
      <c r="AX6">
        <f>VLOOKUP(all_lmics[[worldbank_region]:[worldbank_region]],hbe[],2)</f>
        <v>0.3</v>
      </c>
      <c r="AY6">
        <f>VLOOKUP(all_lmics[[worldbank_region]:[worldbank_region]],hbe[],5)</f>
        <v>0.875</v>
      </c>
      <c r="AZ6">
        <f>VLOOKUP(all_lmics[[worldbank_region]:[worldbank_region]],hbe[],8)</f>
        <v>0.15</v>
      </c>
    </row>
    <row r="7" spans="1:52" x14ac:dyDescent="0.35">
      <c r="A7" s="8" t="s">
        <v>59</v>
      </c>
      <c r="B7" s="10" t="s">
        <v>14</v>
      </c>
      <c r="C7" s="10" t="s">
        <v>13</v>
      </c>
      <c r="D7" s="11" t="s">
        <v>15</v>
      </c>
      <c r="E7">
        <f>VLOOKUP(all_lmics[[Setting]:[Setting]],populations[],9,FALSE)</f>
        <v>24053727</v>
      </c>
      <c r="F7">
        <f>VLOOKUP(all_lmics[[Setting]:[Setting]],birthrate[],3,FALSE)</f>
        <v>3.6299999999999999E-2</v>
      </c>
      <c r="G7">
        <f>all_lmics[[#This Row],[2017_population]]*all_lmics[[#This Row],[2016_birthrate]]</f>
        <v>873150.29009999998</v>
      </c>
      <c r="H7">
        <f>VLOOKUP(all_lmics[[Setting]:[Setting]],birthdose[],4,FALSE)</f>
        <v>0</v>
      </c>
      <c r="I7">
        <f>VLOOKUP(all_lmics[[Setting]:[Setting]],fullvax[],4,FALSE)</f>
        <v>0.86</v>
      </c>
      <c r="J7">
        <f>IFERROR(VLOOKUP(all_lmics[[Setting]:[Setting]],prev[],3,FALSE),0)</f>
        <v>6.8000000000000005E-2</v>
      </c>
      <c r="K7">
        <f>IFERROR(VLOOKUP(all_lmics[[Setting]:[Setting]],prev[],4,FALSE),0)</f>
        <v>6.5000000000000002E-2</v>
      </c>
      <c r="L7">
        <f>IFERROR(VLOOKUP(all_lmics[[Setting]:[Setting]],prev[],5,FALSE),0)</f>
        <v>7.3999999999999996E-2</v>
      </c>
      <c r="M7">
        <f>IFERROR(VLOOKUP(all_lmics[[Setting]:[Setting]],prev[],7,FALSE),0)</f>
        <v>3.0612244897959139E-3</v>
      </c>
      <c r="N7">
        <f>IFERROR(VLOOKUP(all_lmics[[Setting]:[Setting]],prev[],6,FALSE),0)</f>
        <v>24053727</v>
      </c>
      <c r="O7">
        <f>IFERROR(VLOOKUP(all_lmics[[Setting]:[Setting]],SBA[],4,FALSE),0)</f>
        <v>0.64700000000000002</v>
      </c>
      <c r="P7">
        <f>IFERROR(VLOOKUP(all_lmics[[Setting]:[Setting]], facility[], 3,FALSE),0)</f>
        <v>0.61299999999999999</v>
      </c>
      <c r="Q7">
        <f>IFERROR(VLOOKUP(all_lmics[[Setting]:[Setting]],all_cause_mort[],4,FALSE),0)</f>
        <v>6.4242095999999999E-2</v>
      </c>
      <c r="R7">
        <f>IFERROR(VLOOKUP(all_lmics[[Setting]:[Setting]],all_cause_mort[],5,FALSE),0)</f>
        <v>7.3532815999999999E-3</v>
      </c>
      <c r="S7">
        <f>IFERROR(VLOOKUP(all_lmics[[Setting]:[Setting]],all_cause_mort[],6,FALSE),0)</f>
        <v>2.6449342999999999E-3</v>
      </c>
      <c r="T7">
        <f>IFERROR(VLOOKUP(all_lmics[[Setting]:[Setting]],all_cause_mort[],7,FALSE),0)</f>
        <v>1.8005351000000001E-3</v>
      </c>
      <c r="U7">
        <f>IFERROR(VLOOKUP(all_lmics[[Setting]:[Setting]],all_cause_mort[],8,FALSE),0)</f>
        <v>2.6918248000000001E-3</v>
      </c>
      <c r="V7">
        <f>IFERROR(VLOOKUP(all_lmics[[Setting]:[Setting]],all_cause_mort[],9,FALSE),0)</f>
        <v>3.8768697E-3</v>
      </c>
      <c r="W7">
        <f>IFERROR(VLOOKUP(all_lmics[[Setting]:[Setting]],all_cause_mort[],10,FALSE),0)</f>
        <v>4.6089835000000003E-3</v>
      </c>
      <c r="X7">
        <f>IFERROR(VLOOKUP(all_lmics[[Setting]:[Setting]],all_cause_mort[],11,FALSE),0)</f>
        <v>5.4273736999999999E-3</v>
      </c>
      <c r="Y7">
        <f>IFERROR(VLOOKUP(all_lmics[[Setting]:[Setting]],all_cause_mort[],12,FALSE),0)</f>
        <v>6.5892141E-3</v>
      </c>
      <c r="Z7">
        <f>IFERROR(VLOOKUP(all_lmics[[Setting]:[Setting]],all_cause_mort[],13,FALSE),0)</f>
        <v>8.0836545000000006E-3</v>
      </c>
      <c r="AA7">
        <f>IFERROR(VLOOKUP(all_lmics[[Setting]:[Setting]],all_cause_mort[],14,FALSE),0)</f>
        <v>9.8513491999999998E-3</v>
      </c>
      <c r="AB7">
        <f>IFERROR(VLOOKUP(all_lmics[[Setting]:[Setting]],all_cause_mort[],15,FALSE),0)</f>
        <v>1.3402542999999999E-2</v>
      </c>
      <c r="AC7">
        <f>IFERROR(VLOOKUP(all_lmics[[Setting]:[Setting]],all_cause_mort[],16,FALSE),0)</f>
        <v>1.7645335000000002E-2</v>
      </c>
      <c r="AD7">
        <f>IFERROR(VLOOKUP(all_lmics[[Setting]:[Setting]],all_cause_mort[],17,FALSE),0)</f>
        <v>2.6172866999999999E-2</v>
      </c>
      <c r="AE7">
        <f>IFERROR(VLOOKUP(all_lmics[[Setting]:[Setting]],all_cause_mort[],18,FALSE),0)</f>
        <v>4.0446996999999998E-2</v>
      </c>
      <c r="AF7">
        <f>IFERROR(VLOOKUP(all_lmics[[Setting]:[Setting]],all_cause_mort[],19,FALSE),0)</f>
        <v>6.4528401999999999E-2</v>
      </c>
      <c r="AG7">
        <f>IFERROR(VLOOKUP(all_lmics[[Setting]:[Setting]],all_cause_mort[],20,FALSE),0)</f>
        <v>0.10423283999999999</v>
      </c>
      <c r="AH7">
        <f>IFERROR(VLOOKUP(all_lmics[[Setting]:[Setting]],all_cause_mort[],21,FALSE),0)</f>
        <v>0.17337254999999999</v>
      </c>
      <c r="AI7">
        <f>IFERROR(VLOOKUP(all_lmics[[Setting]:[Setting]],all_cause_mort[],22,FALSE),0)</f>
        <v>0.28651747</v>
      </c>
      <c r="AJ7">
        <f>IFERROR(VLOOKUP(all_lmics[[Setting]:[Setting]],all_cause_mort[],23,FALSE),0)</f>
        <v>0.46769831000000001</v>
      </c>
      <c r="AK7">
        <f>IFERROR(VLOOKUP(all_lmics[[Setting]:[Setting]],all_cause_mort[],24,FALSE),0)</f>
        <v>0.65858433000000005</v>
      </c>
      <c r="AL7">
        <f>IFERROR(VLOOKUP(all_lmics[[Setting]:[Setting]],all_cause_mort[],25,FALSE),0)</f>
        <v>0.85562705270277595</v>
      </c>
      <c r="AM7">
        <f>VLOOKUP(all_lmics[[worldbank_region]:[worldbank_region]],Table13[],2,FALSE)</f>
        <v>29.912264999999998</v>
      </c>
      <c r="AN7">
        <f>VLOOKUP(all_lmics[[worldbank_region]:[worldbank_region]],Table13[],3,FALSE)</f>
        <v>29.912264999999998</v>
      </c>
      <c r="AO7">
        <f>VLOOKUP(all_lmics[[worldbank_region]:[worldbank_region]],Table13[],4,FALSE)</f>
        <v>77.641124999999988</v>
      </c>
      <c r="AP7">
        <f>VLOOKUP(all_lmics[[worldbank_region]:[worldbank_region]],Table13[],5,FALSE)</f>
        <v>77.641124999999988</v>
      </c>
      <c r="AQ7">
        <f>VLOOKUP(all_lmics[[worldbank_region]:[worldbank_region]],Table13[],6,FALSE)</f>
        <v>77.641124999999988</v>
      </c>
      <c r="AR7">
        <f>VLOOKUP(all_lmics[[worldbank_region]:[worldbank_region]],Table14[],2,FALSE)</f>
        <v>0.96979199999999999</v>
      </c>
      <c r="AS7">
        <f>VLOOKUP(all_lmics[[worldbank_region]:[worldbank_region]],Table14[],3,FALSE)</f>
        <v>1.5872920000000001</v>
      </c>
      <c r="AT7">
        <f>VLOOKUP(all_lmics[[worldbank_region]:[worldbank_region]],Table14[],4,FALSE)</f>
        <v>5.7971629999999994</v>
      </c>
      <c r="AU7">
        <f>VLOOKUP(all_lmics[[worldbank_region]:[worldbank_region]],Table14[],5,FALSE)</f>
        <v>6.4146629999999991</v>
      </c>
      <c r="AV7">
        <f>VLOOKUP(all_lmics[[worldbank_region]:[worldbank_region]],Table14[],6,FALSE)</f>
        <v>6.9849149999999991</v>
      </c>
      <c r="AW7">
        <f>IFERROR(VLOOKUP(all_lmics[[Setting]:[Setting]],nFacSBA[],4,FALSE),0)</f>
        <v>8.0292413886463326E-2</v>
      </c>
      <c r="AX7">
        <f>VLOOKUP(all_lmics[[worldbank_region]:[worldbank_region]],hbe[],2)</f>
        <v>0.3</v>
      </c>
      <c r="AY7">
        <f>VLOOKUP(all_lmics[[worldbank_region]:[worldbank_region]],hbe[],5)</f>
        <v>0.875</v>
      </c>
      <c r="AZ7">
        <f>VLOOKUP(all_lmics[[worldbank_region]:[worldbank_region]],hbe[],8)</f>
        <v>0.15</v>
      </c>
    </row>
    <row r="8" spans="1:52" x14ac:dyDescent="0.35">
      <c r="A8" s="12" t="s">
        <v>63</v>
      </c>
      <c r="B8" s="13" t="s">
        <v>14</v>
      </c>
      <c r="C8" s="13" t="s">
        <v>13</v>
      </c>
      <c r="D8" s="14" t="s">
        <v>15</v>
      </c>
      <c r="E8">
        <f>VLOOKUP(all_lmics[[Setting]:[Setting]],populations[],9,FALSE)</f>
        <v>14899994</v>
      </c>
      <c r="F8">
        <f>VLOOKUP(all_lmics[[Setting]:[Setting]],birthrate[],3,FALSE)</f>
        <v>4.3331000000000001E-2</v>
      </c>
      <c r="G8">
        <f>all_lmics[[#This Row],[2017_population]]*all_lmics[[#This Row],[2016_birthrate]]</f>
        <v>645631.640014</v>
      </c>
      <c r="H8">
        <f>VLOOKUP(all_lmics[[Setting]:[Setting]],birthdose[],4,FALSE)</f>
        <v>0</v>
      </c>
      <c r="I8">
        <f>VLOOKUP(all_lmics[[Setting]:[Setting]],fullvax[],4,FALSE)</f>
        <v>0.41</v>
      </c>
      <c r="J8">
        <f>IFERROR(VLOOKUP(all_lmics[[Setting]:[Setting]],prev[],3,FALSE),0)</f>
        <v>0.105</v>
      </c>
      <c r="K8">
        <f>IFERROR(VLOOKUP(all_lmics[[Setting]:[Setting]],prev[],4,FALSE),0)</f>
        <v>8.2000000000000003E-2</v>
      </c>
      <c r="L8">
        <f>IFERROR(VLOOKUP(all_lmics[[Setting]:[Setting]],prev[],5,FALSE),0)</f>
        <v>0.123</v>
      </c>
      <c r="M8">
        <f>IFERROR(VLOOKUP(all_lmics[[Setting]:[Setting]],prev[],7,FALSE),0)</f>
        <v>9.1836734693877559E-3</v>
      </c>
      <c r="N8">
        <f>IFERROR(VLOOKUP(all_lmics[[Setting]:[Setting]],prev[],6,FALSE),0)</f>
        <v>14899994</v>
      </c>
      <c r="O8">
        <f>IFERROR(VLOOKUP(all_lmics[[Setting]:[Setting]],SBA[],4,FALSE),0)</f>
        <v>0.20199999999999999</v>
      </c>
      <c r="P8">
        <f>IFERROR(VLOOKUP(all_lmics[[Setting]:[Setting]], facility[], 3,FALSE),0)</f>
        <v>0.217</v>
      </c>
      <c r="Q8">
        <f>IFERROR(VLOOKUP(all_lmics[[Setting]:[Setting]],all_cause_mort[],4,FALSE),0)</f>
        <v>7.8845524E-2</v>
      </c>
      <c r="R8">
        <f>IFERROR(VLOOKUP(all_lmics[[Setting]:[Setting]],all_cause_mort[],5,FALSE),0)</f>
        <v>1.3541741E-2</v>
      </c>
      <c r="S8">
        <f>IFERROR(VLOOKUP(all_lmics[[Setting]:[Setting]],all_cause_mort[],6,FALSE),0)</f>
        <v>5.2404499000000002E-3</v>
      </c>
      <c r="T8">
        <f>IFERROR(VLOOKUP(all_lmics[[Setting]:[Setting]],all_cause_mort[],7,FALSE),0)</f>
        <v>3.3849482000000001E-3</v>
      </c>
      <c r="U8">
        <f>IFERROR(VLOOKUP(all_lmics[[Setting]:[Setting]],all_cause_mort[],8,FALSE),0)</f>
        <v>3.8957267000000002E-3</v>
      </c>
      <c r="V8">
        <f>IFERROR(VLOOKUP(all_lmics[[Setting]:[Setting]],all_cause_mort[],9,FALSE),0)</f>
        <v>5.1617490000000002E-3</v>
      </c>
      <c r="W8">
        <f>IFERROR(VLOOKUP(all_lmics[[Setting]:[Setting]],all_cause_mort[],10,FALSE),0)</f>
        <v>6.8051606000000004E-3</v>
      </c>
      <c r="X8">
        <f>IFERROR(VLOOKUP(all_lmics[[Setting]:[Setting]],all_cause_mort[],11,FALSE),0)</f>
        <v>8.6497177999999997E-3</v>
      </c>
      <c r="Y8">
        <f>IFERROR(VLOOKUP(all_lmics[[Setting]:[Setting]],all_cause_mort[],12,FALSE),0)</f>
        <v>1.0686173E-2</v>
      </c>
      <c r="Z8">
        <f>IFERROR(VLOOKUP(all_lmics[[Setting]:[Setting]],all_cause_mort[],13,FALSE),0)</f>
        <v>1.1395986E-2</v>
      </c>
      <c r="AA8">
        <f>IFERROR(VLOOKUP(all_lmics[[Setting]:[Setting]],all_cause_mort[],14,FALSE),0)</f>
        <v>1.1902159000000001E-2</v>
      </c>
      <c r="AB8">
        <f>IFERROR(VLOOKUP(all_lmics[[Setting]:[Setting]],all_cause_mort[],15,FALSE),0)</f>
        <v>1.3347754E-2</v>
      </c>
      <c r="AC8">
        <f>IFERROR(VLOOKUP(all_lmics[[Setting]:[Setting]],all_cause_mort[],16,FALSE),0)</f>
        <v>1.7018721000000001E-2</v>
      </c>
      <c r="AD8">
        <f>IFERROR(VLOOKUP(all_lmics[[Setting]:[Setting]],all_cause_mort[],17,FALSE),0)</f>
        <v>2.4789708000000001E-2</v>
      </c>
      <c r="AE8">
        <f>IFERROR(VLOOKUP(all_lmics[[Setting]:[Setting]],all_cause_mort[],18,FALSE),0)</f>
        <v>3.7823844000000002E-2</v>
      </c>
      <c r="AF8">
        <f>IFERROR(VLOOKUP(all_lmics[[Setting]:[Setting]],all_cause_mort[],19,FALSE),0)</f>
        <v>5.9696424999999997E-2</v>
      </c>
      <c r="AG8">
        <f>IFERROR(VLOOKUP(all_lmics[[Setting]:[Setting]],all_cause_mort[],20,FALSE),0)</f>
        <v>9.3474618999999995E-2</v>
      </c>
      <c r="AH8">
        <f>IFERROR(VLOOKUP(all_lmics[[Setting]:[Setting]],all_cause_mort[],21,FALSE),0)</f>
        <v>0.14668134999999999</v>
      </c>
      <c r="AI8">
        <f>IFERROR(VLOOKUP(all_lmics[[Setting]:[Setting]],all_cause_mort[],22,FALSE),0)</f>
        <v>0.22213627</v>
      </c>
      <c r="AJ8">
        <f>IFERROR(VLOOKUP(all_lmics[[Setting]:[Setting]],all_cause_mort[],23,FALSE),0)</f>
        <v>0.31837542000000002</v>
      </c>
      <c r="AK8">
        <f>IFERROR(VLOOKUP(all_lmics[[Setting]:[Setting]],all_cause_mort[],24,FALSE),0)</f>
        <v>0.42636942</v>
      </c>
      <c r="AL8">
        <f>IFERROR(VLOOKUP(all_lmics[[Setting]:[Setting]],all_cause_mort[],25,FALSE),0)</f>
        <v>0.55807869132779198</v>
      </c>
      <c r="AM8">
        <f>VLOOKUP(all_lmics[[worldbank_region]:[worldbank_region]],Table13[],2,FALSE)</f>
        <v>29.912264999999998</v>
      </c>
      <c r="AN8">
        <f>VLOOKUP(all_lmics[[worldbank_region]:[worldbank_region]],Table13[],3,FALSE)</f>
        <v>29.912264999999998</v>
      </c>
      <c r="AO8">
        <f>VLOOKUP(all_lmics[[worldbank_region]:[worldbank_region]],Table13[],4,FALSE)</f>
        <v>77.641124999999988</v>
      </c>
      <c r="AP8">
        <f>VLOOKUP(all_lmics[[worldbank_region]:[worldbank_region]],Table13[],5,FALSE)</f>
        <v>77.641124999999988</v>
      </c>
      <c r="AQ8">
        <f>VLOOKUP(all_lmics[[worldbank_region]:[worldbank_region]],Table13[],6,FALSE)</f>
        <v>77.641124999999988</v>
      </c>
      <c r="AR8">
        <f>VLOOKUP(all_lmics[[worldbank_region]:[worldbank_region]],Table14[],2,FALSE)</f>
        <v>0.96979199999999999</v>
      </c>
      <c r="AS8">
        <f>VLOOKUP(all_lmics[[worldbank_region]:[worldbank_region]],Table14[],3,FALSE)</f>
        <v>1.5872920000000001</v>
      </c>
      <c r="AT8">
        <f>VLOOKUP(all_lmics[[worldbank_region]:[worldbank_region]],Table14[],4,FALSE)</f>
        <v>5.7971629999999994</v>
      </c>
      <c r="AU8">
        <f>VLOOKUP(all_lmics[[worldbank_region]:[worldbank_region]],Table14[],5,FALSE)</f>
        <v>6.4146629999999991</v>
      </c>
      <c r="AV8">
        <f>VLOOKUP(all_lmics[[worldbank_region]:[worldbank_region]],Table14[],6,FALSE)</f>
        <v>6.9849149999999991</v>
      </c>
      <c r="AW8">
        <f>IFERROR(VLOOKUP(all_lmics[[Setting]:[Setting]],nFacSBA[],4,FALSE),0)</f>
        <v>8.7286206397363217E-2</v>
      </c>
      <c r="AX8">
        <f>VLOOKUP(all_lmics[[worldbank_region]:[worldbank_region]],hbe[],2)</f>
        <v>0.3</v>
      </c>
      <c r="AY8">
        <f>VLOOKUP(all_lmics[[worldbank_region]:[worldbank_region]],hbe[],5)</f>
        <v>0.875</v>
      </c>
      <c r="AZ8">
        <f>VLOOKUP(all_lmics[[worldbank_region]:[worldbank_region]],hbe[],8)</f>
        <v>0.15</v>
      </c>
    </row>
    <row r="9" spans="1:52" x14ac:dyDescent="0.35">
      <c r="A9" s="12" t="s">
        <v>67</v>
      </c>
      <c r="B9" s="13" t="s">
        <v>14</v>
      </c>
      <c r="C9" s="13" t="s">
        <v>13</v>
      </c>
      <c r="D9" s="14" t="s">
        <v>15</v>
      </c>
      <c r="E9">
        <f>VLOOKUP(all_lmics[[Setting]:[Setting]],populations[],9,FALSE)</f>
        <v>813912</v>
      </c>
      <c r="F9">
        <f>VLOOKUP(all_lmics[[Setting]:[Setting]],birthrate[],3,FALSE)</f>
        <v>3.2856000000000003E-2</v>
      </c>
      <c r="G9">
        <f>all_lmics[[#This Row],[2017_population]]*all_lmics[[#This Row],[2016_birthrate]]</f>
        <v>26741.892672000002</v>
      </c>
      <c r="H9">
        <f>VLOOKUP(all_lmics[[Setting]:[Setting]],birthdose[],4,FALSE)</f>
        <v>0</v>
      </c>
      <c r="I9">
        <f>VLOOKUP(all_lmics[[Setting]:[Setting]],fullvax[],4,FALSE)</f>
        <v>0.91</v>
      </c>
      <c r="J9">
        <f>IFERROR(VLOOKUP(all_lmics[[Setting]:[Setting]],prev[],3,FALSE),0)</f>
        <v>0</v>
      </c>
      <c r="K9">
        <f>IFERROR(VLOOKUP(all_lmics[[Setting]:[Setting]],prev[],4,FALSE),0)</f>
        <v>0</v>
      </c>
      <c r="L9">
        <f>IFERROR(VLOOKUP(all_lmics[[Setting]:[Setting]],prev[],5,FALSE),0)</f>
        <v>0</v>
      </c>
      <c r="M9">
        <f>IFERROR(VLOOKUP(all_lmics[[Setting]:[Setting]],prev[],7,FALSE),0)</f>
        <v>0</v>
      </c>
      <c r="N9">
        <f>IFERROR(VLOOKUP(all_lmics[[Setting]:[Setting]],prev[],6,FALSE),0)</f>
        <v>0</v>
      </c>
      <c r="O9">
        <f>IFERROR(VLOOKUP(all_lmics[[Setting]:[Setting]],SBA[],4,FALSE),0)</f>
        <v>0.82200000000000006</v>
      </c>
      <c r="P9">
        <f>IFERROR(VLOOKUP(all_lmics[[Setting]:[Setting]], facility[], 3,FALSE),0)</f>
        <v>0.7609999999999999</v>
      </c>
      <c r="Q9">
        <f>IFERROR(VLOOKUP(all_lmics[[Setting]:[Setting]],all_cause_mort[],4,FALSE),0)</f>
        <v>5.5472803000000001E-2</v>
      </c>
      <c r="R9">
        <f>IFERROR(VLOOKUP(all_lmics[[Setting]:[Setting]],all_cause_mort[],5,FALSE),0)</f>
        <v>4.5249037999999997E-3</v>
      </c>
      <c r="S9">
        <f>IFERROR(VLOOKUP(all_lmics[[Setting]:[Setting]],all_cause_mort[],6,FALSE),0)</f>
        <v>1.3732338E-3</v>
      </c>
      <c r="T9">
        <f>IFERROR(VLOOKUP(all_lmics[[Setting]:[Setting]],all_cause_mort[],7,FALSE),0)</f>
        <v>1.0760004000000001E-3</v>
      </c>
      <c r="U9">
        <f>IFERROR(VLOOKUP(all_lmics[[Setting]:[Setting]],all_cause_mort[],8,FALSE),0)</f>
        <v>1.7285523000000001E-3</v>
      </c>
      <c r="V9">
        <f>IFERROR(VLOOKUP(all_lmics[[Setting]:[Setting]],all_cause_mort[],9,FALSE),0)</f>
        <v>2.4113734000000002E-3</v>
      </c>
      <c r="W9">
        <f>IFERROR(VLOOKUP(all_lmics[[Setting]:[Setting]],all_cause_mort[],10,FALSE),0)</f>
        <v>2.6308909000000002E-3</v>
      </c>
      <c r="X9">
        <f>IFERROR(VLOOKUP(all_lmics[[Setting]:[Setting]],all_cause_mort[],11,FALSE),0)</f>
        <v>3.0158539000000001E-3</v>
      </c>
      <c r="Y9">
        <f>IFERROR(VLOOKUP(all_lmics[[Setting]:[Setting]],all_cause_mort[],12,FALSE),0)</f>
        <v>3.7312254E-3</v>
      </c>
      <c r="Z9">
        <f>IFERROR(VLOOKUP(all_lmics[[Setting]:[Setting]],all_cause_mort[],13,FALSE),0)</f>
        <v>4.916536E-3</v>
      </c>
      <c r="AA9">
        <f>IFERROR(VLOOKUP(all_lmics[[Setting]:[Setting]],all_cause_mort[],14,FALSE),0)</f>
        <v>6.8745287000000002E-3</v>
      </c>
      <c r="AB9">
        <f>IFERROR(VLOOKUP(all_lmics[[Setting]:[Setting]],all_cause_mort[],15,FALSE),0)</f>
        <v>1.0043217E-2</v>
      </c>
      <c r="AC9">
        <f>IFERROR(VLOOKUP(all_lmics[[Setting]:[Setting]],all_cause_mort[],16,FALSE),0)</f>
        <v>1.4911493E-2</v>
      </c>
      <c r="AD9">
        <f>IFERROR(VLOOKUP(all_lmics[[Setting]:[Setting]],all_cause_mort[],17,FALSE),0)</f>
        <v>2.2855558000000002E-2</v>
      </c>
      <c r="AE9">
        <f>IFERROR(VLOOKUP(all_lmics[[Setting]:[Setting]],all_cause_mort[],18,FALSE),0)</f>
        <v>3.5487851000000001E-2</v>
      </c>
      <c r="AF9">
        <f>IFERROR(VLOOKUP(all_lmics[[Setting]:[Setting]],all_cause_mort[],19,FALSE),0)</f>
        <v>5.6609964999999998E-2</v>
      </c>
      <c r="AG9">
        <f>IFERROR(VLOOKUP(all_lmics[[Setting]:[Setting]],all_cause_mort[],20,FALSE),0)</f>
        <v>9.0532574000000005E-2</v>
      </c>
      <c r="AH9">
        <f>IFERROR(VLOOKUP(all_lmics[[Setting]:[Setting]],all_cause_mort[],21,FALSE),0)</f>
        <v>0.14442558999999999</v>
      </c>
      <c r="AI9">
        <f>IFERROR(VLOOKUP(all_lmics[[Setting]:[Setting]],all_cause_mort[],22,FALSE),0)</f>
        <v>0.2223145</v>
      </c>
      <c r="AJ9">
        <f>IFERROR(VLOOKUP(all_lmics[[Setting]:[Setting]],all_cause_mort[],23,FALSE),0)</f>
        <v>0.32199623999999999</v>
      </c>
      <c r="AK9">
        <f>IFERROR(VLOOKUP(all_lmics[[Setting]:[Setting]],all_cause_mort[],24,FALSE),0)</f>
        <v>0.44115535</v>
      </c>
      <c r="AL9">
        <f>IFERROR(VLOOKUP(all_lmics[[Setting]:[Setting]],all_cause_mort[],25,FALSE),0)</f>
        <v>0.57405554802586001</v>
      </c>
      <c r="AM9">
        <f>VLOOKUP(all_lmics[[worldbank_region]:[worldbank_region]],Table13[],2,FALSE)</f>
        <v>29.912264999999998</v>
      </c>
      <c r="AN9">
        <f>VLOOKUP(all_lmics[[worldbank_region]:[worldbank_region]],Table13[],3,FALSE)</f>
        <v>29.912264999999998</v>
      </c>
      <c r="AO9">
        <f>VLOOKUP(all_lmics[[worldbank_region]:[worldbank_region]],Table13[],4,FALSE)</f>
        <v>77.641124999999988</v>
      </c>
      <c r="AP9">
        <f>VLOOKUP(all_lmics[[worldbank_region]:[worldbank_region]],Table13[],5,FALSE)</f>
        <v>77.641124999999988</v>
      </c>
      <c r="AQ9">
        <f>VLOOKUP(all_lmics[[worldbank_region]:[worldbank_region]],Table13[],6,FALSE)</f>
        <v>77.641124999999988</v>
      </c>
      <c r="AR9">
        <f>VLOOKUP(all_lmics[[worldbank_region]:[worldbank_region]],Table14[],2,FALSE)</f>
        <v>0.96979199999999999</v>
      </c>
      <c r="AS9">
        <f>VLOOKUP(all_lmics[[worldbank_region]:[worldbank_region]],Table14[],3,FALSE)</f>
        <v>1.5872920000000001</v>
      </c>
      <c r="AT9">
        <f>VLOOKUP(all_lmics[[worldbank_region]:[worldbank_region]],Table14[],4,FALSE)</f>
        <v>5.7971629999999994</v>
      </c>
      <c r="AU9">
        <f>VLOOKUP(all_lmics[[worldbank_region]:[worldbank_region]],Table14[],5,FALSE)</f>
        <v>6.4146629999999991</v>
      </c>
      <c r="AV9">
        <f>VLOOKUP(all_lmics[[worldbank_region]:[worldbank_region]],Table14[],6,FALSE)</f>
        <v>6.9849149999999991</v>
      </c>
      <c r="AW9">
        <f>IFERROR(VLOOKUP(all_lmics[[Setting]:[Setting]],nFacSBA[],4,FALSE),0)</f>
        <v>0.29211323931429223</v>
      </c>
      <c r="AX9">
        <f>VLOOKUP(all_lmics[[worldbank_region]:[worldbank_region]],hbe[],2)</f>
        <v>0.3</v>
      </c>
      <c r="AY9">
        <f>VLOOKUP(all_lmics[[worldbank_region]:[worldbank_region]],hbe[],5)</f>
        <v>0.875</v>
      </c>
      <c r="AZ9">
        <f>VLOOKUP(all_lmics[[worldbank_region]:[worldbank_region]],hbe[],8)</f>
        <v>0.15</v>
      </c>
    </row>
    <row r="10" spans="1:52" x14ac:dyDescent="0.35">
      <c r="A10" s="12" t="s">
        <v>85</v>
      </c>
      <c r="B10" s="13" t="s">
        <v>14</v>
      </c>
      <c r="C10" s="13" t="s">
        <v>13</v>
      </c>
      <c r="D10" s="14" t="s">
        <v>15</v>
      </c>
      <c r="E10">
        <f>VLOOKUP(all_lmics[[Setting]:[Setting]],populations[],9,FALSE)</f>
        <v>1267689</v>
      </c>
      <c r="F10">
        <f>VLOOKUP(all_lmics[[Setting]:[Setting]],birthrate[],3,FALSE)</f>
        <v>3.4113999999999998E-2</v>
      </c>
      <c r="G10">
        <f>all_lmics[[#This Row],[2017_population]]*all_lmics[[#This Row],[2016_birthrate]]</f>
        <v>43245.942545999998</v>
      </c>
      <c r="H10">
        <f>VLOOKUP(all_lmics[[Setting]:[Setting]],birthdose[],4,FALSE)</f>
        <v>0</v>
      </c>
      <c r="I10">
        <f>VLOOKUP(all_lmics[[Setting]:[Setting]],fullvax[],4,FALSE)</f>
        <v>0.25</v>
      </c>
      <c r="J10">
        <f>IFERROR(VLOOKUP(all_lmics[[Setting]:[Setting]],prev[],3,FALSE),0)</f>
        <v>8.8099999999999998E-2</v>
      </c>
      <c r="K10">
        <f>IFERROR(VLOOKUP(all_lmics[[Setting]:[Setting]],prev[],4,FALSE),0)</f>
        <v>7.6600000000000001E-2</v>
      </c>
      <c r="L10">
        <f>IFERROR(VLOOKUP(all_lmics[[Setting]:[Setting]],prev[],5,FALSE),0)</f>
        <v>0.1012</v>
      </c>
      <c r="M10">
        <f>IFERROR(VLOOKUP(all_lmics[[Setting]:[Setting]],prev[],7,FALSE),0)</f>
        <v>6.6836734693877554E-3</v>
      </c>
      <c r="N10">
        <f>IFERROR(VLOOKUP(all_lmics[[Setting]:[Setting]],prev[],6,FALSE),0)</f>
        <v>951104</v>
      </c>
      <c r="O10">
        <f>IFERROR(VLOOKUP(all_lmics[[Setting]:[Setting]],SBA[],4,FALSE),0)</f>
        <v>0.68299999999999994</v>
      </c>
      <c r="P10">
        <f>IFERROR(VLOOKUP(all_lmics[[Setting]:[Setting]], facility[], 3,FALSE),0)</f>
        <v>0.67299999999999993</v>
      </c>
      <c r="Q10">
        <f>IFERROR(VLOOKUP(all_lmics[[Setting]:[Setting]],all_cause_mort[],4,FALSE),0)</f>
        <v>6.9655822000000006E-2</v>
      </c>
      <c r="R10">
        <f>IFERROR(VLOOKUP(all_lmics[[Setting]:[Setting]],all_cause_mort[],5,FALSE),0)</f>
        <v>7.5461332000000001E-3</v>
      </c>
      <c r="S10">
        <f>IFERROR(VLOOKUP(all_lmics[[Setting]:[Setting]],all_cause_mort[],6,FALSE),0)</f>
        <v>2.1930275999999999E-3</v>
      </c>
      <c r="T10">
        <f>IFERROR(VLOOKUP(all_lmics[[Setting]:[Setting]],all_cause_mort[],7,FALSE),0)</f>
        <v>1.5623057E-3</v>
      </c>
      <c r="U10">
        <f>IFERROR(VLOOKUP(all_lmics[[Setting]:[Setting]],all_cause_mort[],8,FALSE),0)</f>
        <v>2.3258241999999998E-3</v>
      </c>
      <c r="V10">
        <f>IFERROR(VLOOKUP(all_lmics[[Setting]:[Setting]],all_cause_mort[],9,FALSE),0)</f>
        <v>3.5091195E-3</v>
      </c>
      <c r="W10">
        <f>IFERROR(VLOOKUP(all_lmics[[Setting]:[Setting]],all_cause_mort[],10,FALSE),0)</f>
        <v>4.6024899999999999E-3</v>
      </c>
      <c r="X10">
        <f>IFERROR(VLOOKUP(all_lmics[[Setting]:[Setting]],all_cause_mort[],11,FALSE),0)</f>
        <v>5.8287799E-3</v>
      </c>
      <c r="Y10">
        <f>IFERROR(VLOOKUP(all_lmics[[Setting]:[Setting]],all_cause_mort[],12,FALSE),0)</f>
        <v>7.5599409000000001E-3</v>
      </c>
      <c r="Z10">
        <f>IFERROR(VLOOKUP(all_lmics[[Setting]:[Setting]],all_cause_mort[],13,FALSE),0)</f>
        <v>9.2505498000000005E-3</v>
      </c>
      <c r="AA10">
        <f>IFERROR(VLOOKUP(all_lmics[[Setting]:[Setting]],all_cause_mort[],14,FALSE),0)</f>
        <v>1.1156213999999999E-2</v>
      </c>
      <c r="AB10">
        <f>IFERROR(VLOOKUP(all_lmics[[Setting]:[Setting]],all_cause_mort[],15,FALSE),0)</f>
        <v>1.448231E-2</v>
      </c>
      <c r="AC10">
        <f>IFERROR(VLOOKUP(all_lmics[[Setting]:[Setting]],all_cause_mort[],16,FALSE),0)</f>
        <v>1.8550733E-2</v>
      </c>
      <c r="AD10">
        <f>IFERROR(VLOOKUP(all_lmics[[Setting]:[Setting]],all_cause_mort[],17,FALSE),0)</f>
        <v>2.6584017000000001E-2</v>
      </c>
      <c r="AE10">
        <f>IFERROR(VLOOKUP(all_lmics[[Setting]:[Setting]],all_cause_mort[],18,FALSE),0)</f>
        <v>4.0096808999999997E-2</v>
      </c>
      <c r="AF10">
        <f>IFERROR(VLOOKUP(all_lmics[[Setting]:[Setting]],all_cause_mort[],19,FALSE),0)</f>
        <v>6.2951231999999996E-2</v>
      </c>
      <c r="AG10">
        <f>IFERROR(VLOOKUP(all_lmics[[Setting]:[Setting]],all_cause_mort[],20,FALSE),0)</f>
        <v>0.10045308999999999</v>
      </c>
      <c r="AH10">
        <f>IFERROR(VLOOKUP(all_lmics[[Setting]:[Setting]],all_cause_mort[],21,FALSE),0)</f>
        <v>0.16697914</v>
      </c>
      <c r="AI10">
        <f>IFERROR(VLOOKUP(all_lmics[[Setting]:[Setting]],all_cause_mort[],22,FALSE),0)</f>
        <v>0.27639676000000002</v>
      </c>
      <c r="AJ10">
        <f>IFERROR(VLOOKUP(all_lmics[[Setting]:[Setting]],all_cause_mort[],23,FALSE),0)</f>
        <v>0.44537210999999999</v>
      </c>
      <c r="AK10">
        <f>IFERROR(VLOOKUP(all_lmics[[Setting]:[Setting]],all_cause_mort[],24,FALSE),0)</f>
        <v>0.61792371000000001</v>
      </c>
      <c r="AL10">
        <f>IFERROR(VLOOKUP(all_lmics[[Setting]:[Setting]],all_cause_mort[],25,FALSE),0)</f>
        <v>0.79066965529254096</v>
      </c>
      <c r="AM10">
        <f>VLOOKUP(all_lmics[[worldbank_region]:[worldbank_region]],Table13[],2,FALSE)</f>
        <v>29.912264999999998</v>
      </c>
      <c r="AN10">
        <f>VLOOKUP(all_lmics[[worldbank_region]:[worldbank_region]],Table13[],3,FALSE)</f>
        <v>29.912264999999998</v>
      </c>
      <c r="AO10">
        <f>VLOOKUP(all_lmics[[worldbank_region]:[worldbank_region]],Table13[],4,FALSE)</f>
        <v>77.641124999999988</v>
      </c>
      <c r="AP10">
        <f>VLOOKUP(all_lmics[[worldbank_region]:[worldbank_region]],Table13[],5,FALSE)</f>
        <v>77.641124999999988</v>
      </c>
      <c r="AQ10">
        <f>VLOOKUP(all_lmics[[worldbank_region]:[worldbank_region]],Table13[],6,FALSE)</f>
        <v>77.641124999999988</v>
      </c>
      <c r="AR10">
        <f>VLOOKUP(all_lmics[[worldbank_region]:[worldbank_region]],Table14[],2,FALSE)</f>
        <v>0.96979199999999999</v>
      </c>
      <c r="AS10">
        <f>VLOOKUP(all_lmics[[worldbank_region]:[worldbank_region]],Table14[],3,FALSE)</f>
        <v>1.5872920000000001</v>
      </c>
      <c r="AT10">
        <f>VLOOKUP(all_lmics[[worldbank_region]:[worldbank_region]],Table14[],4,FALSE)</f>
        <v>5.7971629999999994</v>
      </c>
      <c r="AU10">
        <f>VLOOKUP(all_lmics[[worldbank_region]:[worldbank_region]],Table14[],5,FALSE)</f>
        <v>6.4146629999999991</v>
      </c>
      <c r="AV10">
        <f>VLOOKUP(all_lmics[[worldbank_region]:[worldbank_region]],Table14[],6,FALSE)</f>
        <v>6.9849149999999991</v>
      </c>
      <c r="AW10">
        <f>IFERROR(VLOOKUP(all_lmics[[Setting]:[Setting]],nFacSBA[],4,FALSE),0)</f>
        <v>0</v>
      </c>
      <c r="AX10">
        <f>VLOOKUP(all_lmics[[worldbank_region]:[worldbank_region]],hbe[],2)</f>
        <v>0.3</v>
      </c>
      <c r="AY10">
        <f>VLOOKUP(all_lmics[[worldbank_region]:[worldbank_region]],hbe[],5)</f>
        <v>0.875</v>
      </c>
      <c r="AZ10">
        <f>VLOOKUP(all_lmics[[worldbank_region]:[worldbank_region]],hbe[],8)</f>
        <v>0.15</v>
      </c>
    </row>
    <row r="11" spans="1:52" x14ac:dyDescent="0.35">
      <c r="A11" s="8" t="s">
        <v>92</v>
      </c>
      <c r="B11" s="10" t="s">
        <v>14</v>
      </c>
      <c r="C11" s="10" t="s">
        <v>13</v>
      </c>
      <c r="D11" s="11" t="s">
        <v>15</v>
      </c>
      <c r="E11">
        <f>VLOOKUP(all_lmics[[Setting]:[Setting]],populations[],9,FALSE)</f>
        <v>2025137</v>
      </c>
      <c r="F11">
        <f>VLOOKUP(all_lmics[[Setting]:[Setting]],birthrate[],3,FALSE)</f>
        <v>2.9512E-2</v>
      </c>
      <c r="G11">
        <f>all_lmics[[#This Row],[2017_population]]*all_lmics[[#This Row],[2016_birthrate]]</f>
        <v>59765.843143999999</v>
      </c>
      <c r="H11">
        <f>VLOOKUP(all_lmics[[Setting]:[Setting]],birthdose[],4,FALSE)</f>
        <v>0</v>
      </c>
      <c r="I11">
        <f>VLOOKUP(all_lmics[[Setting]:[Setting]],fullvax[],4,FALSE)</f>
        <v>0.75</v>
      </c>
      <c r="J11">
        <f>IFERROR(VLOOKUP(all_lmics[[Setting]:[Setting]],prev[],3,FALSE),0)</f>
        <v>5.0999999999999997E-2</v>
      </c>
      <c r="K11">
        <f>IFERROR(VLOOKUP(all_lmics[[Setting]:[Setting]],prev[],4,FALSE),0)</f>
        <v>3.2000000000000001E-2</v>
      </c>
      <c r="L11">
        <f>IFERROR(VLOOKUP(all_lmics[[Setting]:[Setting]],prev[],5,FALSE),0)</f>
        <v>0.06</v>
      </c>
      <c r="M11">
        <f>IFERROR(VLOOKUP(all_lmics[[Setting]:[Setting]],prev[],7,FALSE),0)</f>
        <v>4.591836734693878E-3</v>
      </c>
      <c r="N11">
        <f>IFERROR(VLOOKUP(all_lmics[[Setting]:[Setting]],prev[],6,FALSE),0)</f>
        <v>2025137</v>
      </c>
      <c r="O11">
        <f>IFERROR(VLOOKUP(all_lmics[[Setting]:[Setting]],SBA[],4,FALSE),0)</f>
        <v>0.89300000000000002</v>
      </c>
      <c r="P11">
        <f>IFERROR(VLOOKUP(all_lmics[[Setting]:[Setting]], facility[], 3,FALSE),0)</f>
        <v>0.90200000000000002</v>
      </c>
      <c r="Q11">
        <f>IFERROR(VLOOKUP(all_lmics[[Setting]:[Setting]],all_cause_mort[],4,FALSE),0)</f>
        <v>3.6382349000000001E-2</v>
      </c>
      <c r="R11">
        <f>IFERROR(VLOOKUP(all_lmics[[Setting]:[Setting]],all_cause_mort[],5,FALSE),0)</f>
        <v>3.3093216999999999E-3</v>
      </c>
      <c r="S11">
        <f>IFERROR(VLOOKUP(all_lmics[[Setting]:[Setting]],all_cause_mort[],6,FALSE),0)</f>
        <v>1.4297540999999999E-3</v>
      </c>
      <c r="T11">
        <f>IFERROR(VLOOKUP(all_lmics[[Setting]:[Setting]],all_cause_mort[],7,FALSE),0)</f>
        <v>1.0194274E-3</v>
      </c>
      <c r="U11">
        <f>IFERROR(VLOOKUP(all_lmics[[Setting]:[Setting]],all_cause_mort[],8,FALSE),0)</f>
        <v>1.6897365E-3</v>
      </c>
      <c r="V11">
        <f>IFERROR(VLOOKUP(all_lmics[[Setting]:[Setting]],all_cause_mort[],9,FALSE),0)</f>
        <v>2.4666762000000002E-3</v>
      </c>
      <c r="W11">
        <f>IFERROR(VLOOKUP(all_lmics[[Setting]:[Setting]],all_cause_mort[],10,FALSE),0)</f>
        <v>2.8224423000000002E-3</v>
      </c>
      <c r="X11">
        <f>IFERROR(VLOOKUP(all_lmics[[Setting]:[Setting]],all_cause_mort[],11,FALSE),0)</f>
        <v>3.2876296E-3</v>
      </c>
      <c r="Y11">
        <f>IFERROR(VLOOKUP(all_lmics[[Setting]:[Setting]],all_cause_mort[],12,FALSE),0)</f>
        <v>4.0058404000000002E-3</v>
      </c>
      <c r="Z11">
        <f>IFERROR(VLOOKUP(all_lmics[[Setting]:[Setting]],all_cause_mort[],13,FALSE),0)</f>
        <v>5.1043570999999999E-3</v>
      </c>
      <c r="AA11">
        <f>IFERROR(VLOOKUP(all_lmics[[Setting]:[Setting]],all_cause_mort[],14,FALSE),0)</f>
        <v>6.5191173999999998E-3</v>
      </c>
      <c r="AB11">
        <f>IFERROR(VLOOKUP(all_lmics[[Setting]:[Setting]],all_cause_mort[],15,FALSE),0)</f>
        <v>9.3987971999999996E-3</v>
      </c>
      <c r="AC11">
        <f>IFERROR(VLOOKUP(all_lmics[[Setting]:[Setting]],all_cause_mort[],16,FALSE),0)</f>
        <v>1.2750716E-2</v>
      </c>
      <c r="AD11">
        <f>IFERROR(VLOOKUP(all_lmics[[Setting]:[Setting]],all_cause_mort[],17,FALSE),0)</f>
        <v>1.9657922000000001E-2</v>
      </c>
      <c r="AE11">
        <f>IFERROR(VLOOKUP(all_lmics[[Setting]:[Setting]],all_cause_mort[],18,FALSE),0)</f>
        <v>3.1404091000000002E-2</v>
      </c>
      <c r="AF11">
        <f>IFERROR(VLOOKUP(all_lmics[[Setting]:[Setting]],all_cause_mort[],19,FALSE),0)</f>
        <v>5.1045883E-2</v>
      </c>
      <c r="AG11">
        <f>IFERROR(VLOOKUP(all_lmics[[Setting]:[Setting]],all_cause_mort[],20,FALSE),0)</f>
        <v>8.4176925E-2</v>
      </c>
      <c r="AH11">
        <f>IFERROR(VLOOKUP(all_lmics[[Setting]:[Setting]],all_cause_mort[],21,FALSE),0)</f>
        <v>0.14237784000000001</v>
      </c>
      <c r="AI11">
        <f>IFERROR(VLOOKUP(all_lmics[[Setting]:[Setting]],all_cause_mort[],22,FALSE),0)</f>
        <v>0.24045104</v>
      </c>
      <c r="AJ11">
        <f>IFERROR(VLOOKUP(all_lmics[[Setting]:[Setting]],all_cause_mort[],23,FALSE),0)</f>
        <v>0.40881248999999997</v>
      </c>
      <c r="AK11">
        <f>IFERROR(VLOOKUP(all_lmics[[Setting]:[Setting]],all_cause_mort[],24,FALSE),0)</f>
        <v>0.59841051000000001</v>
      </c>
      <c r="AL11">
        <f>IFERROR(VLOOKUP(all_lmics[[Setting]:[Setting]],all_cause_mort[],25,FALSE),0)</f>
        <v>0.80556445256739795</v>
      </c>
      <c r="AM11">
        <f>VLOOKUP(all_lmics[[worldbank_region]:[worldbank_region]],Table13[],2,FALSE)</f>
        <v>29.912264999999998</v>
      </c>
      <c r="AN11">
        <f>VLOOKUP(all_lmics[[worldbank_region]:[worldbank_region]],Table13[],3,FALSE)</f>
        <v>29.912264999999998</v>
      </c>
      <c r="AO11">
        <f>VLOOKUP(all_lmics[[worldbank_region]:[worldbank_region]],Table13[],4,FALSE)</f>
        <v>77.641124999999988</v>
      </c>
      <c r="AP11">
        <f>VLOOKUP(all_lmics[[worldbank_region]:[worldbank_region]],Table13[],5,FALSE)</f>
        <v>77.641124999999988</v>
      </c>
      <c r="AQ11">
        <f>VLOOKUP(all_lmics[[worldbank_region]:[worldbank_region]],Table13[],6,FALSE)</f>
        <v>77.641124999999988</v>
      </c>
      <c r="AR11">
        <f>VLOOKUP(all_lmics[[worldbank_region]:[worldbank_region]],Table14[],2,FALSE)</f>
        <v>0.96979199999999999</v>
      </c>
      <c r="AS11">
        <f>VLOOKUP(all_lmics[[worldbank_region]:[worldbank_region]],Table14[],3,FALSE)</f>
        <v>1.5872920000000001</v>
      </c>
      <c r="AT11">
        <f>VLOOKUP(all_lmics[[worldbank_region]:[worldbank_region]],Table14[],4,FALSE)</f>
        <v>5.7971629999999994</v>
      </c>
      <c r="AU11">
        <f>VLOOKUP(all_lmics[[worldbank_region]:[worldbank_region]],Table14[],5,FALSE)</f>
        <v>6.4146629999999991</v>
      </c>
      <c r="AV11">
        <f>VLOOKUP(all_lmics[[worldbank_region]:[worldbank_region]],Table14[],6,FALSE)</f>
        <v>6.9849149999999991</v>
      </c>
      <c r="AW11">
        <f>IFERROR(VLOOKUP(all_lmics[[Setting]:[Setting]],nFacSBA[],4,FALSE),0)</f>
        <v>8.9587722136739156E-2</v>
      </c>
      <c r="AX11">
        <f>VLOOKUP(all_lmics[[worldbank_region]:[worldbank_region]],hbe[],2)</f>
        <v>0.3</v>
      </c>
      <c r="AY11">
        <f>VLOOKUP(all_lmics[[worldbank_region]:[worldbank_region]],hbe[],5)</f>
        <v>0.875</v>
      </c>
      <c r="AZ11">
        <f>VLOOKUP(all_lmics[[worldbank_region]:[worldbank_region]],hbe[],8)</f>
        <v>0.15</v>
      </c>
    </row>
    <row r="12" spans="1:52" x14ac:dyDescent="0.35">
      <c r="A12" s="12" t="s">
        <v>93</v>
      </c>
      <c r="B12" s="13" t="s">
        <v>14</v>
      </c>
      <c r="C12" s="13" t="s">
        <v>13</v>
      </c>
      <c r="D12" s="14" t="s">
        <v>15</v>
      </c>
      <c r="E12">
        <f>VLOOKUP(all_lmics[[Setting]:[Setting]],populations[],9,FALSE)</f>
        <v>2100568</v>
      </c>
      <c r="F12">
        <f>VLOOKUP(all_lmics[[Setting]:[Setting]],birthrate[],3,FALSE)</f>
        <v>3.9481999999999996E-2</v>
      </c>
      <c r="G12">
        <f>all_lmics[[#This Row],[2017_population]]*all_lmics[[#This Row],[2016_birthrate]]</f>
        <v>82934.625775999986</v>
      </c>
      <c r="H12">
        <f>VLOOKUP(all_lmics[[Setting]:[Setting]],birthdose[],4,FALSE)</f>
        <v>0</v>
      </c>
      <c r="I12">
        <f>VLOOKUP(all_lmics[[Setting]:[Setting]],fullvax[],4,FALSE)</f>
        <v>0.92</v>
      </c>
      <c r="J12">
        <f>IFERROR(VLOOKUP(all_lmics[[Setting]:[Setting]],prev[],3,FALSE),0)</f>
        <v>4.8000000000000001E-2</v>
      </c>
      <c r="K12">
        <f>IFERROR(VLOOKUP(all_lmics[[Setting]:[Setting]],prev[],4,FALSE),0)</f>
        <v>4.3999999999999997E-2</v>
      </c>
      <c r="L12">
        <f>IFERROR(VLOOKUP(all_lmics[[Setting]:[Setting]],prev[],5,FALSE),0)</f>
        <v>5.1999999999999998E-2</v>
      </c>
      <c r="M12">
        <f>IFERROR(VLOOKUP(all_lmics[[Setting]:[Setting]],prev[],7,FALSE),0)</f>
        <v>2.0408163265306107E-3</v>
      </c>
      <c r="N12">
        <f>IFERROR(VLOOKUP(all_lmics[[Setting]:[Setting]],prev[],6,FALSE),0)</f>
        <v>2100568</v>
      </c>
      <c r="O12">
        <f>IFERROR(VLOOKUP(all_lmics[[Setting]:[Setting]],SBA[],4,FALSE),0)</f>
        <v>0.57200000000000006</v>
      </c>
      <c r="P12">
        <f>IFERROR(VLOOKUP(all_lmics[[Setting]:[Setting]], facility[], 3,FALSE),0)</f>
        <v>0.626</v>
      </c>
      <c r="Q12">
        <f>IFERROR(VLOOKUP(all_lmics[[Setting]:[Setting]],all_cause_mort[],4,FALSE),0)</f>
        <v>4.6569608999999998E-2</v>
      </c>
      <c r="R12">
        <f>IFERROR(VLOOKUP(all_lmics[[Setting]:[Setting]],all_cause_mort[],5,FALSE),0)</f>
        <v>6.0964503999999999E-3</v>
      </c>
      <c r="S12">
        <f>IFERROR(VLOOKUP(all_lmics[[Setting]:[Setting]],all_cause_mort[],6,FALSE),0)</f>
        <v>2.8382337000000001E-3</v>
      </c>
      <c r="T12">
        <f>IFERROR(VLOOKUP(all_lmics[[Setting]:[Setting]],all_cause_mort[],7,FALSE),0)</f>
        <v>1.7001506999999999E-3</v>
      </c>
      <c r="U12">
        <f>IFERROR(VLOOKUP(all_lmics[[Setting]:[Setting]],all_cause_mort[],8,FALSE),0)</f>
        <v>2.5999804000000001E-3</v>
      </c>
      <c r="V12">
        <f>IFERROR(VLOOKUP(all_lmics[[Setting]:[Setting]],all_cause_mort[],9,FALSE),0)</f>
        <v>3.6728682999999998E-3</v>
      </c>
      <c r="W12">
        <f>IFERROR(VLOOKUP(all_lmics[[Setting]:[Setting]],all_cause_mort[],10,FALSE),0)</f>
        <v>3.9042273999999998E-3</v>
      </c>
      <c r="X12">
        <f>IFERROR(VLOOKUP(all_lmics[[Setting]:[Setting]],all_cause_mort[],11,FALSE),0)</f>
        <v>4.2892820999999998E-3</v>
      </c>
      <c r="Y12">
        <f>IFERROR(VLOOKUP(all_lmics[[Setting]:[Setting]],all_cause_mort[],12,FALSE),0)</f>
        <v>4.9122823000000001E-3</v>
      </c>
      <c r="Z12">
        <f>IFERROR(VLOOKUP(all_lmics[[Setting]:[Setting]],all_cause_mort[],13,FALSE),0)</f>
        <v>6.0422779000000003E-3</v>
      </c>
      <c r="AA12">
        <f>IFERROR(VLOOKUP(all_lmics[[Setting]:[Setting]],all_cause_mort[],14,FALSE),0)</f>
        <v>7.5662788999999999E-3</v>
      </c>
      <c r="AB12">
        <f>IFERROR(VLOOKUP(all_lmics[[Setting]:[Setting]],all_cause_mort[],15,FALSE),0)</f>
        <v>1.0650064000000001E-2</v>
      </c>
      <c r="AC12">
        <f>IFERROR(VLOOKUP(all_lmics[[Setting]:[Setting]],all_cause_mort[],16,FALSE),0)</f>
        <v>1.5350337E-2</v>
      </c>
      <c r="AD12">
        <f>IFERROR(VLOOKUP(all_lmics[[Setting]:[Setting]],all_cause_mort[],17,FALSE),0)</f>
        <v>2.4265436000000001E-2</v>
      </c>
      <c r="AE12">
        <f>IFERROR(VLOOKUP(all_lmics[[Setting]:[Setting]],all_cause_mort[],18,FALSE),0)</f>
        <v>3.8278991999999998E-2</v>
      </c>
      <c r="AF12">
        <f>IFERROR(VLOOKUP(all_lmics[[Setting]:[Setting]],all_cause_mort[],19,FALSE),0)</f>
        <v>6.4586533000000002E-2</v>
      </c>
      <c r="AG12">
        <f>IFERROR(VLOOKUP(all_lmics[[Setting]:[Setting]],all_cause_mort[],20,FALSE),0)</f>
        <v>0.10891588000000001</v>
      </c>
      <c r="AH12">
        <f>IFERROR(VLOOKUP(all_lmics[[Setting]:[Setting]],all_cause_mort[],21,FALSE),0)</f>
        <v>0.18037526000000001</v>
      </c>
      <c r="AI12">
        <f>IFERROR(VLOOKUP(all_lmics[[Setting]:[Setting]],all_cause_mort[],22,FALSE),0)</f>
        <v>0.28117492999999999</v>
      </c>
      <c r="AJ12">
        <f>IFERROR(VLOOKUP(all_lmics[[Setting]:[Setting]],all_cause_mort[],23,FALSE),0)</f>
        <v>0.40939105999999997</v>
      </c>
      <c r="AK12">
        <f>IFERROR(VLOOKUP(all_lmics[[Setting]:[Setting]],all_cause_mort[],24,FALSE),0)</f>
        <v>0.56996332999999999</v>
      </c>
      <c r="AL12">
        <f>IFERROR(VLOOKUP(all_lmics[[Setting]:[Setting]],all_cause_mort[],25,FALSE),0)</f>
        <v>0.71107556365360003</v>
      </c>
      <c r="AM12">
        <f>VLOOKUP(all_lmics[[worldbank_region]:[worldbank_region]],Table13[],2,FALSE)</f>
        <v>29.912264999999998</v>
      </c>
      <c r="AN12">
        <f>VLOOKUP(all_lmics[[worldbank_region]:[worldbank_region]],Table13[],3,FALSE)</f>
        <v>29.912264999999998</v>
      </c>
      <c r="AO12">
        <f>VLOOKUP(all_lmics[[worldbank_region]:[worldbank_region]],Table13[],4,FALSE)</f>
        <v>77.641124999999988</v>
      </c>
      <c r="AP12">
        <f>VLOOKUP(all_lmics[[worldbank_region]:[worldbank_region]],Table13[],5,FALSE)</f>
        <v>77.641124999999988</v>
      </c>
      <c r="AQ12">
        <f>VLOOKUP(all_lmics[[worldbank_region]:[worldbank_region]],Table13[],6,FALSE)</f>
        <v>77.641124999999988</v>
      </c>
      <c r="AR12">
        <f>VLOOKUP(all_lmics[[worldbank_region]:[worldbank_region]],Table14[],2,FALSE)</f>
        <v>0.96979199999999999</v>
      </c>
      <c r="AS12">
        <f>VLOOKUP(all_lmics[[worldbank_region]:[worldbank_region]],Table14[],3,FALSE)</f>
        <v>1.5872920000000001</v>
      </c>
      <c r="AT12">
        <f>VLOOKUP(all_lmics[[worldbank_region]:[worldbank_region]],Table14[],4,FALSE)</f>
        <v>5.7971629999999994</v>
      </c>
      <c r="AU12">
        <f>VLOOKUP(all_lmics[[worldbank_region]:[worldbank_region]],Table14[],5,FALSE)</f>
        <v>6.4146629999999991</v>
      </c>
      <c r="AV12">
        <f>VLOOKUP(all_lmics[[worldbank_region]:[worldbank_region]],Table14[],6,FALSE)</f>
        <v>6.9849149999999991</v>
      </c>
      <c r="AW12">
        <f>IFERROR(VLOOKUP(all_lmics[[Setting]:[Setting]],nFacSBA[],4,FALSE),0)</f>
        <v>2.5206904550905154E-2</v>
      </c>
      <c r="AX12">
        <f>VLOOKUP(all_lmics[[worldbank_region]:[worldbank_region]],hbe[],2)</f>
        <v>0.3</v>
      </c>
      <c r="AY12">
        <f>VLOOKUP(all_lmics[[worldbank_region]:[worldbank_region]],hbe[],5)</f>
        <v>0.875</v>
      </c>
      <c r="AZ12">
        <f>VLOOKUP(all_lmics[[worldbank_region]:[worldbank_region]],hbe[],8)</f>
        <v>0.15</v>
      </c>
    </row>
    <row r="13" spans="1:52" x14ac:dyDescent="0.35">
      <c r="A13" s="8" t="s">
        <v>96</v>
      </c>
      <c r="B13" s="10" t="s">
        <v>14</v>
      </c>
      <c r="C13" s="10" t="s">
        <v>13</v>
      </c>
      <c r="D13" s="11" t="s">
        <v>15</v>
      </c>
      <c r="E13">
        <f>VLOOKUP(all_lmics[[Setting]:[Setting]],populations[],9,FALSE)</f>
        <v>28833629</v>
      </c>
      <c r="F13">
        <f>VLOOKUP(all_lmics[[Setting]:[Setting]],birthrate[],3,FALSE)</f>
        <v>3.1047000000000002E-2</v>
      </c>
      <c r="G13">
        <f>all_lmics[[#This Row],[2017_population]]*all_lmics[[#This Row],[2016_birthrate]]</f>
        <v>895197.6795630001</v>
      </c>
      <c r="H13">
        <f>VLOOKUP(all_lmics[[Setting]:[Setting]],birthdose[],4,FALSE)</f>
        <v>0</v>
      </c>
      <c r="I13">
        <f>VLOOKUP(all_lmics[[Setting]:[Setting]],fullvax[],4,FALSE)</f>
        <v>0.99</v>
      </c>
      <c r="J13">
        <f>IFERROR(VLOOKUP(all_lmics[[Setting]:[Setting]],prev[],3,FALSE),0)</f>
        <v>0.10299999999999999</v>
      </c>
      <c r="K13">
        <f>IFERROR(VLOOKUP(all_lmics[[Setting]:[Setting]],prev[],4,FALSE),0)</f>
        <v>6.9000000000000006E-2</v>
      </c>
      <c r="L13">
        <f>IFERROR(VLOOKUP(all_lmics[[Setting]:[Setting]],prev[],5,FALSE),0)</f>
        <v>0.114</v>
      </c>
      <c r="M13">
        <f>IFERROR(VLOOKUP(all_lmics[[Setting]:[Setting]],prev[],7,FALSE),0)</f>
        <v>5.6122448979591885E-3</v>
      </c>
      <c r="N13">
        <f>IFERROR(VLOOKUP(all_lmics[[Setting]:[Setting]],prev[],6,FALSE),0)</f>
        <v>28833629</v>
      </c>
      <c r="O13">
        <f>IFERROR(VLOOKUP(all_lmics[[Setting]:[Setting]],SBA[],4,FALSE),0)</f>
        <v>0.70799999999999996</v>
      </c>
      <c r="P13">
        <f>IFERROR(VLOOKUP(all_lmics[[Setting]:[Setting]], facility[], 3,FALSE),0)</f>
        <v>0.73099999999999998</v>
      </c>
      <c r="Q13">
        <f>IFERROR(VLOOKUP(all_lmics[[Setting]:[Setting]],all_cause_mort[],4,FALSE),0)</f>
        <v>3.6755437000000002E-2</v>
      </c>
      <c r="R13">
        <f>IFERROR(VLOOKUP(all_lmics[[Setting]:[Setting]],all_cause_mort[],5,FALSE),0)</f>
        <v>4.1932918000000003E-3</v>
      </c>
      <c r="S13">
        <f>IFERROR(VLOOKUP(all_lmics[[Setting]:[Setting]],all_cause_mort[],6,FALSE),0)</f>
        <v>2.443761E-3</v>
      </c>
      <c r="T13">
        <f>IFERROR(VLOOKUP(all_lmics[[Setting]:[Setting]],all_cause_mort[],7,FALSE),0)</f>
        <v>1.4835320000000001E-3</v>
      </c>
      <c r="U13">
        <f>IFERROR(VLOOKUP(all_lmics[[Setting]:[Setting]],all_cause_mort[],8,FALSE),0)</f>
        <v>2.2822474E-3</v>
      </c>
      <c r="V13">
        <f>IFERROR(VLOOKUP(all_lmics[[Setting]:[Setting]],all_cause_mort[],9,FALSE),0)</f>
        <v>3.2215045999999998E-3</v>
      </c>
      <c r="W13">
        <f>IFERROR(VLOOKUP(all_lmics[[Setting]:[Setting]],all_cause_mort[],10,FALSE),0)</f>
        <v>3.4470555999999999E-3</v>
      </c>
      <c r="X13">
        <f>IFERROR(VLOOKUP(all_lmics[[Setting]:[Setting]],all_cause_mort[],11,FALSE),0)</f>
        <v>3.8348754999999999E-3</v>
      </c>
      <c r="Y13">
        <f>IFERROR(VLOOKUP(all_lmics[[Setting]:[Setting]],all_cause_mort[],12,FALSE),0)</f>
        <v>4.4313421999999996E-3</v>
      </c>
      <c r="Z13">
        <f>IFERROR(VLOOKUP(all_lmics[[Setting]:[Setting]],all_cause_mort[],13,FALSE),0)</f>
        <v>5.5350544999999999E-3</v>
      </c>
      <c r="AA13">
        <f>IFERROR(VLOOKUP(all_lmics[[Setting]:[Setting]],all_cause_mort[],14,FALSE),0)</f>
        <v>7.0298721E-3</v>
      </c>
      <c r="AB13">
        <f>IFERROR(VLOOKUP(all_lmics[[Setting]:[Setting]],all_cause_mort[],15,FALSE),0)</f>
        <v>1.0014899000000001E-2</v>
      </c>
      <c r="AC13">
        <f>IFERROR(VLOOKUP(all_lmics[[Setting]:[Setting]],all_cause_mort[],16,FALSE),0)</f>
        <v>1.4451768E-2</v>
      </c>
      <c r="AD13">
        <f>IFERROR(VLOOKUP(all_lmics[[Setting]:[Setting]],all_cause_mort[],17,FALSE),0)</f>
        <v>2.2822768E-2</v>
      </c>
      <c r="AE13">
        <f>IFERROR(VLOOKUP(all_lmics[[Setting]:[Setting]],all_cause_mort[],18,FALSE),0)</f>
        <v>3.6265311000000001E-2</v>
      </c>
      <c r="AF13">
        <f>IFERROR(VLOOKUP(all_lmics[[Setting]:[Setting]],all_cause_mort[],19,FALSE),0)</f>
        <v>6.1598124999999997E-2</v>
      </c>
      <c r="AG13">
        <f>IFERROR(VLOOKUP(all_lmics[[Setting]:[Setting]],all_cause_mort[],20,FALSE),0)</f>
        <v>0.1047265</v>
      </c>
      <c r="AH13">
        <f>IFERROR(VLOOKUP(all_lmics[[Setting]:[Setting]],all_cause_mort[],21,FALSE),0)</f>
        <v>0.16900730999999999</v>
      </c>
      <c r="AI13">
        <f>IFERROR(VLOOKUP(all_lmics[[Setting]:[Setting]],all_cause_mort[],22,FALSE),0)</f>
        <v>0.25483145000000001</v>
      </c>
      <c r="AJ13">
        <f>IFERROR(VLOOKUP(all_lmics[[Setting]:[Setting]],all_cause_mort[],23,FALSE),0)</f>
        <v>0.35899923</v>
      </c>
      <c r="AK13">
        <f>IFERROR(VLOOKUP(all_lmics[[Setting]:[Setting]],all_cause_mort[],24,FALSE),0)</f>
        <v>0.49892586999999999</v>
      </c>
      <c r="AL13">
        <f>IFERROR(VLOOKUP(all_lmics[[Setting]:[Setting]],all_cause_mort[],25,FALSE),0)</f>
        <v>0.62606133047047996</v>
      </c>
      <c r="AM13">
        <f>VLOOKUP(all_lmics[[worldbank_region]:[worldbank_region]],Table13[],2,FALSE)</f>
        <v>29.912264999999998</v>
      </c>
      <c r="AN13">
        <f>VLOOKUP(all_lmics[[worldbank_region]:[worldbank_region]],Table13[],3,FALSE)</f>
        <v>29.912264999999998</v>
      </c>
      <c r="AO13">
        <f>VLOOKUP(all_lmics[[worldbank_region]:[worldbank_region]],Table13[],4,FALSE)</f>
        <v>77.641124999999988</v>
      </c>
      <c r="AP13">
        <f>VLOOKUP(all_lmics[[worldbank_region]:[worldbank_region]],Table13[],5,FALSE)</f>
        <v>77.641124999999988</v>
      </c>
      <c r="AQ13">
        <f>VLOOKUP(all_lmics[[worldbank_region]:[worldbank_region]],Table13[],6,FALSE)</f>
        <v>77.641124999999988</v>
      </c>
      <c r="AR13">
        <f>VLOOKUP(all_lmics[[worldbank_region]:[worldbank_region]],Table14[],2,FALSE)</f>
        <v>0.96979199999999999</v>
      </c>
      <c r="AS13">
        <f>VLOOKUP(all_lmics[[worldbank_region]:[worldbank_region]],Table14[],3,FALSE)</f>
        <v>1.5872920000000001</v>
      </c>
      <c r="AT13">
        <f>VLOOKUP(all_lmics[[worldbank_region]:[worldbank_region]],Table14[],4,FALSE)</f>
        <v>5.7971629999999994</v>
      </c>
      <c r="AU13">
        <f>VLOOKUP(all_lmics[[worldbank_region]:[worldbank_region]],Table14[],5,FALSE)</f>
        <v>6.4146629999999991</v>
      </c>
      <c r="AV13">
        <f>VLOOKUP(all_lmics[[worldbank_region]:[worldbank_region]],Table14[],6,FALSE)</f>
        <v>6.9849149999999991</v>
      </c>
      <c r="AW13">
        <f>IFERROR(VLOOKUP(all_lmics[[Setting]:[Setting]],nFacSBA[],4,FALSE),0)</f>
        <v>4.5174010678930926E-2</v>
      </c>
      <c r="AX13">
        <f>VLOOKUP(all_lmics[[worldbank_region]:[worldbank_region]],hbe[],2)</f>
        <v>0.3</v>
      </c>
      <c r="AY13">
        <f>VLOOKUP(all_lmics[[worldbank_region]:[worldbank_region]],hbe[],5)</f>
        <v>0.875</v>
      </c>
      <c r="AZ13">
        <f>VLOOKUP(all_lmics[[worldbank_region]:[worldbank_region]],hbe[],8)</f>
        <v>0.15</v>
      </c>
    </row>
    <row r="14" spans="1:52" x14ac:dyDescent="0.35">
      <c r="A14" s="8" t="s">
        <v>100</v>
      </c>
      <c r="B14" s="10" t="s">
        <v>14</v>
      </c>
      <c r="C14" s="10" t="s">
        <v>13</v>
      </c>
      <c r="D14" s="11" t="s">
        <v>15</v>
      </c>
      <c r="E14">
        <f>VLOOKUP(all_lmics[[Setting]:[Setting]],populations[],9,FALSE)</f>
        <v>12717176</v>
      </c>
      <c r="F14">
        <f>VLOOKUP(all_lmics[[Setting]:[Setting]],birthrate[],3,FALSE)</f>
        <v>3.5910999999999998E-2</v>
      </c>
      <c r="G14">
        <f>all_lmics[[#This Row],[2017_population]]*all_lmics[[#This Row],[2016_birthrate]]</f>
        <v>456686.50733599998</v>
      </c>
      <c r="H14">
        <f>VLOOKUP(all_lmics[[Setting]:[Setting]],birthdose[],4,FALSE)</f>
        <v>0</v>
      </c>
      <c r="I14">
        <f>VLOOKUP(all_lmics[[Setting]:[Setting]],fullvax[],4,FALSE)</f>
        <v>0.45</v>
      </c>
      <c r="J14">
        <f>IFERROR(VLOOKUP(all_lmics[[Setting]:[Setting]],prev[],3,FALSE),0)</f>
        <v>0.15060000000000001</v>
      </c>
      <c r="K14">
        <f>IFERROR(VLOOKUP(all_lmics[[Setting]:[Setting]],prev[],4,FALSE),0)</f>
        <v>0.1416</v>
      </c>
      <c r="L14">
        <f>IFERROR(VLOOKUP(all_lmics[[Setting]:[Setting]],prev[],5,FALSE),0)</f>
        <v>0.16009999999999999</v>
      </c>
      <c r="M14">
        <f>IFERROR(VLOOKUP(all_lmics[[Setting]:[Setting]],prev[],7,FALSE),0)</f>
        <v>4.8469387755101945E-3</v>
      </c>
      <c r="N14">
        <f>IFERROR(VLOOKUP(all_lmics[[Setting]:[Setting]],prev[],6,FALSE),0)</f>
        <v>10794170</v>
      </c>
      <c r="O14">
        <f>IFERROR(VLOOKUP(all_lmics[[Setting]:[Setting]],SBA[],4,FALSE),0)</f>
        <v>0.72400000000000009</v>
      </c>
      <c r="P14">
        <f>IFERROR(VLOOKUP(all_lmics[[Setting]:[Setting]], facility[], 3,FALSE),0)</f>
        <v>0.57200000000000006</v>
      </c>
      <c r="Q14">
        <f>IFERROR(VLOOKUP(all_lmics[[Setting]:[Setting]],all_cause_mort[],4,FALSE),0)</f>
        <v>5.3902473999999999E-2</v>
      </c>
      <c r="R14">
        <f>IFERROR(VLOOKUP(all_lmics[[Setting]:[Setting]],all_cause_mort[],5,FALSE),0)</f>
        <v>7.8203124999999991E-3</v>
      </c>
      <c r="S14">
        <f>IFERROR(VLOOKUP(all_lmics[[Setting]:[Setting]],all_cause_mort[],6,FALSE),0)</f>
        <v>2.7721979E-3</v>
      </c>
      <c r="T14">
        <f>IFERROR(VLOOKUP(all_lmics[[Setting]:[Setting]],all_cause_mort[],7,FALSE),0)</f>
        <v>1.6286906999999999E-3</v>
      </c>
      <c r="U14">
        <f>IFERROR(VLOOKUP(all_lmics[[Setting]:[Setting]],all_cause_mort[],8,FALSE),0)</f>
        <v>2.4872342000000001E-3</v>
      </c>
      <c r="V14">
        <f>IFERROR(VLOOKUP(all_lmics[[Setting]:[Setting]],all_cause_mort[],9,FALSE),0)</f>
        <v>3.4944225999999998E-3</v>
      </c>
      <c r="W14">
        <f>IFERROR(VLOOKUP(all_lmics[[Setting]:[Setting]],all_cause_mort[],10,FALSE),0)</f>
        <v>3.7503399E-3</v>
      </c>
      <c r="X14">
        <f>IFERROR(VLOOKUP(all_lmics[[Setting]:[Setting]],all_cause_mort[],11,FALSE),0)</f>
        <v>4.1423746000000001E-3</v>
      </c>
      <c r="Y14">
        <f>IFERROR(VLOOKUP(all_lmics[[Setting]:[Setting]],all_cause_mort[],12,FALSE),0)</f>
        <v>4.7644597000000002E-3</v>
      </c>
      <c r="Z14">
        <f>IFERROR(VLOOKUP(all_lmics[[Setting]:[Setting]],all_cause_mort[],13,FALSE),0)</f>
        <v>5.8125312999999998E-3</v>
      </c>
      <c r="AA14">
        <f>IFERROR(VLOOKUP(all_lmics[[Setting]:[Setting]],all_cause_mort[],14,FALSE),0)</f>
        <v>7.2321983999999997E-3</v>
      </c>
      <c r="AB14">
        <f>IFERROR(VLOOKUP(all_lmics[[Setting]:[Setting]],all_cause_mort[],15,FALSE),0)</f>
        <v>1.022883E-2</v>
      </c>
      <c r="AC14">
        <f>IFERROR(VLOOKUP(all_lmics[[Setting]:[Setting]],all_cause_mort[],16,FALSE),0)</f>
        <v>1.4737004999999999E-2</v>
      </c>
      <c r="AD14">
        <f>IFERROR(VLOOKUP(all_lmics[[Setting]:[Setting]],all_cause_mort[],17,FALSE),0)</f>
        <v>2.3623972E-2</v>
      </c>
      <c r="AE14">
        <f>IFERROR(VLOOKUP(all_lmics[[Setting]:[Setting]],all_cause_mort[],18,FALSE),0)</f>
        <v>3.7785759000000002E-2</v>
      </c>
      <c r="AF14">
        <f>IFERROR(VLOOKUP(all_lmics[[Setting]:[Setting]],all_cause_mort[],19,FALSE),0)</f>
        <v>6.4286138000000007E-2</v>
      </c>
      <c r="AG14">
        <f>IFERROR(VLOOKUP(all_lmics[[Setting]:[Setting]],all_cause_mort[],20,FALSE),0)</f>
        <v>0.10874273</v>
      </c>
      <c r="AH14">
        <f>IFERROR(VLOOKUP(all_lmics[[Setting]:[Setting]],all_cause_mort[],21,FALSE),0)</f>
        <v>0.18067308000000001</v>
      </c>
      <c r="AI14">
        <f>IFERROR(VLOOKUP(all_lmics[[Setting]:[Setting]],all_cause_mort[],22,FALSE),0)</f>
        <v>0.28157975000000002</v>
      </c>
      <c r="AJ14">
        <f>IFERROR(VLOOKUP(all_lmics[[Setting]:[Setting]],all_cause_mort[],23,FALSE),0)</f>
        <v>0.41064462000000002</v>
      </c>
      <c r="AK14">
        <f>IFERROR(VLOOKUP(all_lmics[[Setting]:[Setting]],all_cause_mort[],24,FALSE),0)</f>
        <v>0.57503764999999996</v>
      </c>
      <c r="AL14">
        <f>IFERROR(VLOOKUP(all_lmics[[Setting]:[Setting]],all_cause_mort[],25,FALSE),0)</f>
        <v>0.70129871404958699</v>
      </c>
      <c r="AM14">
        <f>VLOOKUP(all_lmics[[worldbank_region]:[worldbank_region]],Table13[],2,FALSE)</f>
        <v>29.912264999999998</v>
      </c>
      <c r="AN14">
        <f>VLOOKUP(all_lmics[[worldbank_region]:[worldbank_region]],Table13[],3,FALSE)</f>
        <v>29.912264999999998</v>
      </c>
      <c r="AO14">
        <f>VLOOKUP(all_lmics[[worldbank_region]:[worldbank_region]],Table13[],4,FALSE)</f>
        <v>77.641124999999988</v>
      </c>
      <c r="AP14">
        <f>VLOOKUP(all_lmics[[worldbank_region]:[worldbank_region]],Table13[],5,FALSE)</f>
        <v>77.641124999999988</v>
      </c>
      <c r="AQ14">
        <f>VLOOKUP(all_lmics[[worldbank_region]:[worldbank_region]],Table13[],6,FALSE)</f>
        <v>77.641124999999988</v>
      </c>
      <c r="AR14">
        <f>VLOOKUP(all_lmics[[worldbank_region]:[worldbank_region]],Table14[],2,FALSE)</f>
        <v>0.96979199999999999</v>
      </c>
      <c r="AS14">
        <f>VLOOKUP(all_lmics[[worldbank_region]:[worldbank_region]],Table14[],3,FALSE)</f>
        <v>1.5872920000000001</v>
      </c>
      <c r="AT14">
        <f>VLOOKUP(all_lmics[[worldbank_region]:[worldbank_region]],Table14[],4,FALSE)</f>
        <v>5.7971629999999994</v>
      </c>
      <c r="AU14">
        <f>VLOOKUP(all_lmics[[worldbank_region]:[worldbank_region]],Table14[],5,FALSE)</f>
        <v>6.4146629999999991</v>
      </c>
      <c r="AV14">
        <f>VLOOKUP(all_lmics[[worldbank_region]:[worldbank_region]],Table14[],6,FALSE)</f>
        <v>6.9849149999999991</v>
      </c>
      <c r="AW14">
        <f>IFERROR(VLOOKUP(all_lmics[[Setting]:[Setting]],nFacSBA[],4,FALSE),0)</f>
        <v>0.11479908972901186</v>
      </c>
      <c r="AX14">
        <f>VLOOKUP(all_lmics[[worldbank_region]:[worldbank_region]],hbe[],2)</f>
        <v>0.3</v>
      </c>
      <c r="AY14">
        <f>VLOOKUP(all_lmics[[worldbank_region]:[worldbank_region]],hbe[],5)</f>
        <v>0.875</v>
      </c>
      <c r="AZ14">
        <f>VLOOKUP(all_lmics[[worldbank_region]:[worldbank_region]],hbe[],8)</f>
        <v>0.15</v>
      </c>
    </row>
    <row r="15" spans="1:52" x14ac:dyDescent="0.35">
      <c r="A15" s="12" t="s">
        <v>101</v>
      </c>
      <c r="B15" s="13" t="s">
        <v>14</v>
      </c>
      <c r="C15" s="13" t="s">
        <v>13</v>
      </c>
      <c r="D15" s="14" t="s">
        <v>15</v>
      </c>
      <c r="E15">
        <f>VLOOKUP(all_lmics[[Setting]:[Setting]],populations[],9,FALSE)</f>
        <v>1861283</v>
      </c>
      <c r="F15">
        <f>VLOOKUP(all_lmics[[Setting]:[Setting]],birthrate[],3,FALSE)</f>
        <v>3.6579E-2</v>
      </c>
      <c r="G15">
        <f>all_lmics[[#This Row],[2017_population]]*all_lmics[[#This Row],[2016_birthrate]]</f>
        <v>68083.870857000002</v>
      </c>
      <c r="H15">
        <f>VLOOKUP(all_lmics[[Setting]:[Setting]],birthdose[],4,FALSE)</f>
        <v>0</v>
      </c>
      <c r="I15">
        <f>VLOOKUP(all_lmics[[Setting]:[Setting]],fullvax[],4,FALSE)</f>
        <v>0.87</v>
      </c>
      <c r="J15">
        <f>IFERROR(VLOOKUP(all_lmics[[Setting]:[Setting]],prev[],3,FALSE),0)</f>
        <v>0</v>
      </c>
      <c r="K15">
        <f>IFERROR(VLOOKUP(all_lmics[[Setting]:[Setting]],prev[],4,FALSE),0)</f>
        <v>0</v>
      </c>
      <c r="L15">
        <f>IFERROR(VLOOKUP(all_lmics[[Setting]:[Setting]],prev[],5,FALSE),0)</f>
        <v>0</v>
      </c>
      <c r="M15">
        <f>IFERROR(VLOOKUP(all_lmics[[Setting]:[Setting]],prev[],7,FALSE),0)</f>
        <v>0</v>
      </c>
      <c r="N15">
        <f>IFERROR(VLOOKUP(all_lmics[[Setting]:[Setting]],prev[],6,FALSE),0)</f>
        <v>0</v>
      </c>
      <c r="O15">
        <f>IFERROR(VLOOKUP(all_lmics[[Setting]:[Setting]],SBA[],4,FALSE),0)</f>
        <v>0.45</v>
      </c>
      <c r="P15">
        <f>IFERROR(VLOOKUP(all_lmics[[Setting]:[Setting]], facility[], 3,FALSE),0)</f>
        <v>0.44</v>
      </c>
      <c r="Q15">
        <f>IFERROR(VLOOKUP(all_lmics[[Setting]:[Setting]],all_cause_mort[],4,FALSE),0)</f>
        <v>5.9828579E-2</v>
      </c>
      <c r="R15">
        <f>IFERROR(VLOOKUP(all_lmics[[Setting]:[Setting]],all_cause_mort[],5,FALSE),0)</f>
        <v>6.8309690000000001E-3</v>
      </c>
      <c r="S15">
        <f>IFERROR(VLOOKUP(all_lmics[[Setting]:[Setting]],all_cause_mort[],6,FALSE),0)</f>
        <v>2.6597213E-3</v>
      </c>
      <c r="T15">
        <f>IFERROR(VLOOKUP(all_lmics[[Setting]:[Setting]],all_cause_mort[],7,FALSE),0)</f>
        <v>1.8669299999999999E-3</v>
      </c>
      <c r="U15">
        <f>IFERROR(VLOOKUP(all_lmics[[Setting]:[Setting]],all_cause_mort[],8,FALSE),0)</f>
        <v>2.7763718E-3</v>
      </c>
      <c r="V15">
        <f>IFERROR(VLOOKUP(all_lmics[[Setting]:[Setting]],all_cause_mort[],9,FALSE),0)</f>
        <v>4.1070767999999997E-3</v>
      </c>
      <c r="W15">
        <f>IFERROR(VLOOKUP(all_lmics[[Setting]:[Setting]],all_cause_mort[],10,FALSE),0)</f>
        <v>5.2042848999999999E-3</v>
      </c>
      <c r="X15">
        <f>IFERROR(VLOOKUP(all_lmics[[Setting]:[Setting]],all_cause_mort[],11,FALSE),0)</f>
        <v>6.3767525999999996E-3</v>
      </c>
      <c r="Y15">
        <f>IFERROR(VLOOKUP(all_lmics[[Setting]:[Setting]],all_cause_mort[],12,FALSE),0)</f>
        <v>7.9973726999999998E-3</v>
      </c>
      <c r="Z15">
        <f>IFERROR(VLOOKUP(all_lmics[[Setting]:[Setting]],all_cause_mort[],13,FALSE),0)</f>
        <v>9.7347006E-3</v>
      </c>
      <c r="AA15">
        <f>IFERROR(VLOOKUP(all_lmics[[Setting]:[Setting]],all_cause_mort[],14,FALSE),0)</f>
        <v>1.1726712E-2</v>
      </c>
      <c r="AB15">
        <f>IFERROR(VLOOKUP(all_lmics[[Setting]:[Setting]],all_cause_mort[],15,FALSE),0)</f>
        <v>1.5397516E-2</v>
      </c>
      <c r="AC15">
        <f>IFERROR(VLOOKUP(all_lmics[[Setting]:[Setting]],all_cause_mort[],16,FALSE),0)</f>
        <v>1.9777626E-2</v>
      </c>
      <c r="AD15">
        <f>IFERROR(VLOOKUP(all_lmics[[Setting]:[Setting]],all_cause_mort[],17,FALSE),0)</f>
        <v>2.8381710000000001E-2</v>
      </c>
      <c r="AE15">
        <f>IFERROR(VLOOKUP(all_lmics[[Setting]:[Setting]],all_cause_mort[],18,FALSE),0)</f>
        <v>4.2840826999999998E-2</v>
      </c>
      <c r="AF15">
        <f>IFERROR(VLOOKUP(all_lmics[[Setting]:[Setting]],all_cause_mort[],19,FALSE),0)</f>
        <v>6.7331035999999997E-2</v>
      </c>
      <c r="AG15">
        <f>IFERROR(VLOOKUP(all_lmics[[Setting]:[Setting]],all_cause_mort[],20,FALSE),0)</f>
        <v>0.10734575</v>
      </c>
      <c r="AH15">
        <f>IFERROR(VLOOKUP(all_lmics[[Setting]:[Setting]],all_cause_mort[],21,FALSE),0)</f>
        <v>0.17796028</v>
      </c>
      <c r="AI15">
        <f>IFERROR(VLOOKUP(all_lmics[[Setting]:[Setting]],all_cause_mort[],22,FALSE),0)</f>
        <v>0.29358929</v>
      </c>
      <c r="AJ15">
        <f>IFERROR(VLOOKUP(all_lmics[[Setting]:[Setting]],all_cause_mort[],23,FALSE),0)</f>
        <v>0.47446808000000001</v>
      </c>
      <c r="AK15">
        <f>IFERROR(VLOOKUP(all_lmics[[Setting]:[Setting]],all_cause_mort[],24,FALSE),0)</f>
        <v>0.66165552999999999</v>
      </c>
      <c r="AL15">
        <f>IFERROR(VLOOKUP(all_lmics[[Setting]:[Setting]],all_cause_mort[],25,FALSE),0)</f>
        <v>0.85233413407284098</v>
      </c>
      <c r="AM15">
        <f>VLOOKUP(all_lmics[[worldbank_region]:[worldbank_region]],Table13[],2,FALSE)</f>
        <v>29.912264999999998</v>
      </c>
      <c r="AN15">
        <f>VLOOKUP(all_lmics[[worldbank_region]:[worldbank_region]],Table13[],3,FALSE)</f>
        <v>29.912264999999998</v>
      </c>
      <c r="AO15">
        <f>VLOOKUP(all_lmics[[worldbank_region]:[worldbank_region]],Table13[],4,FALSE)</f>
        <v>77.641124999999988</v>
      </c>
      <c r="AP15">
        <f>VLOOKUP(all_lmics[[worldbank_region]:[worldbank_region]],Table13[],5,FALSE)</f>
        <v>77.641124999999988</v>
      </c>
      <c r="AQ15">
        <f>VLOOKUP(all_lmics[[worldbank_region]:[worldbank_region]],Table13[],6,FALSE)</f>
        <v>77.641124999999988</v>
      </c>
      <c r="AR15">
        <f>VLOOKUP(all_lmics[[worldbank_region]:[worldbank_region]],Table14[],2,FALSE)</f>
        <v>0.96979199999999999</v>
      </c>
      <c r="AS15">
        <f>VLOOKUP(all_lmics[[worldbank_region]:[worldbank_region]],Table14[],3,FALSE)</f>
        <v>1.5872920000000001</v>
      </c>
      <c r="AT15">
        <f>VLOOKUP(all_lmics[[worldbank_region]:[worldbank_region]],Table14[],4,FALSE)</f>
        <v>5.7971629999999994</v>
      </c>
      <c r="AU15">
        <f>VLOOKUP(all_lmics[[worldbank_region]:[worldbank_region]],Table14[],5,FALSE)</f>
        <v>6.4146629999999991</v>
      </c>
      <c r="AV15">
        <f>VLOOKUP(all_lmics[[worldbank_region]:[worldbank_region]],Table14[],6,FALSE)</f>
        <v>6.9849149999999991</v>
      </c>
      <c r="AW15">
        <f>IFERROR(VLOOKUP(all_lmics[[Setting]:[Setting]],nFacSBA[],4,FALSE),0)</f>
        <v>0</v>
      </c>
      <c r="AX15">
        <f>VLOOKUP(all_lmics[[worldbank_region]:[worldbank_region]],hbe[],2)</f>
        <v>0.3</v>
      </c>
      <c r="AY15">
        <f>VLOOKUP(all_lmics[[worldbank_region]:[worldbank_region]],hbe[],5)</f>
        <v>0.875</v>
      </c>
      <c r="AZ15">
        <f>VLOOKUP(all_lmics[[worldbank_region]:[worldbank_region]],hbe[],8)</f>
        <v>0.15</v>
      </c>
    </row>
    <row r="16" spans="1:52" x14ac:dyDescent="0.35">
      <c r="A16" s="8" t="s">
        <v>127</v>
      </c>
      <c r="B16" s="10" t="s">
        <v>14</v>
      </c>
      <c r="C16" s="10" t="s">
        <v>13</v>
      </c>
      <c r="D16" s="11" t="s">
        <v>15</v>
      </c>
      <c r="E16">
        <f>VLOOKUP(all_lmics[[Setting]:[Setting]],populations[],9,FALSE)</f>
        <v>4731906</v>
      </c>
      <c r="F16">
        <f>VLOOKUP(all_lmics[[Setting]:[Setting]],birthrate[],3,FALSE)</f>
        <v>3.4318000000000001E-2</v>
      </c>
      <c r="G16">
        <f>all_lmics[[#This Row],[2017_population]]*all_lmics[[#This Row],[2016_birthrate]]</f>
        <v>162389.550108</v>
      </c>
      <c r="H16">
        <f>VLOOKUP(all_lmics[[Setting]:[Setting]],birthdose[],4,FALSE)</f>
        <v>0</v>
      </c>
      <c r="I16">
        <f>VLOOKUP(all_lmics[[Setting]:[Setting]],fullvax[],4,FALSE)</f>
        <v>0.86</v>
      </c>
      <c r="J16">
        <f>IFERROR(VLOOKUP(all_lmics[[Setting]:[Setting]],prev[],3,FALSE),0)</f>
        <v>0.17549999999999999</v>
      </c>
      <c r="K16">
        <f>IFERROR(VLOOKUP(all_lmics[[Setting]:[Setting]],prev[],4,FALSE),0)</f>
        <v>0.157</v>
      </c>
      <c r="L16">
        <f>IFERROR(VLOOKUP(all_lmics[[Setting]:[Setting]],prev[],5,FALSE),0)</f>
        <v>0.19550000000000001</v>
      </c>
      <c r="M16">
        <f>IFERROR(VLOOKUP(all_lmics[[Setting]:[Setting]],prev[],7,FALSE),0)</f>
        <v>1.0204081632653071E-2</v>
      </c>
      <c r="N16">
        <f>IFERROR(VLOOKUP(all_lmics[[Setting]:[Setting]],prev[],6,FALSE),0)</f>
        <v>3948125</v>
      </c>
      <c r="O16">
        <f>IFERROR(VLOOKUP(all_lmics[[Setting]:[Setting]],SBA[],4,FALSE),0)</f>
        <v>0.61099999999999999</v>
      </c>
      <c r="P16">
        <f>IFERROR(VLOOKUP(all_lmics[[Setting]:[Setting]], facility[], 3,FALSE),0)</f>
        <v>0.55799999999999994</v>
      </c>
      <c r="Q16">
        <f>IFERROR(VLOOKUP(all_lmics[[Setting]:[Setting]],all_cause_mort[],4,FALSE),0)</f>
        <v>5.6507960000000003E-2</v>
      </c>
      <c r="R16">
        <f>IFERROR(VLOOKUP(all_lmics[[Setting]:[Setting]],all_cause_mort[],5,FALSE),0)</f>
        <v>5.3679430999999996E-3</v>
      </c>
      <c r="S16">
        <f>IFERROR(VLOOKUP(all_lmics[[Setting]:[Setting]],all_cause_mort[],6,FALSE),0)</f>
        <v>1.5302909E-3</v>
      </c>
      <c r="T16">
        <f>IFERROR(VLOOKUP(all_lmics[[Setting]:[Setting]],all_cause_mort[],7,FALSE),0)</f>
        <v>1.0860201000000001E-3</v>
      </c>
      <c r="U16">
        <f>IFERROR(VLOOKUP(all_lmics[[Setting]:[Setting]],all_cause_mort[],8,FALSE),0)</f>
        <v>1.7091764999999999E-3</v>
      </c>
      <c r="V16">
        <f>IFERROR(VLOOKUP(all_lmics[[Setting]:[Setting]],all_cause_mort[],9,FALSE),0)</f>
        <v>2.5201724999999999E-3</v>
      </c>
      <c r="W16">
        <f>IFERROR(VLOOKUP(all_lmics[[Setting]:[Setting]],all_cause_mort[],10,FALSE),0)</f>
        <v>3.0672944000000001E-3</v>
      </c>
      <c r="X16">
        <f>IFERROR(VLOOKUP(all_lmics[[Setting]:[Setting]],all_cause_mort[],11,FALSE),0)</f>
        <v>3.6989191999999998E-3</v>
      </c>
      <c r="Y16">
        <f>IFERROR(VLOOKUP(all_lmics[[Setting]:[Setting]],all_cause_mort[],12,FALSE),0)</f>
        <v>4.6183780999999998E-3</v>
      </c>
      <c r="Z16">
        <f>IFERROR(VLOOKUP(all_lmics[[Setting]:[Setting]],all_cause_mort[],13,FALSE),0)</f>
        <v>5.8068152E-3</v>
      </c>
      <c r="AA16">
        <f>IFERROR(VLOOKUP(all_lmics[[Setting]:[Setting]],all_cause_mort[],14,FALSE),0)</f>
        <v>7.2483950000000004E-3</v>
      </c>
      <c r="AB16">
        <f>IFERROR(VLOOKUP(all_lmics[[Setting]:[Setting]],all_cause_mort[],15,FALSE),0)</f>
        <v>1.0086743E-2</v>
      </c>
      <c r="AC16">
        <f>IFERROR(VLOOKUP(all_lmics[[Setting]:[Setting]],all_cause_mort[],16,FALSE),0)</f>
        <v>1.3482156E-2</v>
      </c>
      <c r="AD16">
        <f>IFERROR(VLOOKUP(all_lmics[[Setting]:[Setting]],all_cause_mort[],17,FALSE),0)</f>
        <v>2.0323371E-2</v>
      </c>
      <c r="AE16">
        <f>IFERROR(VLOOKUP(all_lmics[[Setting]:[Setting]],all_cause_mort[],18,FALSE),0)</f>
        <v>3.2033071000000003E-2</v>
      </c>
      <c r="AF16">
        <f>IFERROR(VLOOKUP(all_lmics[[Setting]:[Setting]],all_cause_mort[],19,FALSE),0)</f>
        <v>5.2055210999999997E-2</v>
      </c>
      <c r="AG16">
        <f>IFERROR(VLOOKUP(all_lmics[[Setting]:[Setting]],all_cause_mort[],20,FALSE),0)</f>
        <v>8.5776371000000004E-2</v>
      </c>
      <c r="AH16">
        <f>IFERROR(VLOOKUP(all_lmics[[Setting]:[Setting]],all_cause_mort[],21,FALSE),0)</f>
        <v>0.14552051999999999</v>
      </c>
      <c r="AI16">
        <f>IFERROR(VLOOKUP(all_lmics[[Setting]:[Setting]],all_cause_mort[],22,FALSE),0)</f>
        <v>0.24555515</v>
      </c>
      <c r="AJ16">
        <f>IFERROR(VLOOKUP(all_lmics[[Setting]:[Setting]],all_cause_mort[],23,FALSE),0)</f>
        <v>0.41108940999999999</v>
      </c>
      <c r="AK16">
        <f>IFERROR(VLOOKUP(all_lmics[[Setting]:[Setting]],all_cause_mort[],24,FALSE),0)</f>
        <v>0.59078889000000001</v>
      </c>
      <c r="AL16">
        <f>IFERROR(VLOOKUP(all_lmics[[Setting]:[Setting]],all_cause_mort[],25,FALSE),0)</f>
        <v>0.78073099687090797</v>
      </c>
      <c r="AM16">
        <f>VLOOKUP(all_lmics[[worldbank_region]:[worldbank_region]],Table13[],2,FALSE)</f>
        <v>29.912264999999998</v>
      </c>
      <c r="AN16">
        <f>VLOOKUP(all_lmics[[worldbank_region]:[worldbank_region]],Table13[],3,FALSE)</f>
        <v>29.912264999999998</v>
      </c>
      <c r="AO16">
        <f>VLOOKUP(all_lmics[[worldbank_region]:[worldbank_region]],Table13[],4,FALSE)</f>
        <v>77.641124999999988</v>
      </c>
      <c r="AP16">
        <f>VLOOKUP(all_lmics[[worldbank_region]:[worldbank_region]],Table13[],5,FALSE)</f>
        <v>77.641124999999988</v>
      </c>
      <c r="AQ16">
        <f>VLOOKUP(all_lmics[[worldbank_region]:[worldbank_region]],Table13[],6,FALSE)</f>
        <v>77.641124999999988</v>
      </c>
      <c r="AR16">
        <f>VLOOKUP(all_lmics[[worldbank_region]:[worldbank_region]],Table14[],2,FALSE)</f>
        <v>0.96979199999999999</v>
      </c>
      <c r="AS16">
        <f>VLOOKUP(all_lmics[[worldbank_region]:[worldbank_region]],Table14[],3,FALSE)</f>
        <v>1.5872920000000001</v>
      </c>
      <c r="AT16">
        <f>VLOOKUP(all_lmics[[worldbank_region]:[worldbank_region]],Table14[],4,FALSE)</f>
        <v>5.7971629999999994</v>
      </c>
      <c r="AU16">
        <f>VLOOKUP(all_lmics[[worldbank_region]:[worldbank_region]],Table14[],5,FALSE)</f>
        <v>6.4146629999999991</v>
      </c>
      <c r="AV16">
        <f>VLOOKUP(all_lmics[[worldbank_region]:[worldbank_region]],Table14[],6,FALSE)</f>
        <v>6.9849149999999991</v>
      </c>
      <c r="AW16">
        <f>IFERROR(VLOOKUP(all_lmics[[Setting]:[Setting]],nFacSBA[],4,FALSE),0)</f>
        <v>0.14796240822349041</v>
      </c>
      <c r="AX16">
        <f>VLOOKUP(all_lmics[[worldbank_region]:[worldbank_region]],hbe[],2)</f>
        <v>0.3</v>
      </c>
      <c r="AY16">
        <f>VLOOKUP(all_lmics[[worldbank_region]:[worldbank_region]],hbe[],5)</f>
        <v>0.875</v>
      </c>
      <c r="AZ16">
        <f>VLOOKUP(all_lmics[[worldbank_region]:[worldbank_region]],hbe[],8)</f>
        <v>0.15</v>
      </c>
    </row>
    <row r="17" spans="1:52" x14ac:dyDescent="0.35">
      <c r="A17" s="8" t="s">
        <v>131</v>
      </c>
      <c r="B17" s="10" t="s">
        <v>14</v>
      </c>
      <c r="C17" s="10" t="s">
        <v>13</v>
      </c>
      <c r="D17" s="11" t="s">
        <v>15</v>
      </c>
      <c r="E17">
        <f>VLOOKUP(all_lmics[[Setting]:[Setting]],populations[],9,FALSE)</f>
        <v>25570895</v>
      </c>
      <c r="F17">
        <f>VLOOKUP(all_lmics[[Setting]:[Setting]],birthrate[],3,FALSE)</f>
        <v>3.3145000000000001E-2</v>
      </c>
      <c r="G17">
        <f>all_lmics[[#This Row],[2017_population]]*all_lmics[[#This Row],[2016_birthrate]]</f>
        <v>847547.31477499998</v>
      </c>
      <c r="H17">
        <f>VLOOKUP(all_lmics[[Setting]:[Setting]],birthdose[],4,FALSE)</f>
        <v>0</v>
      </c>
      <c r="I17">
        <f>VLOOKUP(all_lmics[[Setting]:[Setting]],fullvax[],4,FALSE)</f>
        <v>0.74</v>
      </c>
      <c r="J17">
        <f>IFERROR(VLOOKUP(all_lmics[[Setting]:[Setting]],prev[],3,FALSE),0)</f>
        <v>5.5E-2</v>
      </c>
      <c r="K17">
        <f>IFERROR(VLOOKUP(all_lmics[[Setting]:[Setting]],prev[],4,FALSE),0)</f>
        <v>4.7E-2</v>
      </c>
      <c r="L17">
        <f>IFERROR(VLOOKUP(all_lmics[[Setting]:[Setting]],prev[],5,FALSE),0)</f>
        <v>6.4000000000000001E-2</v>
      </c>
      <c r="M17">
        <f>IFERROR(VLOOKUP(all_lmics[[Setting]:[Setting]],prev[],7,FALSE),0)</f>
        <v>4.591836734693878E-3</v>
      </c>
      <c r="N17">
        <f>IFERROR(VLOOKUP(all_lmics[[Setting]:[Setting]],prev[],6,FALSE),0)</f>
        <v>25570895</v>
      </c>
      <c r="O17">
        <f>IFERROR(VLOOKUP(all_lmics[[Setting]:[Setting]],SBA[],4,FALSE),0)</f>
        <v>0.44299999999999995</v>
      </c>
      <c r="P17">
        <f>IFERROR(VLOOKUP(all_lmics[[Setting]:[Setting]], facility[], 3,FALSE),0)</f>
        <v>0.379</v>
      </c>
      <c r="Q17">
        <f>IFERROR(VLOOKUP(all_lmics[[Setting]:[Setting]],all_cause_mort[],4,FALSE),0)</f>
        <v>2.9794632000000001E-2</v>
      </c>
      <c r="R17">
        <f>IFERROR(VLOOKUP(all_lmics[[Setting]:[Setting]],all_cause_mort[],5,FALSE),0)</f>
        <v>3.6771850999999999E-3</v>
      </c>
      <c r="S17">
        <f>IFERROR(VLOOKUP(all_lmics[[Setting]:[Setting]],all_cause_mort[],6,FALSE),0)</f>
        <v>1.6905665000000001E-3</v>
      </c>
      <c r="T17">
        <f>IFERROR(VLOOKUP(all_lmics[[Setting]:[Setting]],all_cause_mort[],7,FALSE),0)</f>
        <v>1.3279164000000001E-3</v>
      </c>
      <c r="U17">
        <f>IFERROR(VLOOKUP(all_lmics[[Setting]:[Setting]],all_cause_mort[],8,FALSE),0)</f>
        <v>1.848737E-3</v>
      </c>
      <c r="V17">
        <f>IFERROR(VLOOKUP(all_lmics[[Setting]:[Setting]],all_cause_mort[],9,FALSE),0)</f>
        <v>2.1408898999999999E-3</v>
      </c>
      <c r="W17">
        <f>IFERROR(VLOOKUP(all_lmics[[Setting]:[Setting]],all_cause_mort[],10,FALSE),0)</f>
        <v>2.3733652000000002E-3</v>
      </c>
      <c r="X17">
        <f>IFERROR(VLOOKUP(all_lmics[[Setting]:[Setting]],all_cause_mort[],11,FALSE),0)</f>
        <v>3.0687179999999998E-3</v>
      </c>
      <c r="Y17">
        <f>IFERROR(VLOOKUP(all_lmics[[Setting]:[Setting]],all_cause_mort[],12,FALSE),0)</f>
        <v>3.9530136999999998E-3</v>
      </c>
      <c r="Z17">
        <f>IFERROR(VLOOKUP(all_lmics[[Setting]:[Setting]],all_cause_mort[],13,FALSE),0)</f>
        <v>5.1181643000000002E-3</v>
      </c>
      <c r="AA17">
        <f>IFERROR(VLOOKUP(all_lmics[[Setting]:[Setting]],all_cause_mort[],14,FALSE),0)</f>
        <v>6.7688907999999999E-3</v>
      </c>
      <c r="AB17">
        <f>IFERROR(VLOOKUP(all_lmics[[Setting]:[Setting]],all_cause_mort[],15,FALSE),0)</f>
        <v>9.1024993000000005E-3</v>
      </c>
      <c r="AC17">
        <f>IFERROR(VLOOKUP(all_lmics[[Setting]:[Setting]],all_cause_mort[],16,FALSE),0)</f>
        <v>1.2922749000000001E-2</v>
      </c>
      <c r="AD17">
        <f>IFERROR(VLOOKUP(all_lmics[[Setting]:[Setting]],all_cause_mort[],17,FALSE),0)</f>
        <v>2.0065366000000001E-2</v>
      </c>
      <c r="AE17">
        <f>IFERROR(VLOOKUP(all_lmics[[Setting]:[Setting]],all_cause_mort[],18,FALSE),0)</f>
        <v>3.3301007000000001E-2</v>
      </c>
      <c r="AF17">
        <f>IFERROR(VLOOKUP(all_lmics[[Setting]:[Setting]],all_cause_mort[],19,FALSE),0)</f>
        <v>5.3231340000000002E-2</v>
      </c>
      <c r="AG17">
        <f>IFERROR(VLOOKUP(all_lmics[[Setting]:[Setting]],all_cause_mort[],20,FALSE),0)</f>
        <v>8.2747205000000004E-2</v>
      </c>
      <c r="AH17">
        <f>IFERROR(VLOOKUP(all_lmics[[Setting]:[Setting]],all_cause_mort[],21,FALSE),0)</f>
        <v>0.12599365000000001</v>
      </c>
      <c r="AI17">
        <f>IFERROR(VLOOKUP(all_lmics[[Setting]:[Setting]],all_cause_mort[],22,FALSE),0)</f>
        <v>0.18650884000000001</v>
      </c>
      <c r="AJ17">
        <f>IFERROR(VLOOKUP(all_lmics[[Setting]:[Setting]],all_cause_mort[],23,FALSE),0)</f>
        <v>0.26628594999999999</v>
      </c>
      <c r="AK17">
        <f>IFERROR(VLOOKUP(all_lmics[[Setting]:[Setting]],all_cause_mort[],24,FALSE),0)</f>
        <v>0.36397926000000003</v>
      </c>
      <c r="AL17">
        <f>IFERROR(VLOOKUP(all_lmics[[Setting]:[Setting]],all_cause_mort[],25,FALSE),0)</f>
        <v>0.46469189649359799</v>
      </c>
      <c r="AM17">
        <f>VLOOKUP(all_lmics[[worldbank_region]:[worldbank_region]],Table13[],2,FALSE)</f>
        <v>29.912264999999998</v>
      </c>
      <c r="AN17">
        <f>VLOOKUP(all_lmics[[worldbank_region]:[worldbank_region]],Table13[],3,FALSE)</f>
        <v>29.912264999999998</v>
      </c>
      <c r="AO17">
        <f>VLOOKUP(all_lmics[[worldbank_region]:[worldbank_region]],Table13[],4,FALSE)</f>
        <v>77.641124999999988</v>
      </c>
      <c r="AP17">
        <f>VLOOKUP(all_lmics[[worldbank_region]:[worldbank_region]],Table13[],5,FALSE)</f>
        <v>77.641124999999988</v>
      </c>
      <c r="AQ17">
        <f>VLOOKUP(all_lmics[[worldbank_region]:[worldbank_region]],Table13[],6,FALSE)</f>
        <v>77.641124999999988</v>
      </c>
      <c r="AR17">
        <f>VLOOKUP(all_lmics[[worldbank_region]:[worldbank_region]],Table14[],2,FALSE)</f>
        <v>0.96979199999999999</v>
      </c>
      <c r="AS17">
        <f>VLOOKUP(all_lmics[[worldbank_region]:[worldbank_region]],Table14[],3,FALSE)</f>
        <v>1.5872920000000001</v>
      </c>
      <c r="AT17">
        <f>VLOOKUP(all_lmics[[worldbank_region]:[worldbank_region]],Table14[],4,FALSE)</f>
        <v>5.7971629999999994</v>
      </c>
      <c r="AU17">
        <f>VLOOKUP(all_lmics[[worldbank_region]:[worldbank_region]],Table14[],5,FALSE)</f>
        <v>6.4146629999999991</v>
      </c>
      <c r="AV17">
        <f>VLOOKUP(all_lmics[[worldbank_region]:[worldbank_region]],Table14[],6,FALSE)</f>
        <v>6.9849149999999991</v>
      </c>
      <c r="AW17">
        <f>IFERROR(VLOOKUP(all_lmics[[Setting]:[Setting]],nFacSBA[],4,FALSE),0)</f>
        <v>0.13498922701494973</v>
      </c>
      <c r="AX17">
        <f>VLOOKUP(all_lmics[[worldbank_region]:[worldbank_region]],hbe[],2)</f>
        <v>0.3</v>
      </c>
      <c r="AY17">
        <f>VLOOKUP(all_lmics[[worldbank_region]:[worldbank_region]],hbe[],5)</f>
        <v>0.875</v>
      </c>
      <c r="AZ17">
        <f>VLOOKUP(all_lmics[[worldbank_region]:[worldbank_region]],hbe[],8)</f>
        <v>0.15</v>
      </c>
    </row>
    <row r="18" spans="1:52" x14ac:dyDescent="0.35">
      <c r="A18" s="8" t="s">
        <v>135</v>
      </c>
      <c r="B18" s="10" t="s">
        <v>14</v>
      </c>
      <c r="C18" s="10" t="s">
        <v>13</v>
      </c>
      <c r="D18" s="11" t="s">
        <v>15</v>
      </c>
      <c r="E18">
        <f>VLOOKUP(all_lmics[[Setting]:[Setting]],populations[],9,FALSE)</f>
        <v>18541980</v>
      </c>
      <c r="F18">
        <f>VLOOKUP(all_lmics[[Setting]:[Setting]],birthrate[],3,FALSE)</f>
        <v>4.2633999999999998E-2</v>
      </c>
      <c r="G18">
        <f>all_lmics[[#This Row],[2017_population]]*all_lmics[[#This Row],[2016_birthrate]]</f>
        <v>790518.77532000002</v>
      </c>
      <c r="H18">
        <f>VLOOKUP(all_lmics[[Setting]:[Setting]],birthdose[],4,FALSE)</f>
        <v>0</v>
      </c>
      <c r="I18">
        <f>VLOOKUP(all_lmics[[Setting]:[Setting]],fullvax[],4,FALSE)</f>
        <v>0.66</v>
      </c>
      <c r="J18">
        <f>IFERROR(VLOOKUP(all_lmics[[Setting]:[Setting]],prev[],3,FALSE),0)</f>
        <v>5.1999999999999998E-2</v>
      </c>
      <c r="K18">
        <f>IFERROR(VLOOKUP(all_lmics[[Setting]:[Setting]],prev[],4,FALSE),0)</f>
        <v>4.9000000000000002E-2</v>
      </c>
      <c r="L18">
        <f>IFERROR(VLOOKUP(all_lmics[[Setting]:[Setting]],prev[],5,FALSE),0)</f>
        <v>5.8999999999999997E-2</v>
      </c>
      <c r="M18">
        <f>IFERROR(VLOOKUP(all_lmics[[Setting]:[Setting]],prev[],7,FALSE),0)</f>
        <v>3.5714285714285713E-3</v>
      </c>
      <c r="N18">
        <f>IFERROR(VLOOKUP(all_lmics[[Setting]:[Setting]],prev[],6,FALSE),0)</f>
        <v>18541980</v>
      </c>
      <c r="O18">
        <f>IFERROR(VLOOKUP(all_lmics[[Setting]:[Setting]],SBA[],4,FALSE),0)</f>
        <v>0.43700000000000006</v>
      </c>
      <c r="P18">
        <f>IFERROR(VLOOKUP(all_lmics[[Setting]:[Setting]], facility[], 3,FALSE),0)</f>
        <v>0.64500000000000002</v>
      </c>
      <c r="Q18">
        <f>IFERROR(VLOOKUP(all_lmics[[Setting]:[Setting]],all_cause_mort[],4,FALSE),0)</f>
        <v>6.9285285000000002E-2</v>
      </c>
      <c r="R18">
        <f>IFERROR(VLOOKUP(all_lmics[[Setting]:[Setting]],all_cause_mort[],5,FALSE),0)</f>
        <v>1.0904367E-2</v>
      </c>
      <c r="S18">
        <f>IFERROR(VLOOKUP(all_lmics[[Setting]:[Setting]],all_cause_mort[],6,FALSE),0)</f>
        <v>3.5006729000000001E-3</v>
      </c>
      <c r="T18">
        <f>IFERROR(VLOOKUP(all_lmics[[Setting]:[Setting]],all_cause_mort[],7,FALSE),0)</f>
        <v>1.9752348E-3</v>
      </c>
      <c r="U18">
        <f>IFERROR(VLOOKUP(all_lmics[[Setting]:[Setting]],all_cause_mort[],8,FALSE),0)</f>
        <v>2.9901288000000002E-3</v>
      </c>
      <c r="V18">
        <f>IFERROR(VLOOKUP(all_lmics[[Setting]:[Setting]],all_cause_mort[],9,FALSE),0)</f>
        <v>3.8600000000000001E-3</v>
      </c>
      <c r="W18">
        <f>IFERROR(VLOOKUP(all_lmics[[Setting]:[Setting]],all_cause_mort[],10,FALSE),0)</f>
        <v>4.3399657000000001E-3</v>
      </c>
      <c r="X18">
        <f>IFERROR(VLOOKUP(all_lmics[[Setting]:[Setting]],all_cause_mort[],11,FALSE),0)</f>
        <v>4.6100070999999998E-3</v>
      </c>
      <c r="Y18">
        <f>IFERROR(VLOOKUP(all_lmics[[Setting]:[Setting]],all_cause_mort[],12,FALSE),0)</f>
        <v>5.1801305000000004E-3</v>
      </c>
      <c r="Z18">
        <f>IFERROR(VLOOKUP(all_lmics[[Setting]:[Setting]],all_cause_mort[],13,FALSE),0)</f>
        <v>6.1710510999999999E-3</v>
      </c>
      <c r="AA18">
        <f>IFERROR(VLOOKUP(all_lmics[[Setting]:[Setting]],all_cause_mort[],14,FALSE),0)</f>
        <v>7.2301713000000002E-3</v>
      </c>
      <c r="AB18">
        <f>IFERROR(VLOOKUP(all_lmics[[Setting]:[Setting]],all_cause_mort[],15,FALSE),0)</f>
        <v>1.0255790000000001E-2</v>
      </c>
      <c r="AC18">
        <f>IFERROR(VLOOKUP(all_lmics[[Setting]:[Setting]],all_cause_mort[],16,FALSE),0)</f>
        <v>1.4802391E-2</v>
      </c>
      <c r="AD18">
        <f>IFERROR(VLOOKUP(all_lmics[[Setting]:[Setting]],all_cause_mort[],17,FALSE),0)</f>
        <v>2.3630588000000001E-2</v>
      </c>
      <c r="AE18">
        <f>IFERROR(VLOOKUP(all_lmics[[Setting]:[Setting]],all_cause_mort[],18,FALSE),0)</f>
        <v>3.7708633999999998E-2</v>
      </c>
      <c r="AF18">
        <f>IFERROR(VLOOKUP(all_lmics[[Setting]:[Setting]],all_cause_mort[],19,FALSE),0)</f>
        <v>6.4090099999999997E-2</v>
      </c>
      <c r="AG18">
        <f>IFERROR(VLOOKUP(all_lmics[[Setting]:[Setting]],all_cause_mort[],20,FALSE),0)</f>
        <v>0.10855007</v>
      </c>
      <c r="AH18">
        <f>IFERROR(VLOOKUP(all_lmics[[Setting]:[Setting]],all_cause_mort[],21,FALSE),0)</f>
        <v>0.18044673</v>
      </c>
      <c r="AI18">
        <f>IFERROR(VLOOKUP(all_lmics[[Setting]:[Setting]],all_cause_mort[],22,FALSE),0)</f>
        <v>0.28201369999999998</v>
      </c>
      <c r="AJ18">
        <f>IFERROR(VLOOKUP(all_lmics[[Setting]:[Setting]],all_cause_mort[],23,FALSE),0)</f>
        <v>0.41225268999999998</v>
      </c>
      <c r="AK18">
        <f>IFERROR(VLOOKUP(all_lmics[[Setting]:[Setting]],all_cause_mort[],24,FALSE),0)</f>
        <v>0.57833018999999997</v>
      </c>
      <c r="AL18">
        <f>IFERROR(VLOOKUP(all_lmics[[Setting]:[Setting]],all_cause_mort[],25,FALSE),0)</f>
        <v>0.725519976539586</v>
      </c>
      <c r="AM18">
        <f>VLOOKUP(all_lmics[[worldbank_region]:[worldbank_region]],Table13[],2,FALSE)</f>
        <v>29.912264999999998</v>
      </c>
      <c r="AN18">
        <f>VLOOKUP(all_lmics[[worldbank_region]:[worldbank_region]],Table13[],3,FALSE)</f>
        <v>29.912264999999998</v>
      </c>
      <c r="AO18">
        <f>VLOOKUP(all_lmics[[worldbank_region]:[worldbank_region]],Table13[],4,FALSE)</f>
        <v>77.641124999999988</v>
      </c>
      <c r="AP18">
        <f>VLOOKUP(all_lmics[[worldbank_region]:[worldbank_region]],Table13[],5,FALSE)</f>
        <v>77.641124999999988</v>
      </c>
      <c r="AQ18">
        <f>VLOOKUP(all_lmics[[worldbank_region]:[worldbank_region]],Table13[],6,FALSE)</f>
        <v>77.641124999999988</v>
      </c>
      <c r="AR18">
        <f>VLOOKUP(all_lmics[[worldbank_region]:[worldbank_region]],Table14[],2,FALSE)</f>
        <v>0.96979199999999999</v>
      </c>
      <c r="AS18">
        <f>VLOOKUP(all_lmics[[worldbank_region]:[worldbank_region]],Table14[],3,FALSE)</f>
        <v>1.5872920000000001</v>
      </c>
      <c r="AT18">
        <f>VLOOKUP(all_lmics[[worldbank_region]:[worldbank_region]],Table14[],4,FALSE)</f>
        <v>5.7971629999999994</v>
      </c>
      <c r="AU18">
        <f>VLOOKUP(all_lmics[[worldbank_region]:[worldbank_region]],Table14[],5,FALSE)</f>
        <v>6.4146629999999991</v>
      </c>
      <c r="AV18">
        <f>VLOOKUP(all_lmics[[worldbank_region]:[worldbank_region]],Table14[],6,FALSE)</f>
        <v>6.9849149999999991</v>
      </c>
      <c r="AW18">
        <f>IFERROR(VLOOKUP(all_lmics[[Setting]:[Setting]],nFacSBA[],4,FALSE),0)</f>
        <v>0.109324921469656</v>
      </c>
      <c r="AX18">
        <f>VLOOKUP(all_lmics[[worldbank_region]:[worldbank_region]],hbe[],2)</f>
        <v>0.3</v>
      </c>
      <c r="AY18">
        <f>VLOOKUP(all_lmics[[worldbank_region]:[worldbank_region]],hbe[],5)</f>
        <v>0.875</v>
      </c>
      <c r="AZ18">
        <f>VLOOKUP(all_lmics[[worldbank_region]:[worldbank_region]],hbe[],8)</f>
        <v>0.15</v>
      </c>
    </row>
    <row r="19" spans="1:52" x14ac:dyDescent="0.35">
      <c r="A19" s="12" t="s">
        <v>138</v>
      </c>
      <c r="B19" s="13" t="s">
        <v>14</v>
      </c>
      <c r="C19" s="13" t="s">
        <v>13</v>
      </c>
      <c r="D19" s="14" t="s">
        <v>15</v>
      </c>
      <c r="E19">
        <f>VLOOKUP(all_lmics[[Setting]:[Setting]],populations[],9,FALSE)</f>
        <v>4420184</v>
      </c>
      <c r="F19">
        <f>VLOOKUP(all_lmics[[Setting]:[Setting]],birthrate[],3,FALSE)</f>
        <v>3.4154999999999998E-2</v>
      </c>
      <c r="G19">
        <f>all_lmics[[#This Row],[2017_population]]*all_lmics[[#This Row],[2016_birthrate]]</f>
        <v>150971.38451999999</v>
      </c>
      <c r="H19">
        <f>VLOOKUP(all_lmics[[Setting]:[Setting]],birthdose[],4,FALSE)</f>
        <v>0.57999999999999996</v>
      </c>
      <c r="I19">
        <f>VLOOKUP(all_lmics[[Setting]:[Setting]],fullvax[],4,FALSE)</f>
        <v>0.81</v>
      </c>
      <c r="J19">
        <f>IFERROR(VLOOKUP(all_lmics[[Setting]:[Setting]],prev[],3,FALSE),0)</f>
        <v>9.2999999999999999E-2</v>
      </c>
      <c r="K19">
        <f>IFERROR(VLOOKUP(all_lmics[[Setting]:[Setting]],prev[],4,FALSE),0)</f>
        <v>8.6999999999999994E-2</v>
      </c>
      <c r="L19">
        <f>IFERROR(VLOOKUP(all_lmics[[Setting]:[Setting]],prev[],5,FALSE),0)</f>
        <v>0.10199999999999999</v>
      </c>
      <c r="M19">
        <f>IFERROR(VLOOKUP(all_lmics[[Setting]:[Setting]],prev[],7,FALSE),0)</f>
        <v>4.5918367346938745E-3</v>
      </c>
      <c r="N19">
        <f>IFERROR(VLOOKUP(all_lmics[[Setting]:[Setting]],prev[],6,FALSE),0)</f>
        <v>4420184</v>
      </c>
      <c r="O19">
        <f>IFERROR(VLOOKUP(all_lmics[[Setting]:[Setting]],SBA[],4,FALSE),0)</f>
        <v>0.69299999999999995</v>
      </c>
      <c r="P19">
        <f>IFERROR(VLOOKUP(all_lmics[[Setting]:[Setting]], facility[], 3,FALSE),0)</f>
        <v>0.69299999999999995</v>
      </c>
      <c r="Q19">
        <f>IFERROR(VLOOKUP(all_lmics[[Setting]:[Setting]],all_cause_mort[],4,FALSE),0)</f>
        <v>5.5841769999999999E-2</v>
      </c>
      <c r="R19">
        <f>IFERROR(VLOOKUP(all_lmics[[Setting]:[Setting]],all_cause_mort[],5,FALSE),0)</f>
        <v>6.8215636000000003E-3</v>
      </c>
      <c r="S19">
        <f>IFERROR(VLOOKUP(all_lmics[[Setting]:[Setting]],all_cause_mort[],6,FALSE),0)</f>
        <v>1.0882108999999999E-3</v>
      </c>
      <c r="T19">
        <f>IFERROR(VLOOKUP(all_lmics[[Setting]:[Setting]],all_cause_mort[],7,FALSE),0)</f>
        <v>8.5811024000000005E-4</v>
      </c>
      <c r="U19">
        <f>IFERROR(VLOOKUP(all_lmics[[Setting]:[Setting]],all_cause_mort[],8,FALSE),0)</f>
        <v>1.4149504E-3</v>
      </c>
      <c r="V19">
        <f>IFERROR(VLOOKUP(all_lmics[[Setting]:[Setting]],all_cause_mort[],9,FALSE),0)</f>
        <v>1.9838843000000001E-3</v>
      </c>
      <c r="W19">
        <f>IFERROR(VLOOKUP(all_lmics[[Setting]:[Setting]],all_cause_mort[],10,FALSE),0)</f>
        <v>2.1537700000000002E-3</v>
      </c>
      <c r="X19">
        <f>IFERROR(VLOOKUP(all_lmics[[Setting]:[Setting]],all_cause_mort[],11,FALSE),0)</f>
        <v>2.473065E-3</v>
      </c>
      <c r="Y19">
        <f>IFERROR(VLOOKUP(all_lmics[[Setting]:[Setting]],all_cause_mort[],12,FALSE),0)</f>
        <v>3.1135453000000002E-3</v>
      </c>
      <c r="Z19">
        <f>IFERROR(VLOOKUP(all_lmics[[Setting]:[Setting]],all_cause_mort[],13,FALSE),0)</f>
        <v>4.2108652999999999E-3</v>
      </c>
      <c r="AA19">
        <f>IFERROR(VLOOKUP(all_lmics[[Setting]:[Setting]],all_cause_mort[],14,FALSE),0)</f>
        <v>6.0922872000000001E-3</v>
      </c>
      <c r="AB19">
        <f>IFERROR(VLOOKUP(all_lmics[[Setting]:[Setting]],all_cause_mort[],15,FALSE),0)</f>
        <v>9.0769808000000004E-3</v>
      </c>
      <c r="AC19">
        <f>IFERROR(VLOOKUP(all_lmics[[Setting]:[Setting]],all_cause_mort[],16,FALSE),0)</f>
        <v>1.3741487E-2</v>
      </c>
      <c r="AD19">
        <f>IFERROR(VLOOKUP(all_lmics[[Setting]:[Setting]],all_cause_mort[],17,FALSE),0)</f>
        <v>2.1278012999999998E-2</v>
      </c>
      <c r="AE19">
        <f>IFERROR(VLOOKUP(all_lmics[[Setting]:[Setting]],all_cause_mort[],18,FALSE),0)</f>
        <v>3.3399090999999999E-2</v>
      </c>
      <c r="AF19">
        <f>IFERROR(VLOOKUP(all_lmics[[Setting]:[Setting]],all_cause_mort[],19,FALSE),0)</f>
        <v>5.3755099000000001E-2</v>
      </c>
      <c r="AG19">
        <f>IFERROR(VLOOKUP(all_lmics[[Setting]:[Setting]],all_cause_mort[],20,FALSE),0)</f>
        <v>8.6954587E-2</v>
      </c>
      <c r="AH19">
        <f>IFERROR(VLOOKUP(all_lmics[[Setting]:[Setting]],all_cause_mort[],21,FALSE),0)</f>
        <v>0.14060258</v>
      </c>
      <c r="AI19">
        <f>IFERROR(VLOOKUP(all_lmics[[Setting]:[Setting]],all_cause_mort[],22,FALSE),0)</f>
        <v>0.21882815999999999</v>
      </c>
      <c r="AJ19">
        <f>IFERROR(VLOOKUP(all_lmics[[Setting]:[Setting]],all_cause_mort[],23,FALSE),0)</f>
        <v>0.31982532000000002</v>
      </c>
      <c r="AK19">
        <f>IFERROR(VLOOKUP(all_lmics[[Setting]:[Setting]],all_cause_mort[],24,FALSE),0)</f>
        <v>0.43420660999999999</v>
      </c>
      <c r="AL19">
        <f>IFERROR(VLOOKUP(all_lmics[[Setting]:[Setting]],all_cause_mort[],25,FALSE),0)</f>
        <v>0.57568585053410704</v>
      </c>
      <c r="AM19">
        <f>VLOOKUP(all_lmics[[worldbank_region]:[worldbank_region]],Table13[],2,FALSE)</f>
        <v>29.912264999999998</v>
      </c>
      <c r="AN19">
        <f>VLOOKUP(all_lmics[[worldbank_region]:[worldbank_region]],Table13[],3,FALSE)</f>
        <v>29.912264999999998</v>
      </c>
      <c r="AO19">
        <f>VLOOKUP(all_lmics[[worldbank_region]:[worldbank_region]],Table13[],4,FALSE)</f>
        <v>77.641124999999988</v>
      </c>
      <c r="AP19">
        <f>VLOOKUP(all_lmics[[worldbank_region]:[worldbank_region]],Table13[],5,FALSE)</f>
        <v>77.641124999999988</v>
      </c>
      <c r="AQ19">
        <f>VLOOKUP(all_lmics[[worldbank_region]:[worldbank_region]],Table13[],6,FALSE)</f>
        <v>77.641124999999988</v>
      </c>
      <c r="AR19">
        <f>VLOOKUP(all_lmics[[worldbank_region]:[worldbank_region]],Table14[],2,FALSE)</f>
        <v>0.96979199999999999</v>
      </c>
      <c r="AS19">
        <f>VLOOKUP(all_lmics[[worldbank_region]:[worldbank_region]],Table14[],3,FALSE)</f>
        <v>1.5872920000000001</v>
      </c>
      <c r="AT19">
        <f>VLOOKUP(all_lmics[[worldbank_region]:[worldbank_region]],Table14[],4,FALSE)</f>
        <v>5.7971629999999994</v>
      </c>
      <c r="AU19">
        <f>VLOOKUP(all_lmics[[worldbank_region]:[worldbank_region]],Table14[],5,FALSE)</f>
        <v>6.4146629999999991</v>
      </c>
      <c r="AV19">
        <f>VLOOKUP(all_lmics[[worldbank_region]:[worldbank_region]],Table14[],6,FALSE)</f>
        <v>6.9849149999999991</v>
      </c>
      <c r="AW19">
        <f>IFERROR(VLOOKUP(all_lmics[[Setting]:[Setting]],nFacSBA[],4,FALSE),0)</f>
        <v>0</v>
      </c>
      <c r="AX19">
        <f>VLOOKUP(all_lmics[[worldbank_region]:[worldbank_region]],hbe[],2)</f>
        <v>0.3</v>
      </c>
      <c r="AY19">
        <f>VLOOKUP(all_lmics[[worldbank_region]:[worldbank_region]],hbe[],5)</f>
        <v>0.875</v>
      </c>
      <c r="AZ19">
        <f>VLOOKUP(all_lmics[[worldbank_region]:[worldbank_region]],hbe[],8)</f>
        <v>0.15</v>
      </c>
    </row>
    <row r="20" spans="1:52" x14ac:dyDescent="0.35">
      <c r="A20" s="8" t="s">
        <v>139</v>
      </c>
      <c r="B20" s="10" t="s">
        <v>14</v>
      </c>
      <c r="C20" s="10" t="s">
        <v>13</v>
      </c>
      <c r="D20" s="11" t="s">
        <v>15</v>
      </c>
      <c r="E20">
        <f>VLOOKUP(all_lmics[[Setting]:[Setting]],populations[],9,FALSE)</f>
        <v>1264613</v>
      </c>
      <c r="F20">
        <f>VLOOKUP(all_lmics[[Setting]:[Setting]],birthrate[],3,FALSE)</f>
        <v>1.04E-2</v>
      </c>
      <c r="G20">
        <f>all_lmics[[#This Row],[2017_population]]*all_lmics[[#This Row],[2016_birthrate]]</f>
        <v>13151.975199999999</v>
      </c>
      <c r="H20">
        <f>VLOOKUP(all_lmics[[Setting]:[Setting]],birthdose[],4,FALSE)</f>
        <v>0</v>
      </c>
      <c r="I20">
        <f>VLOOKUP(all_lmics[[Setting]:[Setting]],fullvax[],4,FALSE)</f>
        <v>0.96</v>
      </c>
      <c r="J20">
        <f>IFERROR(VLOOKUP(all_lmics[[Setting]:[Setting]],prev[],3,FALSE),0)</f>
        <v>0</v>
      </c>
      <c r="K20">
        <f>IFERROR(VLOOKUP(all_lmics[[Setting]:[Setting]],prev[],4,FALSE),0)</f>
        <v>0</v>
      </c>
      <c r="L20">
        <f>IFERROR(VLOOKUP(all_lmics[[Setting]:[Setting]],prev[],5,FALSE),0)</f>
        <v>0</v>
      </c>
      <c r="M20">
        <f>IFERROR(VLOOKUP(all_lmics[[Setting]:[Setting]],prev[],7,FALSE),0)</f>
        <v>0</v>
      </c>
      <c r="N20">
        <f>IFERROR(VLOOKUP(all_lmics[[Setting]:[Setting]],prev[],6,FALSE),0)</f>
        <v>0</v>
      </c>
      <c r="O20">
        <f>IFERROR(VLOOKUP(all_lmics[[Setting]:[Setting]],SBA[],4,FALSE),0)</f>
        <v>0.998</v>
      </c>
      <c r="P20">
        <f>IFERROR(VLOOKUP(all_lmics[[Setting]:[Setting]], facility[], 3,FALSE),0)</f>
        <v>0.9840000000000001</v>
      </c>
      <c r="Q20">
        <f>IFERROR(VLOOKUP(all_lmics[[Setting]:[Setting]],all_cause_mort[],4,FALSE),0)</f>
        <v>1.1336888E-2</v>
      </c>
      <c r="R20">
        <f>IFERROR(VLOOKUP(all_lmics[[Setting]:[Setting]],all_cause_mort[],5,FALSE),0)</f>
        <v>4.9611152000000002E-4</v>
      </c>
      <c r="S20">
        <f>IFERROR(VLOOKUP(all_lmics[[Setting]:[Setting]],all_cause_mort[],6,FALSE),0)</f>
        <v>1.4389277E-4</v>
      </c>
      <c r="T20">
        <f>IFERROR(VLOOKUP(all_lmics[[Setting]:[Setting]],all_cause_mort[],7,FALSE),0)</f>
        <v>1.9383382E-4</v>
      </c>
      <c r="U20">
        <f>IFERROR(VLOOKUP(all_lmics[[Setting]:[Setting]],all_cause_mort[],8,FALSE),0)</f>
        <v>5.5170328999999999E-4</v>
      </c>
      <c r="V20">
        <f>IFERROR(VLOOKUP(all_lmics[[Setting]:[Setting]],all_cause_mort[],9,FALSE),0)</f>
        <v>8.8551337999999999E-4</v>
      </c>
      <c r="W20">
        <f>IFERROR(VLOOKUP(all_lmics[[Setting]:[Setting]],all_cause_mort[],10,FALSE),0)</f>
        <v>1.2200583000000001E-3</v>
      </c>
      <c r="X20">
        <f>IFERROR(VLOOKUP(all_lmics[[Setting]:[Setting]],all_cause_mort[],11,FALSE),0)</f>
        <v>1.5156658999999999E-3</v>
      </c>
      <c r="Y20">
        <f>IFERROR(VLOOKUP(all_lmics[[Setting]:[Setting]],all_cause_mort[],12,FALSE),0)</f>
        <v>2.2372070000000002E-3</v>
      </c>
      <c r="Z20">
        <f>IFERROR(VLOOKUP(all_lmics[[Setting]:[Setting]],all_cause_mort[],13,FALSE),0)</f>
        <v>3.2061462000000001E-3</v>
      </c>
      <c r="AA20">
        <f>IFERROR(VLOOKUP(all_lmics[[Setting]:[Setting]],all_cause_mort[],14,FALSE),0)</f>
        <v>4.6792090000000001E-3</v>
      </c>
      <c r="AB20">
        <f>IFERROR(VLOOKUP(all_lmics[[Setting]:[Setting]],all_cause_mort[],15,FALSE),0)</f>
        <v>6.9471380999999999E-3</v>
      </c>
      <c r="AC20">
        <f>IFERROR(VLOOKUP(all_lmics[[Setting]:[Setting]],all_cause_mort[],16,FALSE),0)</f>
        <v>9.7278098000000007E-3</v>
      </c>
      <c r="AD20">
        <f>IFERROR(VLOOKUP(all_lmics[[Setting]:[Setting]],all_cause_mort[],17,FALSE),0)</f>
        <v>1.5282791E-2</v>
      </c>
      <c r="AE20">
        <f>IFERROR(VLOOKUP(all_lmics[[Setting]:[Setting]],all_cause_mort[],18,FALSE),0)</f>
        <v>2.2240790999999999E-2</v>
      </c>
      <c r="AF20">
        <f>IFERROR(VLOOKUP(all_lmics[[Setting]:[Setting]],all_cause_mort[],19,FALSE),0)</f>
        <v>3.4568253E-2</v>
      </c>
      <c r="AG20">
        <f>IFERROR(VLOOKUP(all_lmics[[Setting]:[Setting]],all_cause_mort[],20,FALSE),0)</f>
        <v>5.0770963000000002E-2</v>
      </c>
      <c r="AH20">
        <f>IFERROR(VLOOKUP(all_lmics[[Setting]:[Setting]],all_cause_mort[],21,FALSE),0)</f>
        <v>8.1172785999999997E-2</v>
      </c>
      <c r="AI20">
        <f>IFERROR(VLOOKUP(all_lmics[[Setting]:[Setting]],all_cause_mort[],22,FALSE),0)</f>
        <v>0.12537619</v>
      </c>
      <c r="AJ20">
        <f>IFERROR(VLOOKUP(all_lmics[[Setting]:[Setting]],all_cause_mort[],23,FALSE),0)</f>
        <v>0.18351693999999999</v>
      </c>
      <c r="AK20">
        <f>IFERROR(VLOOKUP(all_lmics[[Setting]:[Setting]],all_cause_mort[],24,FALSE),0)</f>
        <v>0.25691184</v>
      </c>
      <c r="AL20">
        <f>IFERROR(VLOOKUP(all_lmics[[Setting]:[Setting]],all_cause_mort[],25,FALSE),0)</f>
        <v>0.36155735624777802</v>
      </c>
      <c r="AM20">
        <f>VLOOKUP(all_lmics[[worldbank_region]:[worldbank_region]],Table13[],2,FALSE)</f>
        <v>29.912264999999998</v>
      </c>
      <c r="AN20">
        <f>VLOOKUP(all_lmics[[worldbank_region]:[worldbank_region]],Table13[],3,FALSE)</f>
        <v>29.912264999999998</v>
      </c>
      <c r="AO20">
        <f>VLOOKUP(all_lmics[[worldbank_region]:[worldbank_region]],Table13[],4,FALSE)</f>
        <v>77.641124999999988</v>
      </c>
      <c r="AP20">
        <f>VLOOKUP(all_lmics[[worldbank_region]:[worldbank_region]],Table13[],5,FALSE)</f>
        <v>77.641124999999988</v>
      </c>
      <c r="AQ20">
        <f>VLOOKUP(all_lmics[[worldbank_region]:[worldbank_region]],Table13[],6,FALSE)</f>
        <v>77.641124999999988</v>
      </c>
      <c r="AR20">
        <f>VLOOKUP(all_lmics[[worldbank_region]:[worldbank_region]],Table14[],2,FALSE)</f>
        <v>0.96979199999999999</v>
      </c>
      <c r="AS20">
        <f>VLOOKUP(all_lmics[[worldbank_region]:[worldbank_region]],Table14[],3,FALSE)</f>
        <v>1.5872920000000001</v>
      </c>
      <c r="AT20">
        <f>VLOOKUP(all_lmics[[worldbank_region]:[worldbank_region]],Table14[],4,FALSE)</f>
        <v>5.7971629999999994</v>
      </c>
      <c r="AU20">
        <f>VLOOKUP(all_lmics[[worldbank_region]:[worldbank_region]],Table14[],5,FALSE)</f>
        <v>6.4146629999999991</v>
      </c>
      <c r="AV20">
        <f>VLOOKUP(all_lmics[[worldbank_region]:[worldbank_region]],Table14[],6,FALSE)</f>
        <v>6.9849149999999991</v>
      </c>
      <c r="AW20">
        <f>IFERROR(VLOOKUP(all_lmics[[Setting]:[Setting]],nFacSBA[],4,FALSE),0)</f>
        <v>0</v>
      </c>
      <c r="AX20">
        <f>VLOOKUP(all_lmics[[worldbank_region]:[worldbank_region]],hbe[],2)</f>
        <v>0.3</v>
      </c>
      <c r="AY20">
        <f>VLOOKUP(all_lmics[[worldbank_region]:[worldbank_region]],hbe[],5)</f>
        <v>0.875</v>
      </c>
      <c r="AZ20">
        <f>VLOOKUP(all_lmics[[worldbank_region]:[worldbank_region]],hbe[],8)</f>
        <v>0.15</v>
      </c>
    </row>
    <row r="21" spans="1:52" x14ac:dyDescent="0.35">
      <c r="A21" s="12" t="s">
        <v>154</v>
      </c>
      <c r="B21" s="13" t="s">
        <v>14</v>
      </c>
      <c r="C21" s="13" t="s">
        <v>13</v>
      </c>
      <c r="D21" s="14" t="s">
        <v>15</v>
      </c>
      <c r="E21">
        <f>VLOOKUP(all_lmics[[Setting]:[Setting]],populations[],9,FALSE)</f>
        <v>21477348</v>
      </c>
      <c r="F21">
        <f>VLOOKUP(all_lmics[[Setting]:[Setting]],birthrate[],3,FALSE)</f>
        <v>4.8136000000000005E-2</v>
      </c>
      <c r="G21">
        <f>all_lmics[[#This Row],[2017_population]]*all_lmics[[#This Row],[2016_birthrate]]</f>
        <v>1033833.6233280001</v>
      </c>
      <c r="H21">
        <f>VLOOKUP(all_lmics[[Setting]:[Setting]],birthdose[],4,FALSE)</f>
        <v>0</v>
      </c>
      <c r="I21">
        <f>VLOOKUP(all_lmics[[Setting]:[Setting]],fullvax[],4,FALSE)</f>
        <v>0.81</v>
      </c>
      <c r="J21">
        <f>IFERROR(VLOOKUP(all_lmics[[Setting]:[Setting]],prev[],3,FALSE),0)</f>
        <v>0.15479999999999999</v>
      </c>
      <c r="K21">
        <f>IFERROR(VLOOKUP(all_lmics[[Setting]:[Setting]],prev[],4,FALSE),0)</f>
        <v>0.14380000000000001</v>
      </c>
      <c r="L21">
        <f>IFERROR(VLOOKUP(all_lmics[[Setting]:[Setting]],prev[],5,FALSE),0)</f>
        <v>0.16650000000000001</v>
      </c>
      <c r="M21">
        <f>IFERROR(VLOOKUP(all_lmics[[Setting]:[Setting]],prev[],7,FALSE),0)</f>
        <v>5.9693877551020491E-3</v>
      </c>
      <c r="N21">
        <f>IFERROR(VLOOKUP(all_lmics[[Setting]:[Setting]],prev[],6,FALSE),0)</f>
        <v>16425578</v>
      </c>
      <c r="O21">
        <f>IFERROR(VLOOKUP(all_lmics[[Setting]:[Setting]],SBA[],4,FALSE),0)</f>
        <v>0.39700000000000002</v>
      </c>
      <c r="P21">
        <f>IFERROR(VLOOKUP(all_lmics[[Setting]:[Setting]], facility[], 3,FALSE),0)</f>
        <v>0.58799999999999997</v>
      </c>
      <c r="Q21">
        <f>IFERROR(VLOOKUP(all_lmics[[Setting]:[Setting]],all_cause_mort[],4,FALSE),0)</f>
        <v>4.8142409999999997E-2</v>
      </c>
      <c r="R21">
        <f>IFERROR(VLOOKUP(all_lmics[[Setting]:[Setting]],all_cause_mort[],5,FALSE),0)</f>
        <v>1.0311216999999999E-2</v>
      </c>
      <c r="S21">
        <f>IFERROR(VLOOKUP(all_lmics[[Setting]:[Setting]],all_cause_mort[],6,FALSE),0)</f>
        <v>2.2365847E-3</v>
      </c>
      <c r="T21">
        <f>IFERROR(VLOOKUP(all_lmics[[Setting]:[Setting]],all_cause_mort[],7,FALSE),0)</f>
        <v>1.3354136999999999E-3</v>
      </c>
      <c r="U21">
        <f>IFERROR(VLOOKUP(all_lmics[[Setting]:[Setting]],all_cause_mort[],8,FALSE),0)</f>
        <v>2.2307064E-3</v>
      </c>
      <c r="V21">
        <f>IFERROR(VLOOKUP(all_lmics[[Setting]:[Setting]],all_cause_mort[],9,FALSE),0)</f>
        <v>2.9209370000000002E-3</v>
      </c>
      <c r="W21">
        <f>IFERROR(VLOOKUP(all_lmics[[Setting]:[Setting]],all_cause_mort[],10,FALSE),0)</f>
        <v>3.6701931E-3</v>
      </c>
      <c r="X21">
        <f>IFERROR(VLOOKUP(all_lmics[[Setting]:[Setting]],all_cause_mort[],11,FALSE),0)</f>
        <v>3.9286212999999999E-3</v>
      </c>
      <c r="Y21">
        <f>IFERROR(VLOOKUP(all_lmics[[Setting]:[Setting]],all_cause_mort[],12,FALSE),0)</f>
        <v>4.5225298999999998E-3</v>
      </c>
      <c r="Z21">
        <f>IFERROR(VLOOKUP(all_lmics[[Setting]:[Setting]],all_cause_mort[],13,FALSE),0)</f>
        <v>5.4843788000000001E-3</v>
      </c>
      <c r="AA21">
        <f>IFERROR(VLOOKUP(all_lmics[[Setting]:[Setting]],all_cause_mort[],14,FALSE),0)</f>
        <v>7.0803526999999996E-3</v>
      </c>
      <c r="AB21">
        <f>IFERROR(VLOOKUP(all_lmics[[Setting]:[Setting]],all_cause_mort[],15,FALSE),0)</f>
        <v>1.0302041E-2</v>
      </c>
      <c r="AC21">
        <f>IFERROR(VLOOKUP(all_lmics[[Setting]:[Setting]],all_cause_mort[],16,FALSE),0)</f>
        <v>1.4996595999999999E-2</v>
      </c>
      <c r="AD21">
        <f>IFERROR(VLOOKUP(all_lmics[[Setting]:[Setting]],all_cause_mort[],17,FALSE),0)</f>
        <v>2.1574461E-2</v>
      </c>
      <c r="AE21">
        <f>IFERROR(VLOOKUP(all_lmics[[Setting]:[Setting]],all_cause_mort[],18,FALSE),0)</f>
        <v>3.3495599000000001E-2</v>
      </c>
      <c r="AF21">
        <f>IFERROR(VLOOKUP(all_lmics[[Setting]:[Setting]],all_cause_mort[],19,FALSE),0)</f>
        <v>5.7432080000000003E-2</v>
      </c>
      <c r="AG21">
        <f>IFERROR(VLOOKUP(all_lmics[[Setting]:[Setting]],all_cause_mort[],20,FALSE),0)</f>
        <v>9.8878618000000001E-2</v>
      </c>
      <c r="AH21">
        <f>IFERROR(VLOOKUP(all_lmics[[Setting]:[Setting]],all_cause_mort[],21,FALSE),0)</f>
        <v>0.1677091</v>
      </c>
      <c r="AI21">
        <f>IFERROR(VLOOKUP(all_lmics[[Setting]:[Setting]],all_cause_mort[],22,FALSE),0)</f>
        <v>0.26746328000000003</v>
      </c>
      <c r="AJ21">
        <f>IFERROR(VLOOKUP(all_lmics[[Setting]:[Setting]],all_cause_mort[],23,FALSE),0)</f>
        <v>0.39706806</v>
      </c>
      <c r="AK21">
        <f>IFERROR(VLOOKUP(all_lmics[[Setting]:[Setting]],all_cause_mort[],24,FALSE),0)</f>
        <v>0.51937774000000003</v>
      </c>
      <c r="AL21">
        <f>IFERROR(VLOOKUP(all_lmics[[Setting]:[Setting]],all_cause_mort[],25,FALSE),0)</f>
        <v>0.69961391106703896</v>
      </c>
      <c r="AM21">
        <f>VLOOKUP(all_lmics[[worldbank_region]:[worldbank_region]],Table13[],2,FALSE)</f>
        <v>29.912264999999998</v>
      </c>
      <c r="AN21">
        <f>VLOOKUP(all_lmics[[worldbank_region]:[worldbank_region]],Table13[],3,FALSE)</f>
        <v>29.912264999999998</v>
      </c>
      <c r="AO21">
        <f>VLOOKUP(all_lmics[[worldbank_region]:[worldbank_region]],Table13[],4,FALSE)</f>
        <v>77.641124999999988</v>
      </c>
      <c r="AP21">
        <f>VLOOKUP(all_lmics[[worldbank_region]:[worldbank_region]],Table13[],5,FALSE)</f>
        <v>77.641124999999988</v>
      </c>
      <c r="AQ21">
        <f>VLOOKUP(all_lmics[[worldbank_region]:[worldbank_region]],Table13[],6,FALSE)</f>
        <v>77.641124999999988</v>
      </c>
      <c r="AR21">
        <f>VLOOKUP(all_lmics[[worldbank_region]:[worldbank_region]],Table14[],2,FALSE)</f>
        <v>0.96979199999999999</v>
      </c>
      <c r="AS21">
        <f>VLOOKUP(all_lmics[[worldbank_region]:[worldbank_region]],Table14[],3,FALSE)</f>
        <v>1.5872920000000001</v>
      </c>
      <c r="AT21">
        <f>VLOOKUP(all_lmics[[worldbank_region]:[worldbank_region]],Table14[],4,FALSE)</f>
        <v>5.7971629999999994</v>
      </c>
      <c r="AU21">
        <f>VLOOKUP(all_lmics[[worldbank_region]:[worldbank_region]],Table14[],5,FALSE)</f>
        <v>6.4146629999999991</v>
      </c>
      <c r="AV21">
        <f>VLOOKUP(all_lmics[[worldbank_region]:[worldbank_region]],Table14[],6,FALSE)</f>
        <v>6.9849149999999991</v>
      </c>
      <c r="AW21">
        <f>IFERROR(VLOOKUP(all_lmics[[Setting]:[Setting]],nFacSBA[],4,FALSE),0)</f>
        <v>1.0745516957076569E-2</v>
      </c>
      <c r="AX21">
        <f>VLOOKUP(all_lmics[[worldbank_region]:[worldbank_region]],hbe[],2)</f>
        <v>0.3</v>
      </c>
      <c r="AY21">
        <f>VLOOKUP(all_lmics[[worldbank_region]:[worldbank_region]],hbe[],5)</f>
        <v>0.875</v>
      </c>
      <c r="AZ21">
        <f>VLOOKUP(all_lmics[[worldbank_region]:[worldbank_region]],hbe[],8)</f>
        <v>0.15</v>
      </c>
    </row>
    <row r="22" spans="1:52" x14ac:dyDescent="0.35">
      <c r="A22" s="8" t="s">
        <v>155</v>
      </c>
      <c r="B22" s="10" t="s">
        <v>14</v>
      </c>
      <c r="C22" s="10" t="s">
        <v>13</v>
      </c>
      <c r="D22" s="11" t="s">
        <v>15</v>
      </c>
      <c r="E22">
        <f>VLOOKUP(all_lmics[[Setting]:[Setting]],populations[],9,FALSE)</f>
        <v>190886311</v>
      </c>
      <c r="F22">
        <f>VLOOKUP(all_lmics[[Setting]:[Setting]],birthrate[],3,FALSE)</f>
        <v>3.8886999999999998E-2</v>
      </c>
      <c r="G22">
        <f>all_lmics[[#This Row],[2017_population]]*all_lmics[[#This Row],[2016_birthrate]]</f>
        <v>7422995.9758569999</v>
      </c>
      <c r="H22">
        <f>VLOOKUP(all_lmics[[Setting]:[Setting]],birthdose[],4,FALSE)</f>
        <v>0.3</v>
      </c>
      <c r="I22">
        <f>VLOOKUP(all_lmics[[Setting]:[Setting]],fullvax[],4,FALSE)</f>
        <v>0.42</v>
      </c>
      <c r="J22">
        <f>IFERROR(VLOOKUP(all_lmics[[Setting]:[Setting]],prev[],3,FALSE),0)</f>
        <v>0.112</v>
      </c>
      <c r="K22">
        <f>IFERROR(VLOOKUP(all_lmics[[Setting]:[Setting]],prev[],4,FALSE),0)</f>
        <v>0.10100000000000001</v>
      </c>
      <c r="L22">
        <f>IFERROR(VLOOKUP(all_lmics[[Setting]:[Setting]],prev[],5,FALSE),0)</f>
        <v>0.128</v>
      </c>
      <c r="M22">
        <f>IFERROR(VLOOKUP(all_lmics[[Setting]:[Setting]],prev[],7,FALSE),0)</f>
        <v>8.1632653061224497E-3</v>
      </c>
      <c r="N22">
        <f>IFERROR(VLOOKUP(all_lmics[[Setting]:[Setting]],prev[],6,FALSE),0)</f>
        <v>190886311</v>
      </c>
      <c r="O22">
        <f>IFERROR(VLOOKUP(all_lmics[[Setting]:[Setting]],SBA[],4,FALSE),0)</f>
        <v>0.43</v>
      </c>
      <c r="P22">
        <f>IFERROR(VLOOKUP(all_lmics[[Setting]:[Setting]], facility[], 3,FALSE),0)</f>
        <v>0.375</v>
      </c>
      <c r="Q22">
        <f>IFERROR(VLOOKUP(all_lmics[[Setting]:[Setting]],all_cause_mort[],4,FALSE),0)</f>
        <v>6.5294819000000004E-2</v>
      </c>
      <c r="R22">
        <f>IFERROR(VLOOKUP(all_lmics[[Setting]:[Setting]],all_cause_mort[],5,FALSE),0)</f>
        <v>1.0848392E-2</v>
      </c>
      <c r="S22">
        <f>IFERROR(VLOOKUP(all_lmics[[Setting]:[Setting]],all_cause_mort[],6,FALSE),0)</f>
        <v>5.9987900000000004E-3</v>
      </c>
      <c r="T22">
        <f>IFERROR(VLOOKUP(all_lmics[[Setting]:[Setting]],all_cause_mort[],7,FALSE),0)</f>
        <v>3.2423768999999998E-3</v>
      </c>
      <c r="U22">
        <f>IFERROR(VLOOKUP(all_lmics[[Setting]:[Setting]],all_cause_mort[],8,FALSE),0)</f>
        <v>5.1242719000000004E-3</v>
      </c>
      <c r="V22">
        <f>IFERROR(VLOOKUP(all_lmics[[Setting]:[Setting]],all_cause_mort[],9,FALSE),0)</f>
        <v>6.1989758999999997E-3</v>
      </c>
      <c r="W22">
        <f>IFERROR(VLOOKUP(all_lmics[[Setting]:[Setting]],all_cause_mort[],10,FALSE),0)</f>
        <v>6.8285647999999999E-3</v>
      </c>
      <c r="X22">
        <f>IFERROR(VLOOKUP(all_lmics[[Setting]:[Setting]],all_cause_mort[],11,FALSE),0)</f>
        <v>7.1595560000000001E-3</v>
      </c>
      <c r="Y22">
        <f>IFERROR(VLOOKUP(all_lmics[[Setting]:[Setting]],all_cause_mort[],12,FALSE),0)</f>
        <v>7.8513038000000007E-3</v>
      </c>
      <c r="Z22">
        <f>IFERROR(VLOOKUP(all_lmics[[Setting]:[Setting]],all_cause_mort[],13,FALSE),0)</f>
        <v>8.9428237999999993E-3</v>
      </c>
      <c r="AA22">
        <f>IFERROR(VLOOKUP(all_lmics[[Setting]:[Setting]],all_cause_mort[],14,FALSE),0)</f>
        <v>1.0388102E-2</v>
      </c>
      <c r="AB22">
        <f>IFERROR(VLOOKUP(all_lmics[[Setting]:[Setting]],all_cause_mort[],15,FALSE),0)</f>
        <v>1.3824947000000001E-2</v>
      </c>
      <c r="AC22">
        <f>IFERROR(VLOOKUP(all_lmics[[Setting]:[Setting]],all_cause_mort[],16,FALSE),0)</f>
        <v>1.9146876E-2</v>
      </c>
      <c r="AD22">
        <f>IFERROR(VLOOKUP(all_lmics[[Setting]:[Setting]],all_cause_mort[],17,FALSE),0)</f>
        <v>3.0204992E-2</v>
      </c>
      <c r="AE22">
        <f>IFERROR(VLOOKUP(all_lmics[[Setting]:[Setting]],all_cause_mort[],18,FALSE),0)</f>
        <v>4.7216862999999998E-2</v>
      </c>
      <c r="AF22">
        <f>IFERROR(VLOOKUP(all_lmics[[Setting]:[Setting]],all_cause_mort[],19,FALSE),0)</f>
        <v>7.8340722000000002E-2</v>
      </c>
      <c r="AG22">
        <f>IFERROR(VLOOKUP(all_lmics[[Setting]:[Setting]],all_cause_mort[],20,FALSE),0)</f>
        <v>0.12895117</v>
      </c>
      <c r="AH22">
        <f>IFERROR(VLOOKUP(all_lmics[[Setting]:[Setting]],all_cause_mort[],21,FALSE),0)</f>
        <v>0.20864909000000001</v>
      </c>
      <c r="AI22">
        <f>IFERROR(VLOOKUP(all_lmics[[Setting]:[Setting]],all_cause_mort[],22,FALSE),0)</f>
        <v>0.31698614000000003</v>
      </c>
      <c r="AJ22">
        <f>IFERROR(VLOOKUP(all_lmics[[Setting]:[Setting]],all_cause_mort[],23,FALSE),0)</f>
        <v>0.45581286999999998</v>
      </c>
      <c r="AK22">
        <f>IFERROR(VLOOKUP(all_lmics[[Setting]:[Setting]],all_cause_mort[],24,FALSE),0)</f>
        <v>0.55065103999999998</v>
      </c>
      <c r="AL22">
        <f>IFERROR(VLOOKUP(all_lmics[[Setting]:[Setting]],all_cause_mort[],25,FALSE),0)</f>
        <v>0.66444043683503595</v>
      </c>
      <c r="AM22">
        <f>VLOOKUP(all_lmics[[worldbank_region]:[worldbank_region]],Table13[],2,FALSE)</f>
        <v>29.912264999999998</v>
      </c>
      <c r="AN22">
        <f>VLOOKUP(all_lmics[[worldbank_region]:[worldbank_region]],Table13[],3,FALSE)</f>
        <v>29.912264999999998</v>
      </c>
      <c r="AO22">
        <f>VLOOKUP(all_lmics[[worldbank_region]:[worldbank_region]],Table13[],4,FALSE)</f>
        <v>77.641124999999988</v>
      </c>
      <c r="AP22">
        <f>VLOOKUP(all_lmics[[worldbank_region]:[worldbank_region]],Table13[],5,FALSE)</f>
        <v>77.641124999999988</v>
      </c>
      <c r="AQ22">
        <f>VLOOKUP(all_lmics[[worldbank_region]:[worldbank_region]],Table13[],6,FALSE)</f>
        <v>77.641124999999988</v>
      </c>
      <c r="AR22">
        <f>VLOOKUP(all_lmics[[worldbank_region]:[worldbank_region]],Table14[],2,FALSE)</f>
        <v>0.96979199999999999</v>
      </c>
      <c r="AS22">
        <f>VLOOKUP(all_lmics[[worldbank_region]:[worldbank_region]],Table14[],3,FALSE)</f>
        <v>1.5872920000000001</v>
      </c>
      <c r="AT22">
        <f>VLOOKUP(all_lmics[[worldbank_region]:[worldbank_region]],Table14[],4,FALSE)</f>
        <v>5.7971629999999994</v>
      </c>
      <c r="AU22">
        <f>VLOOKUP(all_lmics[[worldbank_region]:[worldbank_region]],Table14[],5,FALSE)</f>
        <v>6.4146629999999991</v>
      </c>
      <c r="AV22">
        <f>VLOOKUP(all_lmics[[worldbank_region]:[worldbank_region]],Table14[],6,FALSE)</f>
        <v>6.9849149999999991</v>
      </c>
      <c r="AW22">
        <f>IFERROR(VLOOKUP(all_lmics[[Setting]:[Setting]],nFacSBA[],4,FALSE),0)</f>
        <v>6.4489403391284436E-2</v>
      </c>
      <c r="AX22">
        <f>VLOOKUP(all_lmics[[worldbank_region]:[worldbank_region]],hbe[],2)</f>
        <v>0.3</v>
      </c>
      <c r="AY22">
        <f>VLOOKUP(all_lmics[[worldbank_region]:[worldbank_region]],hbe[],5)</f>
        <v>0.875</v>
      </c>
      <c r="AZ22">
        <f>VLOOKUP(all_lmics[[worldbank_region]:[worldbank_region]],hbe[],8)</f>
        <v>0.15</v>
      </c>
    </row>
    <row r="23" spans="1:52" x14ac:dyDescent="0.35">
      <c r="A23" s="8" t="s">
        <v>179</v>
      </c>
      <c r="B23" s="10" t="s">
        <v>14</v>
      </c>
      <c r="C23" s="10" t="s">
        <v>13</v>
      </c>
      <c r="D23" s="11" t="s">
        <v>15</v>
      </c>
      <c r="E23">
        <f>VLOOKUP(all_lmics[[Setting]:[Setting]],populations[],9,FALSE)</f>
        <v>204327</v>
      </c>
      <c r="F23">
        <f>VLOOKUP(all_lmics[[Setting]:[Setting]],birthrate[],3,FALSE)</f>
        <v>3.3834000000000003E-2</v>
      </c>
      <c r="G23">
        <f>all_lmics[[#This Row],[2017_population]]*all_lmics[[#This Row],[2016_birthrate]]</f>
        <v>6913.1997180000008</v>
      </c>
      <c r="H23">
        <f>VLOOKUP(all_lmics[[Setting]:[Setting]],birthdose[],4,FALSE)</f>
        <v>0</v>
      </c>
      <c r="I23">
        <f>VLOOKUP(all_lmics[[Setting]:[Setting]],fullvax[],4,FALSE)</f>
        <v>0.95</v>
      </c>
      <c r="J23">
        <f>IFERROR(VLOOKUP(all_lmics[[Setting]:[Setting]],prev[],3,FALSE),0)</f>
        <v>0</v>
      </c>
      <c r="K23">
        <f>IFERROR(VLOOKUP(all_lmics[[Setting]:[Setting]],prev[],4,FALSE),0)</f>
        <v>0</v>
      </c>
      <c r="L23">
        <f>IFERROR(VLOOKUP(all_lmics[[Setting]:[Setting]],prev[],5,FALSE),0)</f>
        <v>0</v>
      </c>
      <c r="M23">
        <f>IFERROR(VLOOKUP(all_lmics[[Setting]:[Setting]],prev[],7,FALSE),0)</f>
        <v>0</v>
      </c>
      <c r="N23">
        <f>IFERROR(VLOOKUP(all_lmics[[Setting]:[Setting]],prev[],6,FALSE),0)</f>
        <v>0</v>
      </c>
      <c r="O23">
        <f>IFERROR(VLOOKUP(all_lmics[[Setting]:[Setting]],SBA[],4,FALSE),0)</f>
        <v>0.92500000000000004</v>
      </c>
      <c r="P23">
        <f>IFERROR(VLOOKUP(all_lmics[[Setting]:[Setting]], facility[], 3,FALSE),0)</f>
        <v>0.91</v>
      </c>
      <c r="Q23">
        <f>IFERROR(VLOOKUP(all_lmics[[Setting]:[Setting]],all_cause_mort[],4,FALSE),0)</f>
        <v>2.7059248000000001E-2</v>
      </c>
      <c r="R23">
        <f>IFERROR(VLOOKUP(all_lmics[[Setting]:[Setting]],all_cause_mort[],5,FALSE),0)</f>
        <v>1.5256554E-3</v>
      </c>
      <c r="S23">
        <f>IFERROR(VLOOKUP(all_lmics[[Setting]:[Setting]],all_cause_mort[],6,FALSE),0)</f>
        <v>5.9281853999999996E-4</v>
      </c>
      <c r="T23">
        <f>IFERROR(VLOOKUP(all_lmics[[Setting]:[Setting]],all_cause_mort[],7,FALSE),0)</f>
        <v>4.9451753999999999E-4</v>
      </c>
      <c r="U23">
        <f>IFERROR(VLOOKUP(all_lmics[[Setting]:[Setting]],all_cause_mort[],8,FALSE),0)</f>
        <v>9.7242830999999996E-4</v>
      </c>
      <c r="V23">
        <f>IFERROR(VLOOKUP(all_lmics[[Setting]:[Setting]],all_cause_mort[],9,FALSE),0)</f>
        <v>1.2764427E-3</v>
      </c>
      <c r="W23">
        <f>IFERROR(VLOOKUP(all_lmics[[Setting]:[Setting]],all_cause_mort[],10,FALSE),0)</f>
        <v>1.3534716E-3</v>
      </c>
      <c r="X23">
        <f>IFERROR(VLOOKUP(all_lmics[[Setting]:[Setting]],all_cause_mort[],11,FALSE),0)</f>
        <v>1.6131747E-3</v>
      </c>
      <c r="Y23">
        <f>IFERROR(VLOOKUP(all_lmics[[Setting]:[Setting]],all_cause_mort[],12,FALSE),0)</f>
        <v>2.1734437E-3</v>
      </c>
      <c r="Z23">
        <f>IFERROR(VLOOKUP(all_lmics[[Setting]:[Setting]],all_cause_mort[],13,FALSE),0)</f>
        <v>3.1177086000000001E-3</v>
      </c>
      <c r="AA23">
        <f>IFERROR(VLOOKUP(all_lmics[[Setting]:[Setting]],all_cause_mort[],14,FALSE),0)</f>
        <v>4.7895207999999996E-3</v>
      </c>
      <c r="AB23">
        <f>IFERROR(VLOOKUP(all_lmics[[Setting]:[Setting]],all_cause_mort[],15,FALSE),0)</f>
        <v>7.4343227E-3</v>
      </c>
      <c r="AC23">
        <f>IFERROR(VLOOKUP(all_lmics[[Setting]:[Setting]],all_cause_mort[],16,FALSE),0)</f>
        <v>1.1605492E-2</v>
      </c>
      <c r="AD23">
        <f>IFERROR(VLOOKUP(all_lmics[[Setting]:[Setting]],all_cause_mort[],17,FALSE),0)</f>
        <v>1.8499109999999999E-2</v>
      </c>
      <c r="AE23">
        <f>IFERROR(VLOOKUP(all_lmics[[Setting]:[Setting]],all_cause_mort[],18,FALSE),0)</f>
        <v>2.9826255999999999E-2</v>
      </c>
      <c r="AF23">
        <f>IFERROR(VLOOKUP(all_lmics[[Setting]:[Setting]],all_cause_mort[],19,FALSE),0)</f>
        <v>4.8686436E-2</v>
      </c>
      <c r="AG23">
        <f>IFERROR(VLOOKUP(all_lmics[[Setting]:[Setting]],all_cause_mort[],20,FALSE),0)</f>
        <v>7.9508494999999998E-2</v>
      </c>
      <c r="AH23">
        <f>IFERROR(VLOOKUP(all_lmics[[Setting]:[Setting]],all_cause_mort[],21,FALSE),0)</f>
        <v>0.12702053999999999</v>
      </c>
      <c r="AI23">
        <f>IFERROR(VLOOKUP(all_lmics[[Setting]:[Setting]],all_cause_mort[],22,FALSE),0)</f>
        <v>0.19783127</v>
      </c>
      <c r="AJ23">
        <f>IFERROR(VLOOKUP(all_lmics[[Setting]:[Setting]],all_cause_mort[],23,FALSE),0)</f>
        <v>0.29238006999999999</v>
      </c>
      <c r="AK23">
        <f>IFERROR(VLOOKUP(all_lmics[[Setting]:[Setting]],all_cause_mort[],24,FALSE),0)</f>
        <v>0.41454090999999998</v>
      </c>
      <c r="AL23">
        <f>IFERROR(VLOOKUP(all_lmics[[Setting]:[Setting]],all_cause_mort[],25,FALSE),0)</f>
        <v>0.55323917387007104</v>
      </c>
      <c r="AM23">
        <f>VLOOKUP(all_lmics[[worldbank_region]:[worldbank_region]],Table13[],2,FALSE)</f>
        <v>29.912264999999998</v>
      </c>
      <c r="AN23">
        <f>VLOOKUP(all_lmics[[worldbank_region]:[worldbank_region]],Table13[],3,FALSE)</f>
        <v>29.912264999999998</v>
      </c>
      <c r="AO23">
        <f>VLOOKUP(all_lmics[[worldbank_region]:[worldbank_region]],Table13[],4,FALSE)</f>
        <v>77.641124999999988</v>
      </c>
      <c r="AP23">
        <f>VLOOKUP(all_lmics[[worldbank_region]:[worldbank_region]],Table13[],5,FALSE)</f>
        <v>77.641124999999988</v>
      </c>
      <c r="AQ23">
        <f>VLOOKUP(all_lmics[[worldbank_region]:[worldbank_region]],Table13[],6,FALSE)</f>
        <v>77.641124999999988</v>
      </c>
      <c r="AR23">
        <f>VLOOKUP(all_lmics[[worldbank_region]:[worldbank_region]],Table14[],2,FALSE)</f>
        <v>0.96979199999999999</v>
      </c>
      <c r="AS23">
        <f>VLOOKUP(all_lmics[[worldbank_region]:[worldbank_region]],Table14[],3,FALSE)</f>
        <v>1.5872920000000001</v>
      </c>
      <c r="AT23">
        <f>VLOOKUP(all_lmics[[worldbank_region]:[worldbank_region]],Table14[],4,FALSE)</f>
        <v>5.7971629999999994</v>
      </c>
      <c r="AU23">
        <f>VLOOKUP(all_lmics[[worldbank_region]:[worldbank_region]],Table14[],5,FALSE)</f>
        <v>6.4146629999999991</v>
      </c>
      <c r="AV23">
        <f>VLOOKUP(all_lmics[[worldbank_region]:[worldbank_region]],Table14[],6,FALSE)</f>
        <v>6.9849149999999991</v>
      </c>
      <c r="AW23">
        <f>IFERROR(VLOOKUP(all_lmics[[Setting]:[Setting]],nFacSBA[],4,FALSE),0)</f>
        <v>0.16727484108830376</v>
      </c>
      <c r="AX23">
        <f>VLOOKUP(all_lmics[[worldbank_region]:[worldbank_region]],hbe[],2)</f>
        <v>0.3</v>
      </c>
      <c r="AY23">
        <f>VLOOKUP(all_lmics[[worldbank_region]:[worldbank_region]],hbe[],5)</f>
        <v>0.875</v>
      </c>
      <c r="AZ23">
        <f>VLOOKUP(all_lmics[[worldbank_region]:[worldbank_region]],hbe[],8)</f>
        <v>0.15</v>
      </c>
    </row>
    <row r="24" spans="1:52" x14ac:dyDescent="0.35">
      <c r="A24" s="8" t="s">
        <v>181</v>
      </c>
      <c r="B24" s="10" t="s">
        <v>14</v>
      </c>
      <c r="C24" s="10" t="s">
        <v>13</v>
      </c>
      <c r="D24" s="11" t="s">
        <v>15</v>
      </c>
      <c r="E24">
        <f>VLOOKUP(all_lmics[[Setting]:[Setting]],populations[],9,FALSE)</f>
        <v>15850567</v>
      </c>
      <c r="F24">
        <f>VLOOKUP(all_lmics[[Setting]:[Setting]],birthrate[],3,FALSE)</f>
        <v>3.5598999999999999E-2</v>
      </c>
      <c r="G24">
        <f>all_lmics[[#This Row],[2017_population]]*all_lmics[[#This Row],[2016_birthrate]]</f>
        <v>564264.33463299996</v>
      </c>
      <c r="H24">
        <f>VLOOKUP(all_lmics[[Setting]:[Setting]],birthdose[],4,FALSE)</f>
        <v>0.72</v>
      </c>
      <c r="I24">
        <f>VLOOKUP(all_lmics[[Setting]:[Setting]],fullvax[],4,FALSE)</f>
        <v>0.91</v>
      </c>
      <c r="J24">
        <f>IFERROR(VLOOKUP(all_lmics[[Setting]:[Setting]],prev[],3,FALSE),0)</f>
        <v>8.1000000000000003E-2</v>
      </c>
      <c r="K24">
        <f>IFERROR(VLOOKUP(all_lmics[[Setting]:[Setting]],prev[],4,FALSE),0)</f>
        <v>7.4999999999999997E-2</v>
      </c>
      <c r="L24">
        <f>IFERROR(VLOOKUP(all_lmics[[Setting]:[Setting]],prev[],5,FALSE),0)</f>
        <v>0.09</v>
      </c>
      <c r="M24">
        <f>IFERROR(VLOOKUP(all_lmics[[Setting]:[Setting]],prev[],7,FALSE),0)</f>
        <v>4.5918367346938745E-3</v>
      </c>
      <c r="N24">
        <f>IFERROR(VLOOKUP(all_lmics[[Setting]:[Setting]],prev[],6,FALSE),0)</f>
        <v>15850567</v>
      </c>
      <c r="O24">
        <f>IFERROR(VLOOKUP(all_lmics[[Setting]:[Setting]],SBA[],4,FALSE),0)</f>
        <v>0.58599999999999997</v>
      </c>
      <c r="P24">
        <f>IFERROR(VLOOKUP(all_lmics[[Setting]:[Setting]], facility[], 3,FALSE),0)</f>
        <v>0.745</v>
      </c>
      <c r="Q24">
        <f>IFERROR(VLOOKUP(all_lmics[[Setting]:[Setting]],all_cause_mort[],4,FALSE),0)</f>
        <v>3.3701546999999998E-2</v>
      </c>
      <c r="R24">
        <f>IFERROR(VLOOKUP(all_lmics[[Setting]:[Setting]],all_cause_mort[],5,FALSE),0)</f>
        <v>3.0930983E-3</v>
      </c>
      <c r="S24">
        <f>IFERROR(VLOOKUP(all_lmics[[Setting]:[Setting]],all_cause_mort[],6,FALSE),0)</f>
        <v>1.2407778E-3</v>
      </c>
      <c r="T24">
        <f>IFERROR(VLOOKUP(all_lmics[[Setting]:[Setting]],all_cause_mort[],7,FALSE),0)</f>
        <v>8.6711961999999998E-4</v>
      </c>
      <c r="U24">
        <f>IFERROR(VLOOKUP(all_lmics[[Setting]:[Setting]],all_cause_mort[],8,FALSE),0)</f>
        <v>1.3511974999999999E-3</v>
      </c>
      <c r="V24">
        <f>IFERROR(VLOOKUP(all_lmics[[Setting]:[Setting]],all_cause_mort[],9,FALSE),0)</f>
        <v>1.9678428999999999E-3</v>
      </c>
      <c r="W24">
        <f>IFERROR(VLOOKUP(all_lmics[[Setting]:[Setting]],all_cause_mort[],10,FALSE),0)</f>
        <v>2.1377251000000001E-3</v>
      </c>
      <c r="X24">
        <f>IFERROR(VLOOKUP(all_lmics[[Setting]:[Setting]],all_cause_mort[],11,FALSE),0)</f>
        <v>2.4965353999999999E-3</v>
      </c>
      <c r="Y24">
        <f>IFERROR(VLOOKUP(all_lmics[[Setting]:[Setting]],all_cause_mort[],12,FALSE),0)</f>
        <v>2.9943255000000001E-3</v>
      </c>
      <c r="Z24">
        <f>IFERROR(VLOOKUP(all_lmics[[Setting]:[Setting]],all_cause_mort[],13,FALSE),0)</f>
        <v>3.967089E-3</v>
      </c>
      <c r="AA24">
        <f>IFERROR(VLOOKUP(all_lmics[[Setting]:[Setting]],all_cause_mort[],14,FALSE),0)</f>
        <v>5.3099808999999996E-3</v>
      </c>
      <c r="AB24">
        <f>IFERROR(VLOOKUP(all_lmics[[Setting]:[Setting]],all_cause_mort[],15,FALSE),0)</f>
        <v>7.8618781000000006E-3</v>
      </c>
      <c r="AC24">
        <f>IFERROR(VLOOKUP(all_lmics[[Setting]:[Setting]],all_cause_mort[],16,FALSE),0)</f>
        <v>1.1597504999999999E-2</v>
      </c>
      <c r="AD24">
        <f>IFERROR(VLOOKUP(all_lmics[[Setting]:[Setting]],all_cause_mort[],17,FALSE),0)</f>
        <v>1.8480442999999999E-2</v>
      </c>
      <c r="AE24">
        <f>IFERROR(VLOOKUP(all_lmics[[Setting]:[Setting]],all_cause_mort[],18,FALSE),0)</f>
        <v>2.9956621999999999E-2</v>
      </c>
      <c r="AF24">
        <f>IFERROR(VLOOKUP(all_lmics[[Setting]:[Setting]],all_cause_mort[],19,FALSE),0)</f>
        <v>5.2323379000000003E-2</v>
      </c>
      <c r="AG24">
        <f>IFERROR(VLOOKUP(all_lmics[[Setting]:[Setting]],all_cause_mort[],20,FALSE),0)</f>
        <v>9.1602731000000007E-2</v>
      </c>
      <c r="AH24">
        <f>IFERROR(VLOOKUP(all_lmics[[Setting]:[Setting]],all_cause_mort[],21,FALSE),0)</f>
        <v>0.15743705</v>
      </c>
      <c r="AI24">
        <f>IFERROR(VLOOKUP(all_lmics[[Setting]:[Setting]],all_cause_mort[],22,FALSE),0)</f>
        <v>0.25368640999999997</v>
      </c>
      <c r="AJ24">
        <f>IFERROR(VLOOKUP(all_lmics[[Setting]:[Setting]],all_cause_mort[],23,FALSE),0)</f>
        <v>0.38221699999999997</v>
      </c>
      <c r="AK24">
        <f>IFERROR(VLOOKUP(all_lmics[[Setting]:[Setting]],all_cause_mort[],24,FALSE),0)</f>
        <v>0.51628342999999999</v>
      </c>
      <c r="AL24">
        <f>IFERROR(VLOOKUP(all_lmics[[Setting]:[Setting]],all_cause_mort[],25,FALSE),0)</f>
        <v>0.84393733562738005</v>
      </c>
      <c r="AM24">
        <f>VLOOKUP(all_lmics[[worldbank_region]:[worldbank_region]],Table13[],2,FALSE)</f>
        <v>29.912264999999998</v>
      </c>
      <c r="AN24">
        <f>VLOOKUP(all_lmics[[worldbank_region]:[worldbank_region]],Table13[],3,FALSE)</f>
        <v>29.912264999999998</v>
      </c>
      <c r="AO24">
        <f>VLOOKUP(all_lmics[[worldbank_region]:[worldbank_region]],Table13[],4,FALSE)</f>
        <v>77.641124999999988</v>
      </c>
      <c r="AP24">
        <f>VLOOKUP(all_lmics[[worldbank_region]:[worldbank_region]],Table13[],5,FALSE)</f>
        <v>77.641124999999988</v>
      </c>
      <c r="AQ24">
        <f>VLOOKUP(all_lmics[[worldbank_region]:[worldbank_region]],Table13[],6,FALSE)</f>
        <v>77.641124999999988</v>
      </c>
      <c r="AR24">
        <f>VLOOKUP(all_lmics[[worldbank_region]:[worldbank_region]],Table14[],2,FALSE)</f>
        <v>0.96979199999999999</v>
      </c>
      <c r="AS24">
        <f>VLOOKUP(all_lmics[[worldbank_region]:[worldbank_region]],Table14[],3,FALSE)</f>
        <v>1.5872920000000001</v>
      </c>
      <c r="AT24">
        <f>VLOOKUP(all_lmics[[worldbank_region]:[worldbank_region]],Table14[],4,FALSE)</f>
        <v>5.7971629999999994</v>
      </c>
      <c r="AU24">
        <f>VLOOKUP(all_lmics[[worldbank_region]:[worldbank_region]],Table14[],5,FALSE)</f>
        <v>6.4146629999999991</v>
      </c>
      <c r="AV24">
        <f>VLOOKUP(all_lmics[[worldbank_region]:[worldbank_region]],Table14[],6,FALSE)</f>
        <v>6.9849149999999991</v>
      </c>
      <c r="AW24">
        <f>IFERROR(VLOOKUP(all_lmics[[Setting]:[Setting]],nFacSBA[],4,FALSE),0)</f>
        <v>5.0152257536883779E-2</v>
      </c>
      <c r="AX24">
        <f>VLOOKUP(all_lmics[[worldbank_region]:[worldbank_region]],hbe[],2)</f>
        <v>0.3</v>
      </c>
      <c r="AY24">
        <f>VLOOKUP(all_lmics[[worldbank_region]:[worldbank_region]],hbe[],5)</f>
        <v>0.875</v>
      </c>
      <c r="AZ24">
        <f>VLOOKUP(all_lmics[[worldbank_region]:[worldbank_region]],hbe[],8)</f>
        <v>0.15</v>
      </c>
    </row>
    <row r="25" spans="1:52" x14ac:dyDescent="0.35">
      <c r="A25" s="8" t="s">
        <v>183</v>
      </c>
      <c r="B25" s="10" t="s">
        <v>14</v>
      </c>
      <c r="C25" s="10" t="s">
        <v>13</v>
      </c>
      <c r="D25" s="11" t="s">
        <v>15</v>
      </c>
      <c r="E25">
        <f>VLOOKUP(all_lmics[[Setting]:[Setting]],populations[],9,FALSE)</f>
        <v>95843</v>
      </c>
      <c r="F25">
        <f>VLOOKUP(all_lmics[[Setting]:[Setting]],birthrate[],3,FALSE)</f>
        <v>1.7399999999999999E-2</v>
      </c>
      <c r="G25">
        <f>all_lmics[[#This Row],[2017_population]]*all_lmics[[#This Row],[2016_birthrate]]</f>
        <v>1667.6681999999998</v>
      </c>
      <c r="H25">
        <f>VLOOKUP(all_lmics[[Setting]:[Setting]],birthdose[],4,FALSE)</f>
        <v>0</v>
      </c>
      <c r="I25">
        <f>VLOOKUP(all_lmics[[Setting]:[Setting]],fullvax[],4,FALSE)</f>
        <v>0.98</v>
      </c>
      <c r="J25">
        <f>IFERROR(VLOOKUP(all_lmics[[Setting]:[Setting]],prev[],3,FALSE),0)</f>
        <v>4.7999999999999996E-3</v>
      </c>
      <c r="K25">
        <f>IFERROR(VLOOKUP(all_lmics[[Setting]:[Setting]],prev[],4,FALSE),0)</f>
        <v>1.1999999999999999E-3</v>
      </c>
      <c r="L25">
        <f>IFERROR(VLOOKUP(all_lmics[[Setting]:[Setting]],prev[],5,FALSE),0)</f>
        <v>8.9999999999999993E-3</v>
      </c>
      <c r="M25">
        <f>IFERROR(VLOOKUP(all_lmics[[Setting]:[Setting]],prev[],7,FALSE),0)</f>
        <v>2.142857142857143E-3</v>
      </c>
      <c r="N25">
        <f>IFERROR(VLOOKUP(all_lmics[[Setting]:[Setting]],prev[],6,FALSE),0)</f>
        <v>89770</v>
      </c>
      <c r="O25">
        <f>IFERROR(VLOOKUP(all_lmics[[Setting]:[Setting]],SBA[],4,FALSE),0)</f>
        <v>0.99</v>
      </c>
      <c r="P25">
        <f>IFERROR(VLOOKUP(all_lmics[[Setting]:[Setting]], facility[], 3,FALSE),0)</f>
        <v>0</v>
      </c>
      <c r="Q25">
        <f>IFERROR(VLOOKUP(all_lmics[[Setting]:[Setting]],all_cause_mort[],4,FALSE),0)</f>
        <v>1.0983855000000001E-2</v>
      </c>
      <c r="R25">
        <f>IFERROR(VLOOKUP(all_lmics[[Setting]:[Setting]],all_cause_mort[],5,FALSE),0)</f>
        <v>7.4946199000000004E-4</v>
      </c>
      <c r="S25">
        <f>IFERROR(VLOOKUP(all_lmics[[Setting]:[Setting]],all_cause_mort[],6,FALSE),0)</f>
        <v>3.3198705000000002E-4</v>
      </c>
      <c r="T25">
        <f>IFERROR(VLOOKUP(all_lmics[[Setting]:[Setting]],all_cause_mort[],7,FALSE),0)</f>
        <v>3.1725337999999998E-4</v>
      </c>
      <c r="U25">
        <f>IFERROR(VLOOKUP(all_lmics[[Setting]:[Setting]],all_cause_mort[],8,FALSE),0)</f>
        <v>8.1078488999999996E-4</v>
      </c>
      <c r="V25">
        <f>IFERROR(VLOOKUP(all_lmics[[Setting]:[Setting]],all_cause_mort[],9,FALSE),0)</f>
        <v>1.1831374E-3</v>
      </c>
      <c r="W25">
        <f>IFERROR(VLOOKUP(all_lmics[[Setting]:[Setting]],all_cause_mort[],10,FALSE),0)</f>
        <v>1.3087878999999999E-3</v>
      </c>
      <c r="X25">
        <f>IFERROR(VLOOKUP(all_lmics[[Setting]:[Setting]],all_cause_mort[],11,FALSE),0)</f>
        <v>1.5996134000000001E-3</v>
      </c>
      <c r="Y25">
        <f>IFERROR(VLOOKUP(all_lmics[[Setting]:[Setting]],all_cause_mort[],12,FALSE),0)</f>
        <v>2.1708414999999999E-3</v>
      </c>
      <c r="Z25">
        <f>IFERROR(VLOOKUP(all_lmics[[Setting]:[Setting]],all_cause_mort[],13,FALSE),0)</f>
        <v>3.1424388999999999E-3</v>
      </c>
      <c r="AA25">
        <f>IFERROR(VLOOKUP(all_lmics[[Setting]:[Setting]],all_cause_mort[],14,FALSE),0)</f>
        <v>4.7761705999999999E-3</v>
      </c>
      <c r="AB25">
        <f>IFERROR(VLOOKUP(all_lmics[[Setting]:[Setting]],all_cause_mort[],15,FALSE),0)</f>
        <v>7.2788896000000004E-3</v>
      </c>
      <c r="AC25">
        <f>IFERROR(VLOOKUP(all_lmics[[Setting]:[Setting]],all_cause_mort[],16,FALSE),0)</f>
        <v>1.1065886E-2</v>
      </c>
      <c r="AD25">
        <f>IFERROR(VLOOKUP(all_lmics[[Setting]:[Setting]],all_cause_mort[],17,FALSE),0)</f>
        <v>1.6527305999999999E-2</v>
      </c>
      <c r="AE25">
        <f>IFERROR(VLOOKUP(all_lmics[[Setting]:[Setting]],all_cause_mort[],18,FALSE),0)</f>
        <v>2.4555975000000001E-2</v>
      </c>
      <c r="AF25">
        <f>IFERROR(VLOOKUP(all_lmics[[Setting]:[Setting]],all_cause_mort[],19,FALSE),0)</f>
        <v>3.7669215999999998E-2</v>
      </c>
      <c r="AG25">
        <f>IFERROR(VLOOKUP(all_lmics[[Setting]:[Setting]],all_cause_mort[],20,FALSE),0)</f>
        <v>5.9531967999999998E-2</v>
      </c>
      <c r="AH25">
        <f>IFERROR(VLOOKUP(all_lmics[[Setting]:[Setting]],all_cause_mort[],21,FALSE),0)</f>
        <v>9.5749103000000002E-2</v>
      </c>
      <c r="AI25">
        <f>IFERROR(VLOOKUP(all_lmics[[Setting]:[Setting]],all_cause_mort[],22,FALSE),0)</f>
        <v>0.15336752000000001</v>
      </c>
      <c r="AJ25">
        <f>IFERROR(VLOOKUP(all_lmics[[Setting]:[Setting]],all_cause_mort[],23,FALSE),0)</f>
        <v>0.23427697</v>
      </c>
      <c r="AK25">
        <f>IFERROR(VLOOKUP(all_lmics[[Setting]:[Setting]],all_cause_mort[],24,FALSE),0)</f>
        <v>0.34262757999999999</v>
      </c>
      <c r="AL25">
        <f>IFERROR(VLOOKUP(all_lmics[[Setting]:[Setting]],all_cause_mort[],25,FALSE),0)</f>
        <v>0.47382895779141099</v>
      </c>
      <c r="AM25">
        <f>VLOOKUP(all_lmics[[worldbank_region]:[worldbank_region]],Table13[],2,FALSE)</f>
        <v>29.912264999999998</v>
      </c>
      <c r="AN25">
        <f>VLOOKUP(all_lmics[[worldbank_region]:[worldbank_region]],Table13[],3,FALSE)</f>
        <v>29.912264999999998</v>
      </c>
      <c r="AO25">
        <f>VLOOKUP(all_lmics[[worldbank_region]:[worldbank_region]],Table13[],4,FALSE)</f>
        <v>77.641124999999988</v>
      </c>
      <c r="AP25">
        <f>VLOOKUP(all_lmics[[worldbank_region]:[worldbank_region]],Table13[],5,FALSE)</f>
        <v>77.641124999999988</v>
      </c>
      <c r="AQ25">
        <f>VLOOKUP(all_lmics[[worldbank_region]:[worldbank_region]],Table13[],6,FALSE)</f>
        <v>77.641124999999988</v>
      </c>
      <c r="AR25">
        <f>VLOOKUP(all_lmics[[worldbank_region]:[worldbank_region]],Table14[],2,FALSE)</f>
        <v>0.96979199999999999</v>
      </c>
      <c r="AS25">
        <f>VLOOKUP(all_lmics[[worldbank_region]:[worldbank_region]],Table14[],3,FALSE)</f>
        <v>1.5872920000000001</v>
      </c>
      <c r="AT25">
        <f>VLOOKUP(all_lmics[[worldbank_region]:[worldbank_region]],Table14[],4,FALSE)</f>
        <v>5.7971629999999994</v>
      </c>
      <c r="AU25">
        <f>VLOOKUP(all_lmics[[worldbank_region]:[worldbank_region]],Table14[],5,FALSE)</f>
        <v>6.4146629999999991</v>
      </c>
      <c r="AV25">
        <f>VLOOKUP(all_lmics[[worldbank_region]:[worldbank_region]],Table14[],6,FALSE)</f>
        <v>6.9849149999999991</v>
      </c>
      <c r="AW25">
        <f>IFERROR(VLOOKUP(all_lmics[[Setting]:[Setting]],nFacSBA[],4,FALSE),0)</f>
        <v>0</v>
      </c>
      <c r="AX25">
        <f>VLOOKUP(all_lmics[[worldbank_region]:[worldbank_region]],hbe[],2)</f>
        <v>0.3</v>
      </c>
      <c r="AY25">
        <f>VLOOKUP(all_lmics[[worldbank_region]:[worldbank_region]],hbe[],5)</f>
        <v>0.875</v>
      </c>
      <c r="AZ25">
        <f>VLOOKUP(all_lmics[[worldbank_region]:[worldbank_region]],hbe[],8)</f>
        <v>0.15</v>
      </c>
    </row>
    <row r="26" spans="1:52" x14ac:dyDescent="0.35">
      <c r="A26" s="12" t="s">
        <v>184</v>
      </c>
      <c r="B26" s="13" t="s">
        <v>14</v>
      </c>
      <c r="C26" s="13" t="s">
        <v>13</v>
      </c>
      <c r="D26" s="14" t="s">
        <v>15</v>
      </c>
      <c r="E26">
        <f>VLOOKUP(all_lmics[[Setting]:[Setting]],populations[],9,FALSE)</f>
        <v>7557212</v>
      </c>
      <c r="F26">
        <f>VLOOKUP(all_lmics[[Setting]:[Setting]],birthrate[],3,FALSE)</f>
        <v>3.5006000000000002E-2</v>
      </c>
      <c r="G26">
        <f>all_lmics[[#This Row],[2017_population]]*all_lmics[[#This Row],[2016_birthrate]]</f>
        <v>264547.76327200001</v>
      </c>
      <c r="H26">
        <f>VLOOKUP(all_lmics[[Setting]:[Setting]],birthdose[],4,FALSE)</f>
        <v>0</v>
      </c>
      <c r="I26">
        <f>VLOOKUP(all_lmics[[Setting]:[Setting]],fullvax[],4,FALSE)</f>
        <v>0.9</v>
      </c>
      <c r="J26">
        <f>IFERROR(VLOOKUP(all_lmics[[Setting]:[Setting]],prev[],3,FALSE),0)</f>
        <v>8.4199999999999997E-2</v>
      </c>
      <c r="K26">
        <f>IFERROR(VLOOKUP(all_lmics[[Setting]:[Setting]],prev[],4,FALSE),0)</f>
        <v>5.9900000000000002E-2</v>
      </c>
      <c r="L26">
        <f>IFERROR(VLOOKUP(all_lmics[[Setting]:[Setting]],prev[],5,FALSE),0)</f>
        <v>0.1173</v>
      </c>
      <c r="M26">
        <f>IFERROR(VLOOKUP(all_lmics[[Setting]:[Setting]],prev[],7,FALSE),0)</f>
        <v>1.6887755102040818E-2</v>
      </c>
      <c r="N26">
        <f>IFERROR(VLOOKUP(all_lmics[[Setting]:[Setting]],prev[],6,FALSE),0)</f>
        <v>6458720</v>
      </c>
      <c r="O26">
        <f>IFERROR(VLOOKUP(all_lmics[[Setting]:[Setting]],SBA[],4,FALSE),0)</f>
        <v>0.59699999999999998</v>
      </c>
      <c r="P26">
        <f>IFERROR(VLOOKUP(all_lmics[[Setting]:[Setting]], facility[], 3,FALSE),0)</f>
        <v>0.54400000000000004</v>
      </c>
      <c r="Q26">
        <f>IFERROR(VLOOKUP(all_lmics[[Setting]:[Setting]],all_cause_mort[],4,FALSE),0)</f>
        <v>8.5754638999999994E-2</v>
      </c>
      <c r="R26">
        <f>IFERROR(VLOOKUP(all_lmics[[Setting]:[Setting]],all_cause_mort[],5,FALSE),0)</f>
        <v>8.2215147999999995E-3</v>
      </c>
      <c r="S26">
        <f>IFERROR(VLOOKUP(all_lmics[[Setting]:[Setting]],all_cause_mort[],6,FALSE),0)</f>
        <v>3.5928784E-3</v>
      </c>
      <c r="T26">
        <f>IFERROR(VLOOKUP(all_lmics[[Setting]:[Setting]],all_cause_mort[],7,FALSE),0)</f>
        <v>2.6331943999999999E-3</v>
      </c>
      <c r="U26">
        <f>IFERROR(VLOOKUP(all_lmics[[Setting]:[Setting]],all_cause_mort[],8,FALSE),0)</f>
        <v>4.3489514000000003E-3</v>
      </c>
      <c r="V26">
        <f>IFERROR(VLOOKUP(all_lmics[[Setting]:[Setting]],all_cause_mort[],9,FALSE),0)</f>
        <v>6.0803122000000001E-3</v>
      </c>
      <c r="W26">
        <f>IFERROR(VLOOKUP(all_lmics[[Setting]:[Setting]],all_cause_mort[],10,FALSE),0)</f>
        <v>6.6875366000000002E-3</v>
      </c>
      <c r="X26">
        <f>IFERROR(VLOOKUP(all_lmics[[Setting]:[Setting]],all_cause_mort[],11,FALSE),0)</f>
        <v>7.3661012E-3</v>
      </c>
      <c r="Y26">
        <f>IFERROR(VLOOKUP(all_lmics[[Setting]:[Setting]],all_cause_mort[],12,FALSE),0)</f>
        <v>8.5249733000000005E-3</v>
      </c>
      <c r="Z26">
        <f>IFERROR(VLOOKUP(all_lmics[[Setting]:[Setting]],all_cause_mort[],13,FALSE),0)</f>
        <v>1.0129334E-2</v>
      </c>
      <c r="AA26">
        <f>IFERROR(VLOOKUP(all_lmics[[Setting]:[Setting]],all_cause_mort[],14,FALSE),0)</f>
        <v>1.2491432E-2</v>
      </c>
      <c r="AB26">
        <f>IFERROR(VLOOKUP(all_lmics[[Setting]:[Setting]],all_cause_mort[],15,FALSE),0)</f>
        <v>1.6501821E-2</v>
      </c>
      <c r="AC26">
        <f>IFERROR(VLOOKUP(all_lmics[[Setting]:[Setting]],all_cause_mort[],16,FALSE),0)</f>
        <v>2.2236571E-2</v>
      </c>
      <c r="AD26">
        <f>IFERROR(VLOOKUP(all_lmics[[Setting]:[Setting]],all_cause_mort[],17,FALSE),0)</f>
        <v>3.2018854999999999E-2</v>
      </c>
      <c r="AE26">
        <f>IFERROR(VLOOKUP(all_lmics[[Setting]:[Setting]],all_cause_mort[],18,FALSE),0)</f>
        <v>4.6838433999999998E-2</v>
      </c>
      <c r="AF26">
        <f>IFERROR(VLOOKUP(all_lmics[[Setting]:[Setting]],all_cause_mort[],19,FALSE),0)</f>
        <v>7.1225826000000006E-2</v>
      </c>
      <c r="AG26">
        <f>IFERROR(VLOOKUP(all_lmics[[Setting]:[Setting]],all_cause_mort[],20,FALSE),0)</f>
        <v>0.10785986</v>
      </c>
      <c r="AH26">
        <f>IFERROR(VLOOKUP(all_lmics[[Setting]:[Setting]],all_cause_mort[],21,FALSE),0)</f>
        <v>0.16141699000000001</v>
      </c>
      <c r="AI26">
        <f>IFERROR(VLOOKUP(all_lmics[[Setting]:[Setting]],all_cause_mort[],22,FALSE),0)</f>
        <v>0.23598997999999999</v>
      </c>
      <c r="AJ26">
        <f>IFERROR(VLOOKUP(all_lmics[[Setting]:[Setting]],all_cause_mort[],23,FALSE),0)</f>
        <v>0.32729246000000001</v>
      </c>
      <c r="AK26">
        <f>IFERROR(VLOOKUP(all_lmics[[Setting]:[Setting]],all_cause_mort[],24,FALSE),0)</f>
        <v>0.44617088999999999</v>
      </c>
      <c r="AL26">
        <f>IFERROR(VLOOKUP(all_lmics[[Setting]:[Setting]],all_cause_mort[],25,FALSE),0)</f>
        <v>0.57380803860305096</v>
      </c>
      <c r="AM26">
        <f>VLOOKUP(all_lmics[[worldbank_region]:[worldbank_region]],Table13[],2,FALSE)</f>
        <v>29.912264999999998</v>
      </c>
      <c r="AN26">
        <f>VLOOKUP(all_lmics[[worldbank_region]:[worldbank_region]],Table13[],3,FALSE)</f>
        <v>29.912264999999998</v>
      </c>
      <c r="AO26">
        <f>VLOOKUP(all_lmics[[worldbank_region]:[worldbank_region]],Table13[],4,FALSE)</f>
        <v>77.641124999999988</v>
      </c>
      <c r="AP26">
        <f>VLOOKUP(all_lmics[[worldbank_region]:[worldbank_region]],Table13[],5,FALSE)</f>
        <v>77.641124999999988</v>
      </c>
      <c r="AQ26">
        <f>VLOOKUP(all_lmics[[worldbank_region]:[worldbank_region]],Table13[],6,FALSE)</f>
        <v>77.641124999999988</v>
      </c>
      <c r="AR26">
        <f>VLOOKUP(all_lmics[[worldbank_region]:[worldbank_region]],Table14[],2,FALSE)</f>
        <v>0.96979199999999999</v>
      </c>
      <c r="AS26">
        <f>VLOOKUP(all_lmics[[worldbank_region]:[worldbank_region]],Table14[],3,FALSE)</f>
        <v>1.5872920000000001</v>
      </c>
      <c r="AT26">
        <f>VLOOKUP(all_lmics[[worldbank_region]:[worldbank_region]],Table14[],4,FALSE)</f>
        <v>5.7971629999999994</v>
      </c>
      <c r="AU26">
        <f>VLOOKUP(all_lmics[[worldbank_region]:[worldbank_region]],Table14[],5,FALSE)</f>
        <v>6.4146629999999991</v>
      </c>
      <c r="AV26">
        <f>VLOOKUP(all_lmics[[worldbank_region]:[worldbank_region]],Table14[],6,FALSE)</f>
        <v>6.9849149999999991</v>
      </c>
      <c r="AW26">
        <f>IFERROR(VLOOKUP(all_lmics[[Setting]:[Setting]],nFacSBA[],4,FALSE),0)</f>
        <v>0.13586145462019389</v>
      </c>
      <c r="AX26">
        <f>VLOOKUP(all_lmics[[worldbank_region]:[worldbank_region]],hbe[],2)</f>
        <v>0.3</v>
      </c>
      <c r="AY26">
        <f>VLOOKUP(all_lmics[[worldbank_region]:[worldbank_region]],hbe[],5)</f>
        <v>0.875</v>
      </c>
      <c r="AZ26">
        <f>VLOOKUP(all_lmics[[worldbank_region]:[worldbank_region]],hbe[],8)</f>
        <v>0.15</v>
      </c>
    </row>
    <row r="27" spans="1:52" x14ac:dyDescent="0.35">
      <c r="A27" s="12" t="s">
        <v>204</v>
      </c>
      <c r="B27" s="13" t="s">
        <v>14</v>
      </c>
      <c r="C27" s="13" t="s">
        <v>13</v>
      </c>
      <c r="D27" s="14" t="s">
        <v>15</v>
      </c>
      <c r="E27">
        <f>VLOOKUP(all_lmics[[Setting]:[Setting]],populations[],9,FALSE)</f>
        <v>7797694</v>
      </c>
      <c r="F27">
        <f>VLOOKUP(all_lmics[[Setting]:[Setting]],birthrate[],3,FALSE)</f>
        <v>3.4027999999999996E-2</v>
      </c>
      <c r="G27">
        <f>all_lmics[[#This Row],[2017_population]]*all_lmics[[#This Row],[2016_birthrate]]</f>
        <v>265339.93143199995</v>
      </c>
      <c r="H27">
        <f>VLOOKUP(all_lmics[[Setting]:[Setting]],birthdose[],4,FALSE)</f>
        <v>0</v>
      </c>
      <c r="I27">
        <f>VLOOKUP(all_lmics[[Setting]:[Setting]],fullvax[],4,FALSE)</f>
        <v>0.9</v>
      </c>
      <c r="J27">
        <f>IFERROR(VLOOKUP(all_lmics[[Setting]:[Setting]],prev[],3,FALSE),0)</f>
        <v>0.1087</v>
      </c>
      <c r="K27">
        <f>IFERROR(VLOOKUP(all_lmics[[Setting]:[Setting]],prev[],4,FALSE),0)</f>
        <v>7.4499999999999997E-2</v>
      </c>
      <c r="L27">
        <f>IFERROR(VLOOKUP(all_lmics[[Setting]:[Setting]],prev[],5,FALSE),0)</f>
        <v>0.15590000000000001</v>
      </c>
      <c r="M27">
        <f>IFERROR(VLOOKUP(all_lmics[[Setting]:[Setting]],prev[],7,FALSE),0)</f>
        <v>2.4081632653061229E-2</v>
      </c>
      <c r="N27">
        <f>IFERROR(VLOOKUP(all_lmics[[Setting]:[Setting]],prev[],6,FALSE),0)</f>
        <v>6502952</v>
      </c>
      <c r="O27">
        <f>IFERROR(VLOOKUP(all_lmics[[Setting]:[Setting]],SBA[],4,FALSE),0)</f>
        <v>0.44600000000000001</v>
      </c>
      <c r="P27">
        <f>IFERROR(VLOOKUP(all_lmics[[Setting]:[Setting]], facility[], 3,FALSE),0)</f>
        <v>0.72499999999999998</v>
      </c>
      <c r="Q27">
        <f>IFERROR(VLOOKUP(all_lmics[[Setting]:[Setting]],all_cause_mort[],4,FALSE),0)</f>
        <v>5.1780514999999999E-2</v>
      </c>
      <c r="R27">
        <f>IFERROR(VLOOKUP(all_lmics[[Setting]:[Setting]],all_cause_mort[],5,FALSE),0)</f>
        <v>6.8857930999999999E-3</v>
      </c>
      <c r="S27">
        <f>IFERROR(VLOOKUP(all_lmics[[Setting]:[Setting]],all_cause_mort[],6,FALSE),0)</f>
        <v>3.118904E-3</v>
      </c>
      <c r="T27">
        <f>IFERROR(VLOOKUP(all_lmics[[Setting]:[Setting]],all_cause_mort[],7,FALSE),0)</f>
        <v>1.8196249E-3</v>
      </c>
      <c r="U27">
        <f>IFERROR(VLOOKUP(all_lmics[[Setting]:[Setting]],all_cause_mort[],8,FALSE),0)</f>
        <v>2.78422E-3</v>
      </c>
      <c r="V27">
        <f>IFERROR(VLOOKUP(all_lmics[[Setting]:[Setting]],all_cause_mort[],9,FALSE),0)</f>
        <v>3.9000497999999999E-3</v>
      </c>
      <c r="W27">
        <f>IFERROR(VLOOKUP(all_lmics[[Setting]:[Setting]],all_cause_mort[],10,FALSE),0)</f>
        <v>4.1498806000000001E-3</v>
      </c>
      <c r="X27">
        <f>IFERROR(VLOOKUP(all_lmics[[Setting]:[Setting]],all_cause_mort[],11,FALSE),0)</f>
        <v>4.5451696999999998E-3</v>
      </c>
      <c r="Y27">
        <f>IFERROR(VLOOKUP(all_lmics[[Setting]:[Setting]],all_cause_mort[],12,FALSE),0)</f>
        <v>5.1751534999999998E-3</v>
      </c>
      <c r="Z27">
        <f>IFERROR(VLOOKUP(all_lmics[[Setting]:[Setting]],all_cause_mort[],13,FALSE),0)</f>
        <v>6.3050205000000003E-3</v>
      </c>
      <c r="AA27">
        <f>IFERROR(VLOOKUP(all_lmics[[Setting]:[Setting]],all_cause_mort[],14,FALSE),0)</f>
        <v>7.8256269999999999E-3</v>
      </c>
      <c r="AB27">
        <f>IFERROR(VLOOKUP(all_lmics[[Setting]:[Setting]],all_cause_mort[],15,FALSE),0)</f>
        <v>1.0963911999999999E-2</v>
      </c>
      <c r="AC27">
        <f>IFERROR(VLOOKUP(all_lmics[[Setting]:[Setting]],all_cause_mort[],16,FALSE),0)</f>
        <v>1.5670573E-2</v>
      </c>
      <c r="AD27">
        <f>IFERROR(VLOOKUP(all_lmics[[Setting]:[Setting]],all_cause_mort[],17,FALSE),0)</f>
        <v>2.4767808999999998E-2</v>
      </c>
      <c r="AE27">
        <f>IFERROR(VLOOKUP(all_lmics[[Setting]:[Setting]],all_cause_mort[],18,FALSE),0)</f>
        <v>3.9181994999999997E-2</v>
      </c>
      <c r="AF27">
        <f>IFERROR(VLOOKUP(all_lmics[[Setting]:[Setting]],all_cause_mort[],19,FALSE),0)</f>
        <v>6.6077716999999994E-2</v>
      </c>
      <c r="AG27">
        <f>IFERROR(VLOOKUP(all_lmics[[Setting]:[Setting]],all_cause_mort[],20,FALSE),0)</f>
        <v>0.11117315</v>
      </c>
      <c r="AH27">
        <f>IFERROR(VLOOKUP(all_lmics[[Setting]:[Setting]],all_cause_mort[],21,FALSE),0)</f>
        <v>0.18372347</v>
      </c>
      <c r="AI27">
        <f>IFERROR(VLOOKUP(all_lmics[[Setting]:[Setting]],all_cause_mort[],22,FALSE),0)</f>
        <v>0.28542781</v>
      </c>
      <c r="AJ27">
        <f>IFERROR(VLOOKUP(all_lmics[[Setting]:[Setting]],all_cause_mort[],23,FALSE),0)</f>
        <v>0.41471061999999997</v>
      </c>
      <c r="AK27">
        <f>IFERROR(VLOOKUP(all_lmics[[Setting]:[Setting]],all_cause_mort[],24,FALSE),0)</f>
        <v>0.57905783</v>
      </c>
      <c r="AL27">
        <f>IFERROR(VLOOKUP(all_lmics[[Setting]:[Setting]],all_cause_mort[],25,FALSE),0)</f>
        <v>1.60025537515379</v>
      </c>
      <c r="AM27">
        <f>VLOOKUP(all_lmics[[worldbank_region]:[worldbank_region]],Table13[],2,FALSE)</f>
        <v>29.912264999999998</v>
      </c>
      <c r="AN27">
        <f>VLOOKUP(all_lmics[[worldbank_region]:[worldbank_region]],Table13[],3,FALSE)</f>
        <v>29.912264999999998</v>
      </c>
      <c r="AO27">
        <f>VLOOKUP(all_lmics[[worldbank_region]:[worldbank_region]],Table13[],4,FALSE)</f>
        <v>77.641124999999988</v>
      </c>
      <c r="AP27">
        <f>VLOOKUP(all_lmics[[worldbank_region]:[worldbank_region]],Table13[],5,FALSE)</f>
        <v>77.641124999999988</v>
      </c>
      <c r="AQ27">
        <f>VLOOKUP(all_lmics[[worldbank_region]:[worldbank_region]],Table13[],6,FALSE)</f>
        <v>77.641124999999988</v>
      </c>
      <c r="AR27">
        <f>VLOOKUP(all_lmics[[worldbank_region]:[worldbank_region]],Table14[],2,FALSE)</f>
        <v>0.96979199999999999</v>
      </c>
      <c r="AS27">
        <f>VLOOKUP(all_lmics[[worldbank_region]:[worldbank_region]],Table14[],3,FALSE)</f>
        <v>1.5872920000000001</v>
      </c>
      <c r="AT27">
        <f>VLOOKUP(all_lmics[[worldbank_region]:[worldbank_region]],Table14[],4,FALSE)</f>
        <v>5.7971629999999994</v>
      </c>
      <c r="AU27">
        <f>VLOOKUP(all_lmics[[worldbank_region]:[worldbank_region]],Table14[],5,FALSE)</f>
        <v>6.4146629999999991</v>
      </c>
      <c r="AV27">
        <f>VLOOKUP(all_lmics[[worldbank_region]:[worldbank_region]],Table14[],6,FALSE)</f>
        <v>6.9849149999999991</v>
      </c>
      <c r="AW27">
        <f>IFERROR(VLOOKUP(all_lmics[[Setting]:[Setting]],nFacSBA[],4,FALSE),0)</f>
        <v>1.2495426147663663E-2</v>
      </c>
      <c r="AX27">
        <f>VLOOKUP(all_lmics[[worldbank_region]:[worldbank_region]],hbe[],2)</f>
        <v>0.3</v>
      </c>
      <c r="AY27">
        <f>VLOOKUP(all_lmics[[worldbank_region]:[worldbank_region]],hbe[],5)</f>
        <v>0.875</v>
      </c>
      <c r="AZ27">
        <f>VLOOKUP(all_lmics[[worldbank_region]:[worldbank_region]],hbe[],8)</f>
        <v>0.15</v>
      </c>
    </row>
    <row r="28" spans="1:52" x14ac:dyDescent="0.35">
      <c r="A28" s="8" t="s">
        <v>48</v>
      </c>
      <c r="B28" s="10" t="s">
        <v>49</v>
      </c>
      <c r="C28" s="10" t="s">
        <v>13</v>
      </c>
      <c r="D28" s="11" t="s">
        <v>15</v>
      </c>
      <c r="E28">
        <f>VLOOKUP(all_lmics[[Setting]:[Setting]],populations[],9,FALSE)</f>
        <v>2291661</v>
      </c>
      <c r="F28">
        <f>VLOOKUP(all_lmics[[Setting]:[Setting]],birthrate[],3,FALSE)</f>
        <v>2.3668999999999999E-2</v>
      </c>
      <c r="G28">
        <f>all_lmics[[#This Row],[2017_population]]*all_lmics[[#This Row],[2016_birthrate]]</f>
        <v>54241.324208999999</v>
      </c>
      <c r="H28">
        <f>VLOOKUP(all_lmics[[Setting]:[Setting]],birthdose[],4,FALSE)</f>
        <v>0</v>
      </c>
      <c r="I28">
        <f>VLOOKUP(all_lmics[[Setting]:[Setting]],fullvax[],4,FALSE)</f>
        <v>0.95</v>
      </c>
      <c r="J28">
        <f>IFERROR(VLOOKUP(all_lmics[[Setting]:[Setting]],prev[],3,FALSE),0)</f>
        <v>0</v>
      </c>
      <c r="K28">
        <f>IFERROR(VLOOKUP(all_lmics[[Setting]:[Setting]],prev[],4,FALSE),0)</f>
        <v>0</v>
      </c>
      <c r="L28">
        <f>IFERROR(VLOOKUP(all_lmics[[Setting]:[Setting]],prev[],5,FALSE),0)</f>
        <v>0</v>
      </c>
      <c r="M28">
        <f>IFERROR(VLOOKUP(all_lmics[[Setting]:[Setting]],prev[],7,FALSE),0)</f>
        <v>0</v>
      </c>
      <c r="N28">
        <f>IFERROR(VLOOKUP(all_lmics[[Setting]:[Setting]],prev[],6,FALSE),0)</f>
        <v>0</v>
      </c>
      <c r="O28">
        <f>IFERROR(VLOOKUP(all_lmics[[Setting]:[Setting]],SBA[],4,FALSE),0)</f>
        <v>0.997</v>
      </c>
      <c r="P28">
        <f>IFERROR(VLOOKUP(all_lmics[[Setting]:[Setting]], facility[], 3,FALSE),0)</f>
        <v>0.997</v>
      </c>
      <c r="Q28">
        <f>IFERROR(VLOOKUP(all_lmics[[Setting]:[Setting]],all_cause_mort[],4,FALSE),0)</f>
        <v>3.0969974000000001E-2</v>
      </c>
      <c r="R28">
        <f>IFERROR(VLOOKUP(all_lmics[[Setting]:[Setting]],all_cause_mort[],5,FALSE),0)</f>
        <v>2.0257418E-3</v>
      </c>
      <c r="S28">
        <f>IFERROR(VLOOKUP(all_lmics[[Setting]:[Setting]],all_cause_mort[],6,FALSE),0)</f>
        <v>5.2266919000000002E-4</v>
      </c>
      <c r="T28">
        <f>IFERROR(VLOOKUP(all_lmics[[Setting]:[Setting]],all_cause_mort[],7,FALSE),0)</f>
        <v>4.3886921000000002E-4</v>
      </c>
      <c r="U28">
        <f>IFERROR(VLOOKUP(all_lmics[[Setting]:[Setting]],all_cause_mort[],8,FALSE),0)</f>
        <v>7.8645829999999996E-4</v>
      </c>
      <c r="V28">
        <f>IFERROR(VLOOKUP(all_lmics[[Setting]:[Setting]],all_cause_mort[],9,FALSE),0)</f>
        <v>1.3873525000000001E-3</v>
      </c>
      <c r="W28">
        <f>IFERROR(VLOOKUP(all_lmics[[Setting]:[Setting]],all_cause_mort[],10,FALSE),0)</f>
        <v>2.2136392E-3</v>
      </c>
      <c r="X28">
        <f>IFERROR(VLOOKUP(all_lmics[[Setting]:[Setting]],all_cause_mort[],11,FALSE),0)</f>
        <v>3.1615366000000002E-3</v>
      </c>
      <c r="Y28">
        <f>IFERROR(VLOOKUP(all_lmics[[Setting]:[Setting]],all_cause_mort[],12,FALSE),0)</f>
        <v>4.5662232000000004E-3</v>
      </c>
      <c r="Z28">
        <f>IFERROR(VLOOKUP(all_lmics[[Setting]:[Setting]],all_cause_mort[],13,FALSE),0)</f>
        <v>5.7044540000000003E-3</v>
      </c>
      <c r="AA28">
        <f>IFERROR(VLOOKUP(all_lmics[[Setting]:[Setting]],all_cause_mort[],14,FALSE),0)</f>
        <v>7.1301801999999999E-3</v>
      </c>
      <c r="AB28">
        <f>IFERROR(VLOOKUP(all_lmics[[Setting]:[Setting]],all_cause_mort[],15,FALSE),0)</f>
        <v>9.1612900000000008E-3</v>
      </c>
      <c r="AC28">
        <f>IFERROR(VLOOKUP(all_lmics[[Setting]:[Setting]],all_cause_mort[],16,FALSE),0)</f>
        <v>1.1507106E-2</v>
      </c>
      <c r="AD28">
        <f>IFERROR(VLOOKUP(all_lmics[[Setting]:[Setting]],all_cause_mort[],17,FALSE),0)</f>
        <v>1.6252664999999999E-2</v>
      </c>
      <c r="AE28">
        <f>IFERROR(VLOOKUP(all_lmics[[Setting]:[Setting]],all_cause_mort[],18,FALSE),0)</f>
        <v>2.4879605999999999E-2</v>
      </c>
      <c r="AF28">
        <f>IFERROR(VLOOKUP(all_lmics[[Setting]:[Setting]],all_cause_mort[],19,FALSE),0)</f>
        <v>3.9367595999999998E-2</v>
      </c>
      <c r="AG28">
        <f>IFERROR(VLOOKUP(all_lmics[[Setting]:[Setting]],all_cause_mort[],20,FALSE),0)</f>
        <v>6.3412958000000005E-2</v>
      </c>
      <c r="AH28">
        <f>IFERROR(VLOOKUP(all_lmics[[Setting]:[Setting]],all_cause_mort[],21,FALSE),0)</f>
        <v>0.10884399</v>
      </c>
      <c r="AI28">
        <f>IFERROR(VLOOKUP(all_lmics[[Setting]:[Setting]],all_cause_mort[],22,FALSE),0)</f>
        <v>0.18914632000000001</v>
      </c>
      <c r="AJ28">
        <f>IFERROR(VLOOKUP(all_lmics[[Setting]:[Setting]],all_cause_mort[],23,FALSE),0)</f>
        <v>0.32036890000000001</v>
      </c>
      <c r="AK28">
        <f>IFERROR(VLOOKUP(all_lmics[[Setting]:[Setting]],all_cause_mort[],24,FALSE),0)</f>
        <v>0.46481059000000002</v>
      </c>
      <c r="AL28">
        <f>IFERROR(VLOOKUP(all_lmics[[Setting]:[Setting]],all_cause_mort[],25,FALSE),0)</f>
        <v>0.61810920271268299</v>
      </c>
      <c r="AM28">
        <f>VLOOKUP(all_lmics[[worldbank_region]:[worldbank_region]],Table13[],2,FALSE)</f>
        <v>29.912264999999998</v>
      </c>
      <c r="AN28">
        <f>VLOOKUP(all_lmics[[worldbank_region]:[worldbank_region]],Table13[],3,FALSE)</f>
        <v>29.912264999999998</v>
      </c>
      <c r="AO28">
        <f>VLOOKUP(all_lmics[[worldbank_region]:[worldbank_region]],Table13[],4,FALSE)</f>
        <v>77.641124999999988</v>
      </c>
      <c r="AP28">
        <f>VLOOKUP(all_lmics[[worldbank_region]:[worldbank_region]],Table13[],5,FALSE)</f>
        <v>77.641124999999988</v>
      </c>
      <c r="AQ28">
        <f>VLOOKUP(all_lmics[[worldbank_region]:[worldbank_region]],Table13[],6,FALSE)</f>
        <v>77.641124999999988</v>
      </c>
      <c r="AR28">
        <f>VLOOKUP(all_lmics[[worldbank_region]:[worldbank_region]],Table14[],2,FALSE)</f>
        <v>0.96979199999999999</v>
      </c>
      <c r="AS28">
        <f>VLOOKUP(all_lmics[[worldbank_region]:[worldbank_region]],Table14[],3,FALSE)</f>
        <v>1.5872920000000001</v>
      </c>
      <c r="AT28">
        <f>VLOOKUP(all_lmics[[worldbank_region]:[worldbank_region]],Table14[],4,FALSE)</f>
        <v>5.7971629999999994</v>
      </c>
      <c r="AU28">
        <f>VLOOKUP(all_lmics[[worldbank_region]:[worldbank_region]],Table14[],5,FALSE)</f>
        <v>6.4146629999999991</v>
      </c>
      <c r="AV28">
        <f>VLOOKUP(all_lmics[[worldbank_region]:[worldbank_region]],Table14[],6,FALSE)</f>
        <v>6.9849149999999991</v>
      </c>
      <c r="AW28">
        <f>IFERROR(VLOOKUP(all_lmics[[Setting]:[Setting]],nFacSBA[],4,FALSE),0)</f>
        <v>0</v>
      </c>
      <c r="AX28">
        <f>VLOOKUP(all_lmics[[worldbank_region]:[worldbank_region]],hbe[],2)</f>
        <v>0.3</v>
      </c>
      <c r="AY28">
        <f>VLOOKUP(all_lmics[[worldbank_region]:[worldbank_region]],hbe[],5)</f>
        <v>0.875</v>
      </c>
      <c r="AZ28">
        <f>VLOOKUP(all_lmics[[worldbank_region]:[worldbank_region]],hbe[],8)</f>
        <v>0.15</v>
      </c>
    </row>
    <row r="29" spans="1:52" x14ac:dyDescent="0.35">
      <c r="A29" s="12" t="s">
        <v>54</v>
      </c>
      <c r="B29" s="13" t="s">
        <v>49</v>
      </c>
      <c r="C29" s="13" t="s">
        <v>13</v>
      </c>
      <c r="D29" s="14" t="s">
        <v>15</v>
      </c>
      <c r="E29">
        <f>VLOOKUP(all_lmics[[Setting]:[Setting]],populations[],9,FALSE)</f>
        <v>10864245</v>
      </c>
      <c r="F29">
        <f>VLOOKUP(all_lmics[[Setting]:[Setting]],birthrate[],3,FALSE)</f>
        <v>4.2248000000000001E-2</v>
      </c>
      <c r="G29">
        <f>all_lmics[[#This Row],[2017_population]]*all_lmics[[#This Row],[2016_birthrate]]</f>
        <v>458992.62276</v>
      </c>
      <c r="H29">
        <f>VLOOKUP(all_lmics[[Setting]:[Setting]],birthdose[],4,FALSE)</f>
        <v>0</v>
      </c>
      <c r="I29">
        <f>VLOOKUP(all_lmics[[Setting]:[Setting]],fullvax[],4,FALSE)</f>
        <v>0.91</v>
      </c>
      <c r="J29">
        <f>IFERROR(VLOOKUP(all_lmics[[Setting]:[Setting]],prev[],3,FALSE),0)</f>
        <v>2.8000000000000001E-2</v>
      </c>
      <c r="K29">
        <f>IFERROR(VLOOKUP(all_lmics[[Setting]:[Setting]],prev[],4,FALSE),0)</f>
        <v>2.5999999999999999E-2</v>
      </c>
      <c r="L29">
        <f>IFERROR(VLOOKUP(all_lmics[[Setting]:[Setting]],prev[],5,FALSE),0)</f>
        <v>3.3000000000000002E-2</v>
      </c>
      <c r="M29">
        <f>IFERROR(VLOOKUP(all_lmics[[Setting]:[Setting]],prev[],7,FALSE),0)</f>
        <v>2.551020408163266E-3</v>
      </c>
      <c r="N29">
        <f>IFERROR(VLOOKUP(all_lmics[[Setting]:[Setting]],prev[],6,FALSE),0)</f>
        <v>10864245</v>
      </c>
      <c r="O29">
        <f>IFERROR(VLOOKUP(all_lmics[[Setting]:[Setting]],SBA[],4,FALSE),0)</f>
        <v>0.85099999999999998</v>
      </c>
      <c r="P29">
        <f>IFERROR(VLOOKUP(all_lmics[[Setting]:[Setting]], facility[], 3,FALSE),0)</f>
        <v>0.83900000000000008</v>
      </c>
      <c r="Q29">
        <f>IFERROR(VLOOKUP(all_lmics[[Setting]:[Setting]],all_cause_mort[],4,FALSE),0)</f>
        <v>4.4002563000000001E-2</v>
      </c>
      <c r="R29">
        <f>IFERROR(VLOOKUP(all_lmics[[Setting]:[Setting]],all_cause_mort[],5,FALSE),0)</f>
        <v>5.3087176000000003E-3</v>
      </c>
      <c r="S29">
        <f>IFERROR(VLOOKUP(all_lmics[[Setting]:[Setting]],all_cause_mort[],6,FALSE),0)</f>
        <v>4.0470102000000003E-3</v>
      </c>
      <c r="T29">
        <f>IFERROR(VLOOKUP(all_lmics[[Setting]:[Setting]],all_cause_mort[],7,FALSE),0)</f>
        <v>2.5153480000000001E-3</v>
      </c>
      <c r="U29">
        <f>IFERROR(VLOOKUP(all_lmics[[Setting]:[Setting]],all_cause_mort[],8,FALSE),0)</f>
        <v>2.9648805000000002E-3</v>
      </c>
      <c r="V29">
        <f>IFERROR(VLOOKUP(all_lmics[[Setting]:[Setting]],all_cause_mort[],9,FALSE),0)</f>
        <v>3.8812193000000001E-3</v>
      </c>
      <c r="W29">
        <f>IFERROR(VLOOKUP(all_lmics[[Setting]:[Setting]],all_cause_mort[],10,FALSE),0)</f>
        <v>4.6557055000000002E-3</v>
      </c>
      <c r="X29">
        <f>IFERROR(VLOOKUP(all_lmics[[Setting]:[Setting]],all_cause_mort[],11,FALSE),0)</f>
        <v>5.7472584999999996E-3</v>
      </c>
      <c r="Y29">
        <f>IFERROR(VLOOKUP(all_lmics[[Setting]:[Setting]],all_cause_mort[],12,FALSE),0)</f>
        <v>7.2310190999999996E-3</v>
      </c>
      <c r="Z29">
        <f>IFERROR(VLOOKUP(all_lmics[[Setting]:[Setting]],all_cause_mort[],13,FALSE),0)</f>
        <v>8.0515967000000001E-3</v>
      </c>
      <c r="AA29">
        <f>IFERROR(VLOOKUP(all_lmics[[Setting]:[Setting]],all_cause_mort[],14,FALSE),0)</f>
        <v>8.7783598999999993E-3</v>
      </c>
      <c r="AB29">
        <f>IFERROR(VLOOKUP(all_lmics[[Setting]:[Setting]],all_cause_mort[],15,FALSE),0)</f>
        <v>1.1128275E-2</v>
      </c>
      <c r="AC29">
        <f>IFERROR(VLOOKUP(all_lmics[[Setting]:[Setting]],all_cause_mort[],16,FALSE),0)</f>
        <v>1.4698086000000001E-2</v>
      </c>
      <c r="AD29">
        <f>IFERROR(VLOOKUP(all_lmics[[Setting]:[Setting]],all_cause_mort[],17,FALSE),0)</f>
        <v>2.2093853E-2</v>
      </c>
      <c r="AE29">
        <f>IFERROR(VLOOKUP(all_lmics[[Setting]:[Setting]],all_cause_mort[],18,FALSE),0)</f>
        <v>3.4283919000000003E-2</v>
      </c>
      <c r="AF29">
        <f>IFERROR(VLOOKUP(all_lmics[[Setting]:[Setting]],all_cause_mort[],19,FALSE),0)</f>
        <v>5.4538338999999998E-2</v>
      </c>
      <c r="AG29">
        <f>IFERROR(VLOOKUP(all_lmics[[Setting]:[Setting]],all_cause_mort[],20,FALSE),0)</f>
        <v>8.6333403000000003E-2</v>
      </c>
      <c r="AH29">
        <f>IFERROR(VLOOKUP(all_lmics[[Setting]:[Setting]],all_cause_mort[],21,FALSE),0)</f>
        <v>0.13705558000000001</v>
      </c>
      <c r="AI29">
        <f>IFERROR(VLOOKUP(all_lmics[[Setting]:[Setting]],all_cause_mort[],22,FALSE),0)</f>
        <v>0.20986234000000001</v>
      </c>
      <c r="AJ29">
        <f>IFERROR(VLOOKUP(all_lmics[[Setting]:[Setting]],all_cause_mort[],23,FALSE),0)</f>
        <v>0.30324363999999998</v>
      </c>
      <c r="AK29">
        <f>IFERROR(VLOOKUP(all_lmics[[Setting]:[Setting]],all_cause_mort[],24,FALSE),0)</f>
        <v>0.41067430999999999</v>
      </c>
      <c r="AL29">
        <f>IFERROR(VLOOKUP(all_lmics[[Setting]:[Setting]],all_cause_mort[],25,FALSE),0)</f>
        <v>0.54752398702587202</v>
      </c>
      <c r="AM29">
        <f>VLOOKUP(all_lmics[[worldbank_region]:[worldbank_region]],Table13[],2,FALSE)</f>
        <v>29.912264999999998</v>
      </c>
      <c r="AN29">
        <f>VLOOKUP(all_lmics[[worldbank_region]:[worldbank_region]],Table13[],3,FALSE)</f>
        <v>29.912264999999998</v>
      </c>
      <c r="AO29">
        <f>VLOOKUP(all_lmics[[worldbank_region]:[worldbank_region]],Table13[],4,FALSE)</f>
        <v>77.641124999999988</v>
      </c>
      <c r="AP29">
        <f>VLOOKUP(all_lmics[[worldbank_region]:[worldbank_region]],Table13[],5,FALSE)</f>
        <v>77.641124999999988</v>
      </c>
      <c r="AQ29">
        <f>VLOOKUP(all_lmics[[worldbank_region]:[worldbank_region]],Table13[],6,FALSE)</f>
        <v>77.641124999999988</v>
      </c>
      <c r="AR29">
        <f>VLOOKUP(all_lmics[[worldbank_region]:[worldbank_region]],Table14[],2,FALSE)</f>
        <v>0.96979199999999999</v>
      </c>
      <c r="AS29">
        <f>VLOOKUP(all_lmics[[worldbank_region]:[worldbank_region]],Table14[],3,FALSE)</f>
        <v>1.5872920000000001</v>
      </c>
      <c r="AT29">
        <f>VLOOKUP(all_lmics[[worldbank_region]:[worldbank_region]],Table14[],4,FALSE)</f>
        <v>5.7971629999999994</v>
      </c>
      <c r="AU29">
        <f>VLOOKUP(all_lmics[[worldbank_region]:[worldbank_region]],Table14[],5,FALSE)</f>
        <v>6.4146629999999991</v>
      </c>
      <c r="AV29">
        <f>VLOOKUP(all_lmics[[worldbank_region]:[worldbank_region]],Table14[],6,FALSE)</f>
        <v>6.9849149999999991</v>
      </c>
      <c r="AW29">
        <f>IFERROR(VLOOKUP(all_lmics[[Setting]:[Setting]],nFacSBA[],4,FALSE),0)</f>
        <v>2.5211379670863312E-2</v>
      </c>
      <c r="AX29">
        <f>VLOOKUP(all_lmics[[worldbank_region]:[worldbank_region]],hbe[],2)</f>
        <v>0.3</v>
      </c>
      <c r="AY29">
        <f>VLOOKUP(all_lmics[[worldbank_region]:[worldbank_region]],hbe[],5)</f>
        <v>0.875</v>
      </c>
      <c r="AZ29">
        <f>VLOOKUP(all_lmics[[worldbank_region]:[worldbank_region]],hbe[],8)</f>
        <v>0.15</v>
      </c>
    </row>
    <row r="30" spans="1:52" x14ac:dyDescent="0.35">
      <c r="A30" s="8" t="s">
        <v>62</v>
      </c>
      <c r="B30" s="10" t="s">
        <v>49</v>
      </c>
      <c r="C30" s="10" t="s">
        <v>13</v>
      </c>
      <c r="D30" s="11" t="s">
        <v>15</v>
      </c>
      <c r="E30">
        <f>VLOOKUP(all_lmics[[Setting]:[Setting]],populations[],9,FALSE)</f>
        <v>4659080</v>
      </c>
      <c r="F30">
        <f>VLOOKUP(all_lmics[[Setting]:[Setting]],birthrate[],3,FALSE)</f>
        <v>3.5700000000000003E-2</v>
      </c>
      <c r="G30">
        <f>all_lmics[[#This Row],[2017_population]]*all_lmics[[#This Row],[2016_birthrate]]</f>
        <v>166329.15600000002</v>
      </c>
      <c r="H30">
        <f>VLOOKUP(all_lmics[[Setting]:[Setting]],birthdose[],4,FALSE)</f>
        <v>0</v>
      </c>
      <c r="I30">
        <f>VLOOKUP(all_lmics[[Setting]:[Setting]],fullvax[],4,FALSE)</f>
        <v>0.47</v>
      </c>
      <c r="J30">
        <f>IFERROR(VLOOKUP(all_lmics[[Setting]:[Setting]],prev[],3,FALSE),0)</f>
        <v>0.121</v>
      </c>
      <c r="K30">
        <f>IFERROR(VLOOKUP(all_lmics[[Setting]:[Setting]],prev[],4,FALSE),0)</f>
        <v>0.11</v>
      </c>
      <c r="L30">
        <f>IFERROR(VLOOKUP(all_lmics[[Setting]:[Setting]],prev[],5,FALSE),0)</f>
        <v>0.13500000000000001</v>
      </c>
      <c r="M30">
        <f>IFERROR(VLOOKUP(all_lmics[[Setting]:[Setting]],prev[],7,FALSE),0)</f>
        <v>7.1428571428571496E-3</v>
      </c>
      <c r="N30">
        <f>IFERROR(VLOOKUP(all_lmics[[Setting]:[Setting]],prev[],6,FALSE),0)</f>
        <v>4659080</v>
      </c>
      <c r="O30">
        <f>IFERROR(VLOOKUP(all_lmics[[Setting]:[Setting]],SBA[],4,FALSE),0)</f>
        <v>0.4</v>
      </c>
      <c r="P30">
        <f>IFERROR(VLOOKUP(all_lmics[[Setting]:[Setting]], facility[], 3,FALSE),0)</f>
        <v>0.52500000000000002</v>
      </c>
      <c r="Q30">
        <f>IFERROR(VLOOKUP(all_lmics[[Setting]:[Setting]],all_cause_mort[],4,FALSE),0)</f>
        <v>8.7004168000000007E-2</v>
      </c>
      <c r="R30">
        <f>IFERROR(VLOOKUP(all_lmics[[Setting]:[Setting]],all_cause_mort[],5,FALSE),0)</f>
        <v>1.1195604E-2</v>
      </c>
      <c r="S30">
        <f>IFERROR(VLOOKUP(all_lmics[[Setting]:[Setting]],all_cause_mort[],6,FALSE),0)</f>
        <v>3.2221620000000002E-3</v>
      </c>
      <c r="T30">
        <f>IFERROR(VLOOKUP(all_lmics[[Setting]:[Setting]],all_cause_mort[],7,FALSE),0)</f>
        <v>2.3010999999999999E-3</v>
      </c>
      <c r="U30">
        <f>IFERROR(VLOOKUP(all_lmics[[Setting]:[Setting]],all_cause_mort[],8,FALSE),0)</f>
        <v>3.3202861E-3</v>
      </c>
      <c r="V30">
        <f>IFERROR(VLOOKUP(all_lmics[[Setting]:[Setting]],all_cause_mort[],9,FALSE),0)</f>
        <v>5.0793015000000002E-3</v>
      </c>
      <c r="W30">
        <f>IFERROR(VLOOKUP(all_lmics[[Setting]:[Setting]],all_cause_mort[],10,FALSE),0)</f>
        <v>6.9574537000000004E-3</v>
      </c>
      <c r="X30">
        <f>IFERROR(VLOOKUP(all_lmics[[Setting]:[Setting]],all_cause_mort[],11,FALSE),0)</f>
        <v>8.8594712999999995E-3</v>
      </c>
      <c r="Y30">
        <f>IFERROR(VLOOKUP(all_lmics[[Setting]:[Setting]],all_cause_mort[],12,FALSE),0)</f>
        <v>1.1369631999999999E-2</v>
      </c>
      <c r="Z30">
        <f>IFERROR(VLOOKUP(all_lmics[[Setting]:[Setting]],all_cause_mort[],13,FALSE),0)</f>
        <v>1.3362771000000001E-2</v>
      </c>
      <c r="AA30">
        <f>IFERROR(VLOOKUP(all_lmics[[Setting]:[Setting]],all_cause_mort[],14,FALSE),0)</f>
        <v>1.555637E-2</v>
      </c>
      <c r="AB30">
        <f>IFERROR(VLOOKUP(all_lmics[[Setting]:[Setting]],all_cause_mort[],15,FALSE),0)</f>
        <v>1.9153309E-2</v>
      </c>
      <c r="AC30">
        <f>IFERROR(VLOOKUP(all_lmics[[Setting]:[Setting]],all_cause_mort[],16,FALSE),0)</f>
        <v>2.3582585999999999E-2</v>
      </c>
      <c r="AD30">
        <f>IFERROR(VLOOKUP(all_lmics[[Setting]:[Setting]],all_cause_mort[],17,FALSE),0)</f>
        <v>3.2107477000000002E-2</v>
      </c>
      <c r="AE30">
        <f>IFERROR(VLOOKUP(all_lmics[[Setting]:[Setting]],all_cause_mort[],18,FALSE),0)</f>
        <v>4.6187907E-2</v>
      </c>
      <c r="AF30">
        <f>IFERROR(VLOOKUP(all_lmics[[Setting]:[Setting]],all_cause_mort[],19,FALSE),0)</f>
        <v>6.9666721000000001E-2</v>
      </c>
      <c r="AG30">
        <f>IFERROR(VLOOKUP(all_lmics[[Setting]:[Setting]],all_cause_mort[],20,FALSE),0)</f>
        <v>0.10685268000000001</v>
      </c>
      <c r="AH30">
        <f>IFERROR(VLOOKUP(all_lmics[[Setting]:[Setting]],all_cause_mort[],21,FALSE),0)</f>
        <v>0.17202190000000001</v>
      </c>
      <c r="AI30">
        <f>IFERROR(VLOOKUP(all_lmics[[Setting]:[Setting]],all_cause_mort[],22,FALSE),0)</f>
        <v>0.27642119999999998</v>
      </c>
      <c r="AJ30">
        <f>IFERROR(VLOOKUP(all_lmics[[Setting]:[Setting]],all_cause_mort[],23,FALSE),0)</f>
        <v>0.42791174999999998</v>
      </c>
      <c r="AK30">
        <f>IFERROR(VLOOKUP(all_lmics[[Setting]:[Setting]],all_cause_mort[],24,FALSE),0)</f>
        <v>0.57533449999999997</v>
      </c>
      <c r="AL30">
        <f>IFERROR(VLOOKUP(all_lmics[[Setting]:[Setting]],all_cause_mort[],25,FALSE),0)</f>
        <v>0.71848113088929999</v>
      </c>
      <c r="AM30">
        <f>VLOOKUP(all_lmics[[worldbank_region]:[worldbank_region]],Table13[],2,FALSE)</f>
        <v>29.912264999999998</v>
      </c>
      <c r="AN30">
        <f>VLOOKUP(all_lmics[[worldbank_region]:[worldbank_region]],Table13[],3,FALSE)</f>
        <v>29.912264999999998</v>
      </c>
      <c r="AO30">
        <f>VLOOKUP(all_lmics[[worldbank_region]:[worldbank_region]],Table13[],4,FALSE)</f>
        <v>77.641124999999988</v>
      </c>
      <c r="AP30">
        <f>VLOOKUP(all_lmics[[worldbank_region]:[worldbank_region]],Table13[],5,FALSE)</f>
        <v>77.641124999999988</v>
      </c>
      <c r="AQ30">
        <f>VLOOKUP(all_lmics[[worldbank_region]:[worldbank_region]],Table13[],6,FALSE)</f>
        <v>77.641124999999988</v>
      </c>
      <c r="AR30">
        <f>VLOOKUP(all_lmics[[worldbank_region]:[worldbank_region]],Table14[],2,FALSE)</f>
        <v>0.96979199999999999</v>
      </c>
      <c r="AS30">
        <f>VLOOKUP(all_lmics[[worldbank_region]:[worldbank_region]],Table14[],3,FALSE)</f>
        <v>1.5872920000000001</v>
      </c>
      <c r="AT30">
        <f>VLOOKUP(all_lmics[[worldbank_region]:[worldbank_region]],Table14[],4,FALSE)</f>
        <v>5.7971629999999994</v>
      </c>
      <c r="AU30">
        <f>VLOOKUP(all_lmics[[worldbank_region]:[worldbank_region]],Table14[],5,FALSE)</f>
        <v>6.4146629999999991</v>
      </c>
      <c r="AV30">
        <f>VLOOKUP(all_lmics[[worldbank_region]:[worldbank_region]],Table14[],6,FALSE)</f>
        <v>6.9849149999999991</v>
      </c>
      <c r="AW30">
        <f>IFERROR(VLOOKUP(all_lmics[[Setting]:[Setting]],nFacSBA[],4,FALSE),0)</f>
        <v>0.14217277909420412</v>
      </c>
      <c r="AX30">
        <f>VLOOKUP(all_lmics[[worldbank_region]:[worldbank_region]],hbe[],2)</f>
        <v>0.3</v>
      </c>
      <c r="AY30">
        <f>VLOOKUP(all_lmics[[worldbank_region]:[worldbank_region]],hbe[],5)</f>
        <v>0.875</v>
      </c>
      <c r="AZ30">
        <f>VLOOKUP(all_lmics[[worldbank_region]:[worldbank_region]],hbe[],8)</f>
        <v>0.15</v>
      </c>
    </row>
    <row r="31" spans="1:52" x14ac:dyDescent="0.35">
      <c r="A31" s="8" t="s">
        <v>68</v>
      </c>
      <c r="B31" s="10" t="s">
        <v>49</v>
      </c>
      <c r="C31" s="10" t="s">
        <v>13</v>
      </c>
      <c r="D31" s="11" t="s">
        <v>15</v>
      </c>
      <c r="E31">
        <f>VLOOKUP(all_lmics[[Setting]:[Setting]],populations[],9,FALSE)</f>
        <v>5260750</v>
      </c>
      <c r="F31">
        <f>VLOOKUP(all_lmics[[Setting]:[Setting]],birthrate[],3,FALSE)</f>
        <v>3.4629E-2</v>
      </c>
      <c r="G31">
        <f>all_lmics[[#This Row],[2017_population]]*all_lmics[[#This Row],[2016_birthrate]]</f>
        <v>182174.51175000001</v>
      </c>
      <c r="H31">
        <f>VLOOKUP(all_lmics[[Setting]:[Setting]],birthdose[],4,FALSE)</f>
        <v>0</v>
      </c>
      <c r="I31">
        <f>VLOOKUP(all_lmics[[Setting]:[Setting]],fullvax[],4,FALSE)</f>
        <v>0.69</v>
      </c>
      <c r="J31">
        <f>IFERROR(VLOOKUP(all_lmics[[Setting]:[Setting]],prev[],3,FALSE),0)</f>
        <v>0.1095</v>
      </c>
      <c r="K31">
        <f>IFERROR(VLOOKUP(all_lmics[[Setting]:[Setting]],prev[],4,FALSE),0)</f>
        <v>9.7500000000000003E-2</v>
      </c>
      <c r="L31">
        <f>IFERROR(VLOOKUP(all_lmics[[Setting]:[Setting]],prev[],5,FALSE),0)</f>
        <v>0.1229</v>
      </c>
      <c r="M31">
        <f>IFERROR(VLOOKUP(all_lmics[[Setting]:[Setting]],prev[],7,FALSE),0)</f>
        <v>6.8367346938775489E-3</v>
      </c>
      <c r="N31">
        <f>IFERROR(VLOOKUP(all_lmics[[Setting]:[Setting]],prev[],6,FALSE),0)</f>
        <v>4386693</v>
      </c>
      <c r="O31">
        <f>IFERROR(VLOOKUP(all_lmics[[Setting]:[Setting]],SBA[],4,FALSE),0)</f>
        <v>0.91200000000000003</v>
      </c>
      <c r="P31">
        <f>IFERROR(VLOOKUP(all_lmics[[Setting]:[Setting]], facility[], 3,FALSE),0)</f>
        <v>0.91500000000000004</v>
      </c>
      <c r="Q31">
        <f>IFERROR(VLOOKUP(all_lmics[[Setting]:[Setting]],all_cause_mort[],4,FALSE),0)</f>
        <v>3.6400307999999999E-2</v>
      </c>
      <c r="R31">
        <f>IFERROR(VLOOKUP(all_lmics[[Setting]:[Setting]],all_cause_mort[],5,FALSE),0)</f>
        <v>3.1970289000000001E-3</v>
      </c>
      <c r="S31">
        <f>IFERROR(VLOOKUP(all_lmics[[Setting]:[Setting]],all_cause_mort[],6,FALSE),0)</f>
        <v>1.3498167E-3</v>
      </c>
      <c r="T31">
        <f>IFERROR(VLOOKUP(all_lmics[[Setting]:[Setting]],all_cause_mort[],7,FALSE),0)</f>
        <v>9.9636261999999989E-4</v>
      </c>
      <c r="U31">
        <f>IFERROR(VLOOKUP(all_lmics[[Setting]:[Setting]],all_cause_mort[],8,FALSE),0)</f>
        <v>1.6271776E-3</v>
      </c>
      <c r="V31">
        <f>IFERROR(VLOOKUP(all_lmics[[Setting]:[Setting]],all_cause_mort[],9,FALSE),0)</f>
        <v>2.5752536000000002E-3</v>
      </c>
      <c r="W31">
        <f>IFERROR(VLOOKUP(all_lmics[[Setting]:[Setting]],all_cause_mort[],10,FALSE),0)</f>
        <v>3.46861E-3</v>
      </c>
      <c r="X31">
        <f>IFERROR(VLOOKUP(all_lmics[[Setting]:[Setting]],all_cause_mort[],11,FALSE),0)</f>
        <v>4.4201850000000001E-3</v>
      </c>
      <c r="Y31">
        <f>IFERROR(VLOOKUP(all_lmics[[Setting]:[Setting]],all_cause_mort[],12,FALSE),0)</f>
        <v>5.7552265999999998E-3</v>
      </c>
      <c r="Z31">
        <f>IFERROR(VLOOKUP(all_lmics[[Setting]:[Setting]],all_cause_mort[],13,FALSE),0)</f>
        <v>7.1137529E-3</v>
      </c>
      <c r="AA31">
        <f>IFERROR(VLOOKUP(all_lmics[[Setting]:[Setting]],all_cause_mort[],14,FALSE),0)</f>
        <v>8.7795714999999996E-3</v>
      </c>
      <c r="AB31">
        <f>IFERROR(VLOOKUP(all_lmics[[Setting]:[Setting]],all_cause_mort[],15,FALSE),0)</f>
        <v>1.177661E-2</v>
      </c>
      <c r="AC31">
        <f>IFERROR(VLOOKUP(all_lmics[[Setting]:[Setting]],all_cause_mort[],16,FALSE),0)</f>
        <v>1.5364276E-2</v>
      </c>
      <c r="AD31">
        <f>IFERROR(VLOOKUP(all_lmics[[Setting]:[Setting]],all_cause_mort[],17,FALSE),0)</f>
        <v>2.2439132000000001E-2</v>
      </c>
      <c r="AE31">
        <f>IFERROR(VLOOKUP(all_lmics[[Setting]:[Setting]],all_cause_mort[],18,FALSE),0)</f>
        <v>3.4486338999999998E-2</v>
      </c>
      <c r="AF31">
        <f>IFERROR(VLOOKUP(all_lmics[[Setting]:[Setting]],all_cause_mort[],19,FALSE),0)</f>
        <v>5.4999026999999999E-2</v>
      </c>
      <c r="AG31">
        <f>IFERROR(VLOOKUP(all_lmics[[Setting]:[Setting]],all_cause_mort[],20,FALSE),0)</f>
        <v>8.9638259999999997E-2</v>
      </c>
      <c r="AH31">
        <f>IFERROR(VLOOKUP(all_lmics[[Setting]:[Setting]],all_cause_mort[],21,FALSE),0)</f>
        <v>0.15262118</v>
      </c>
      <c r="AI31">
        <f>IFERROR(VLOOKUP(all_lmics[[Setting]:[Setting]],all_cause_mort[],22,FALSE),0)</f>
        <v>0.26018616999999999</v>
      </c>
      <c r="AJ31">
        <f>IFERROR(VLOOKUP(all_lmics[[Setting]:[Setting]],all_cause_mort[],23,FALSE),0)</f>
        <v>0.43492473999999998</v>
      </c>
      <c r="AK31">
        <f>IFERROR(VLOOKUP(all_lmics[[Setting]:[Setting]],all_cause_mort[],24,FALSE),0)</f>
        <v>0.62217226000000003</v>
      </c>
      <c r="AL31">
        <f>IFERROR(VLOOKUP(all_lmics[[Setting]:[Setting]],all_cause_mort[],25,FALSE),0)</f>
        <v>0.81784264396749895</v>
      </c>
      <c r="AM31">
        <f>VLOOKUP(all_lmics[[worldbank_region]:[worldbank_region]],Table13[],2,FALSE)</f>
        <v>29.912264999999998</v>
      </c>
      <c r="AN31">
        <f>VLOOKUP(all_lmics[[worldbank_region]:[worldbank_region]],Table13[],3,FALSE)</f>
        <v>29.912264999999998</v>
      </c>
      <c r="AO31">
        <f>VLOOKUP(all_lmics[[worldbank_region]:[worldbank_region]],Table13[],4,FALSE)</f>
        <v>77.641124999999988</v>
      </c>
      <c r="AP31">
        <f>VLOOKUP(all_lmics[[worldbank_region]:[worldbank_region]],Table13[],5,FALSE)</f>
        <v>77.641124999999988</v>
      </c>
      <c r="AQ31">
        <f>VLOOKUP(all_lmics[[worldbank_region]:[worldbank_region]],Table13[],6,FALSE)</f>
        <v>77.641124999999988</v>
      </c>
      <c r="AR31">
        <f>VLOOKUP(all_lmics[[worldbank_region]:[worldbank_region]],Table14[],2,FALSE)</f>
        <v>0.96979199999999999</v>
      </c>
      <c r="AS31">
        <f>VLOOKUP(all_lmics[[worldbank_region]:[worldbank_region]],Table14[],3,FALSE)</f>
        <v>1.5872920000000001</v>
      </c>
      <c r="AT31">
        <f>VLOOKUP(all_lmics[[worldbank_region]:[worldbank_region]],Table14[],4,FALSE)</f>
        <v>5.7971629999999994</v>
      </c>
      <c r="AU31">
        <f>VLOOKUP(all_lmics[[worldbank_region]:[worldbank_region]],Table14[],5,FALSE)</f>
        <v>6.4146629999999991</v>
      </c>
      <c r="AV31">
        <f>VLOOKUP(all_lmics[[worldbank_region]:[worldbank_region]],Table14[],6,FALSE)</f>
        <v>6.9849149999999991</v>
      </c>
      <c r="AW31">
        <f>IFERROR(VLOOKUP(all_lmics[[Setting]:[Setting]],nFacSBA[],4,FALSE),0)</f>
        <v>0</v>
      </c>
      <c r="AX31">
        <f>VLOOKUP(all_lmics[[worldbank_region]:[worldbank_region]],hbe[],2)</f>
        <v>0.3</v>
      </c>
      <c r="AY31">
        <f>VLOOKUP(all_lmics[[worldbank_region]:[worldbank_region]],hbe[],5)</f>
        <v>0.875</v>
      </c>
      <c r="AZ31">
        <f>VLOOKUP(all_lmics[[worldbank_region]:[worldbank_region]],hbe[],8)</f>
        <v>0.15</v>
      </c>
    </row>
    <row r="32" spans="1:52" x14ac:dyDescent="0.35">
      <c r="A32" s="12" t="s">
        <v>71</v>
      </c>
      <c r="B32" s="13" t="s">
        <v>49</v>
      </c>
      <c r="C32" s="13" t="s">
        <v>13</v>
      </c>
      <c r="D32" s="14" t="s">
        <v>15</v>
      </c>
      <c r="E32">
        <f>VLOOKUP(all_lmics[[Setting]:[Setting]],populations[],9,FALSE)</f>
        <v>24294750</v>
      </c>
      <c r="F32">
        <f>VLOOKUP(all_lmics[[Setting]:[Setting]],birthrate[],3,FALSE)</f>
        <v>3.6832000000000004E-2</v>
      </c>
      <c r="G32">
        <f>all_lmics[[#This Row],[2017_population]]*all_lmics[[#This Row],[2016_birthrate]]</f>
        <v>894824.23200000008</v>
      </c>
      <c r="H32">
        <f>VLOOKUP(all_lmics[[Setting]:[Setting]],birthdose[],4,FALSE)</f>
        <v>0</v>
      </c>
      <c r="I32">
        <f>VLOOKUP(all_lmics[[Setting]:[Setting]],fullvax[],4,FALSE)</f>
        <v>0.84</v>
      </c>
      <c r="J32">
        <f>IFERROR(VLOOKUP(all_lmics[[Setting]:[Setting]],prev[],3,FALSE),0)</f>
        <v>8.8999999999999996E-2</v>
      </c>
      <c r="K32">
        <f>IFERROR(VLOOKUP(all_lmics[[Setting]:[Setting]],prev[],4,FALSE),0)</f>
        <v>5.5E-2</v>
      </c>
      <c r="L32">
        <f>IFERROR(VLOOKUP(all_lmics[[Setting]:[Setting]],prev[],5,FALSE),0)</f>
        <v>9.4E-2</v>
      </c>
      <c r="M32">
        <f>IFERROR(VLOOKUP(all_lmics[[Setting]:[Setting]],prev[],7,FALSE),0)</f>
        <v>2.5510204081632677E-3</v>
      </c>
      <c r="N32">
        <f>IFERROR(VLOOKUP(all_lmics[[Setting]:[Setting]],prev[],6,FALSE),0)</f>
        <v>24294750</v>
      </c>
      <c r="O32">
        <f>IFERROR(VLOOKUP(all_lmics[[Setting]:[Setting]],SBA[],4,FALSE),0)</f>
        <v>0.73699999999999999</v>
      </c>
      <c r="P32">
        <f>IFERROR(VLOOKUP(all_lmics[[Setting]:[Setting]], facility[], 3,FALSE),0)</f>
        <v>0.69799999999999995</v>
      </c>
      <c r="Q32">
        <f>IFERROR(VLOOKUP(all_lmics[[Setting]:[Setting]],all_cause_mort[],4,FALSE),0)</f>
        <v>6.3442469000000001E-2</v>
      </c>
      <c r="R32">
        <f>IFERROR(VLOOKUP(all_lmics[[Setting]:[Setting]],all_cause_mort[],5,FALSE),0)</f>
        <v>7.2161496999999996E-3</v>
      </c>
      <c r="S32">
        <f>IFERROR(VLOOKUP(all_lmics[[Setting]:[Setting]],all_cause_mort[],6,FALSE),0)</f>
        <v>2.6004626000000002E-3</v>
      </c>
      <c r="T32">
        <f>IFERROR(VLOOKUP(all_lmics[[Setting]:[Setting]],all_cause_mort[],7,FALSE),0)</f>
        <v>1.8686052E-3</v>
      </c>
      <c r="U32">
        <f>IFERROR(VLOOKUP(all_lmics[[Setting]:[Setting]],all_cause_mort[],8,FALSE),0)</f>
        <v>2.7896828000000002E-3</v>
      </c>
      <c r="V32">
        <f>IFERROR(VLOOKUP(all_lmics[[Setting]:[Setting]],all_cause_mort[],9,FALSE),0)</f>
        <v>4.138409E-3</v>
      </c>
      <c r="W32">
        <f>IFERROR(VLOOKUP(all_lmics[[Setting]:[Setting]],all_cause_mort[],10,FALSE),0)</f>
        <v>5.2952583000000003E-3</v>
      </c>
      <c r="X32">
        <f>IFERROR(VLOOKUP(all_lmics[[Setting]:[Setting]],all_cause_mort[],11,FALSE),0)</f>
        <v>6.5138143000000003E-3</v>
      </c>
      <c r="Y32">
        <f>IFERROR(VLOOKUP(all_lmics[[Setting]:[Setting]],all_cause_mort[],12,FALSE),0)</f>
        <v>8.1986248999999997E-3</v>
      </c>
      <c r="Z32">
        <f>IFERROR(VLOOKUP(all_lmics[[Setting]:[Setting]],all_cause_mort[],13,FALSE),0)</f>
        <v>9.9879718000000003E-3</v>
      </c>
      <c r="AA32">
        <f>IFERROR(VLOOKUP(all_lmics[[Setting]:[Setting]],all_cause_mort[],14,FALSE),0)</f>
        <v>1.2074784999999999E-2</v>
      </c>
      <c r="AB32">
        <f>IFERROR(VLOOKUP(all_lmics[[Setting]:[Setting]],all_cause_mort[],15,FALSE),0)</f>
        <v>1.5900786E-2</v>
      </c>
      <c r="AC32">
        <f>IFERROR(VLOOKUP(all_lmics[[Setting]:[Setting]],all_cause_mort[],16,FALSE),0)</f>
        <v>2.0506931999999999E-2</v>
      </c>
      <c r="AD32">
        <f>IFERROR(VLOOKUP(all_lmics[[Setting]:[Setting]],all_cause_mort[],17,FALSE),0)</f>
        <v>2.9480809E-2</v>
      </c>
      <c r="AE32">
        <f>IFERROR(VLOOKUP(all_lmics[[Setting]:[Setting]],all_cause_mort[],18,FALSE),0)</f>
        <v>4.4344512000000003E-2</v>
      </c>
      <c r="AF32">
        <f>IFERROR(VLOOKUP(all_lmics[[Setting]:[Setting]],all_cause_mort[],19,FALSE),0)</f>
        <v>6.8991328000000005E-2</v>
      </c>
      <c r="AG32">
        <f>IFERROR(VLOOKUP(all_lmics[[Setting]:[Setting]],all_cause_mort[],20,FALSE),0)</f>
        <v>0.10887131999999999</v>
      </c>
      <c r="AH32">
        <f>IFERROR(VLOOKUP(all_lmics[[Setting]:[Setting]],all_cause_mort[],21,FALSE),0)</f>
        <v>0.17797034</v>
      </c>
      <c r="AI32">
        <f>IFERROR(VLOOKUP(all_lmics[[Setting]:[Setting]],all_cause_mort[],22,FALSE),0)</f>
        <v>0.28991855999999999</v>
      </c>
      <c r="AJ32">
        <f>IFERROR(VLOOKUP(all_lmics[[Setting]:[Setting]],all_cause_mort[],23,FALSE),0)</f>
        <v>0.46328878000000001</v>
      </c>
      <c r="AK32">
        <f>IFERROR(VLOOKUP(all_lmics[[Setting]:[Setting]],all_cause_mort[],24,FALSE),0)</f>
        <v>0.64214249000000001</v>
      </c>
      <c r="AL32">
        <f>IFERROR(VLOOKUP(all_lmics[[Setting]:[Setting]],all_cause_mort[],25,FALSE),0)</f>
        <v>0.82399187478092095</v>
      </c>
      <c r="AM32">
        <f>VLOOKUP(all_lmics[[worldbank_region]:[worldbank_region]],Table13[],2,FALSE)</f>
        <v>29.912264999999998</v>
      </c>
      <c r="AN32">
        <f>VLOOKUP(all_lmics[[worldbank_region]:[worldbank_region]],Table13[],3,FALSE)</f>
        <v>29.912264999999998</v>
      </c>
      <c r="AO32">
        <f>VLOOKUP(all_lmics[[worldbank_region]:[worldbank_region]],Table13[],4,FALSE)</f>
        <v>77.641124999999988</v>
      </c>
      <c r="AP32">
        <f>VLOOKUP(all_lmics[[worldbank_region]:[worldbank_region]],Table13[],5,FALSE)</f>
        <v>77.641124999999988</v>
      </c>
      <c r="AQ32">
        <f>VLOOKUP(all_lmics[[worldbank_region]:[worldbank_region]],Table13[],6,FALSE)</f>
        <v>77.641124999999988</v>
      </c>
      <c r="AR32">
        <f>VLOOKUP(all_lmics[[worldbank_region]:[worldbank_region]],Table14[],2,FALSE)</f>
        <v>0.96979199999999999</v>
      </c>
      <c r="AS32">
        <f>VLOOKUP(all_lmics[[worldbank_region]:[worldbank_region]],Table14[],3,FALSE)</f>
        <v>1.5872920000000001</v>
      </c>
      <c r="AT32">
        <f>VLOOKUP(all_lmics[[worldbank_region]:[worldbank_region]],Table14[],4,FALSE)</f>
        <v>5.7971629999999994</v>
      </c>
      <c r="AU32">
        <f>VLOOKUP(all_lmics[[worldbank_region]:[worldbank_region]],Table14[],5,FALSE)</f>
        <v>6.4146629999999991</v>
      </c>
      <c r="AV32">
        <f>VLOOKUP(all_lmics[[worldbank_region]:[worldbank_region]],Table14[],6,FALSE)</f>
        <v>6.9849149999999991</v>
      </c>
      <c r="AW32">
        <f>IFERROR(VLOOKUP(all_lmics[[Setting]:[Setting]],nFacSBA[],4,FALSE),0)</f>
        <v>7.00986836894711E-2</v>
      </c>
      <c r="AX32">
        <f>VLOOKUP(all_lmics[[worldbank_region]:[worldbank_region]],hbe[],2)</f>
        <v>0.3</v>
      </c>
      <c r="AY32">
        <f>VLOOKUP(all_lmics[[worldbank_region]:[worldbank_region]],hbe[],5)</f>
        <v>0.875</v>
      </c>
      <c r="AZ32">
        <f>VLOOKUP(all_lmics[[worldbank_region]:[worldbank_region]],hbe[],8)</f>
        <v>0.15</v>
      </c>
    </row>
    <row r="33" spans="1:52" x14ac:dyDescent="0.35">
      <c r="A33" s="12" t="s">
        <v>77</v>
      </c>
      <c r="B33" s="13" t="s">
        <v>49</v>
      </c>
      <c r="C33" s="13" t="s">
        <v>13</v>
      </c>
      <c r="D33" s="14" t="s">
        <v>15</v>
      </c>
      <c r="E33">
        <f>VLOOKUP(all_lmics[[Setting]:[Setting]],populations[],9,FALSE)</f>
        <v>81339988</v>
      </c>
      <c r="F33">
        <f>VLOOKUP(all_lmics[[Setting]:[Setting]],birthrate[],3,FALSE)</f>
        <v>4.2279999999999998E-2</v>
      </c>
      <c r="G33">
        <f>all_lmics[[#This Row],[2017_population]]*all_lmics[[#This Row],[2016_birthrate]]</f>
        <v>3439054.69264</v>
      </c>
      <c r="H33">
        <f>VLOOKUP(all_lmics[[Setting]:[Setting]],birthdose[],4,FALSE)</f>
        <v>0</v>
      </c>
      <c r="I33">
        <f>VLOOKUP(all_lmics[[Setting]:[Setting]],fullvax[],4,FALSE)</f>
        <v>0.81</v>
      </c>
      <c r="J33">
        <f>IFERROR(VLOOKUP(all_lmics[[Setting]:[Setting]],prev[],3,FALSE),0)</f>
        <v>5.9900000000000002E-2</v>
      </c>
      <c r="K33">
        <f>IFERROR(VLOOKUP(all_lmics[[Setting]:[Setting]],prev[],4,FALSE),0)</f>
        <v>5.6800000000000003E-2</v>
      </c>
      <c r="L33">
        <f>IFERROR(VLOOKUP(all_lmics[[Setting]:[Setting]],prev[],5,FALSE),0)</f>
        <v>6.3100000000000003E-2</v>
      </c>
      <c r="M33">
        <f>IFERROR(VLOOKUP(all_lmics[[Setting]:[Setting]],prev[],7,FALSE),0)</f>
        <v>1.6326530612244905E-3</v>
      </c>
      <c r="N33">
        <f>IFERROR(VLOOKUP(all_lmics[[Setting]:[Setting]],prev[],6,FALSE),0)</f>
        <v>64523263</v>
      </c>
      <c r="O33">
        <f>IFERROR(VLOOKUP(all_lmics[[Setting]:[Setting]],SBA[],4,FALSE),0)</f>
        <v>0.80099999999999993</v>
      </c>
      <c r="P33">
        <f>IFERROR(VLOOKUP(all_lmics[[Setting]:[Setting]], facility[], 3,FALSE),0)</f>
        <v>0.79900000000000004</v>
      </c>
      <c r="Q33">
        <f>IFERROR(VLOOKUP(all_lmics[[Setting]:[Setting]],all_cause_mort[],4,FALSE),0)</f>
        <v>6.8320449000000005E-2</v>
      </c>
      <c r="R33">
        <f>IFERROR(VLOOKUP(all_lmics[[Setting]:[Setting]],all_cause_mort[],5,FALSE),0)</f>
        <v>9.7251074000000003E-3</v>
      </c>
      <c r="S33">
        <f>IFERROR(VLOOKUP(all_lmics[[Setting]:[Setting]],all_cause_mort[],6,FALSE),0)</f>
        <v>3.4749449000000001E-3</v>
      </c>
      <c r="T33">
        <f>IFERROR(VLOOKUP(all_lmics[[Setting]:[Setting]],all_cause_mort[],7,FALSE),0)</f>
        <v>2.043666E-3</v>
      </c>
      <c r="U33">
        <f>IFERROR(VLOOKUP(all_lmics[[Setting]:[Setting]],all_cause_mort[],8,FALSE),0)</f>
        <v>2.7375091E-3</v>
      </c>
      <c r="V33">
        <f>IFERROR(VLOOKUP(all_lmics[[Setting]:[Setting]],all_cause_mort[],9,FALSE),0)</f>
        <v>3.6964098000000002E-3</v>
      </c>
      <c r="W33">
        <f>IFERROR(VLOOKUP(all_lmics[[Setting]:[Setting]],all_cause_mort[],10,FALSE),0)</f>
        <v>4.0533690000000002E-3</v>
      </c>
      <c r="X33">
        <f>IFERROR(VLOOKUP(all_lmics[[Setting]:[Setting]],all_cause_mort[],11,FALSE),0)</f>
        <v>4.4548219000000002E-3</v>
      </c>
      <c r="Y33">
        <f>IFERROR(VLOOKUP(all_lmics[[Setting]:[Setting]],all_cause_mort[],12,FALSE),0)</f>
        <v>5.0503446999999998E-3</v>
      </c>
      <c r="Z33">
        <f>IFERROR(VLOOKUP(all_lmics[[Setting]:[Setting]],all_cause_mort[],13,FALSE),0)</f>
        <v>6.2074021000000004E-3</v>
      </c>
      <c r="AA33">
        <f>IFERROR(VLOOKUP(all_lmics[[Setting]:[Setting]],all_cause_mort[],14,FALSE),0)</f>
        <v>7.4931245E-3</v>
      </c>
      <c r="AB33">
        <f>IFERROR(VLOOKUP(all_lmics[[Setting]:[Setting]],all_cause_mort[],15,FALSE),0)</f>
        <v>1.0391025E-2</v>
      </c>
      <c r="AC33">
        <f>IFERROR(VLOOKUP(all_lmics[[Setting]:[Setting]],all_cause_mort[],16,FALSE),0)</f>
        <v>1.3885656E-2</v>
      </c>
      <c r="AD33">
        <f>IFERROR(VLOOKUP(all_lmics[[Setting]:[Setting]],all_cause_mort[],17,FALSE),0)</f>
        <v>2.1032017E-2</v>
      </c>
      <c r="AE33">
        <f>IFERROR(VLOOKUP(all_lmics[[Setting]:[Setting]],all_cause_mort[],18,FALSE),0)</f>
        <v>3.2741099000000003E-2</v>
      </c>
      <c r="AF33">
        <f>IFERROR(VLOOKUP(all_lmics[[Setting]:[Setting]],all_cause_mort[],19,FALSE),0)</f>
        <v>5.2194549E-2</v>
      </c>
      <c r="AG33">
        <f>IFERROR(VLOOKUP(all_lmics[[Setting]:[Setting]],all_cause_mort[],20,FALSE),0)</f>
        <v>8.3117816999999997E-2</v>
      </c>
      <c r="AH33">
        <f>IFERROR(VLOOKUP(all_lmics[[Setting]:[Setting]],all_cause_mort[],21,FALSE),0)</f>
        <v>0.13251761000000001</v>
      </c>
      <c r="AI33">
        <f>IFERROR(VLOOKUP(all_lmics[[Setting]:[Setting]],all_cause_mort[],22,FALSE),0)</f>
        <v>0.20422654000000001</v>
      </c>
      <c r="AJ33">
        <f>IFERROR(VLOOKUP(all_lmics[[Setting]:[Setting]],all_cause_mort[],23,FALSE),0)</f>
        <v>0.29716970999999998</v>
      </c>
      <c r="AK33">
        <f>IFERROR(VLOOKUP(all_lmics[[Setting]:[Setting]],all_cause_mort[],24,FALSE),0)</f>
        <v>0.41198641000000003</v>
      </c>
      <c r="AL33">
        <f>IFERROR(VLOOKUP(all_lmics[[Setting]:[Setting]],all_cause_mort[],25,FALSE),0)</f>
        <v>0.54104862907204698</v>
      </c>
      <c r="AM33">
        <f>VLOOKUP(all_lmics[[worldbank_region]:[worldbank_region]],Table13[],2,FALSE)</f>
        <v>29.912264999999998</v>
      </c>
      <c r="AN33">
        <f>VLOOKUP(all_lmics[[worldbank_region]:[worldbank_region]],Table13[],3,FALSE)</f>
        <v>29.912264999999998</v>
      </c>
      <c r="AO33">
        <f>VLOOKUP(all_lmics[[worldbank_region]:[worldbank_region]],Table13[],4,FALSE)</f>
        <v>77.641124999999988</v>
      </c>
      <c r="AP33">
        <f>VLOOKUP(all_lmics[[worldbank_region]:[worldbank_region]],Table13[],5,FALSE)</f>
        <v>77.641124999999988</v>
      </c>
      <c r="AQ33">
        <f>VLOOKUP(all_lmics[[worldbank_region]:[worldbank_region]],Table13[],6,FALSE)</f>
        <v>77.641124999999988</v>
      </c>
      <c r="AR33">
        <f>VLOOKUP(all_lmics[[worldbank_region]:[worldbank_region]],Table14[],2,FALSE)</f>
        <v>0.96979199999999999</v>
      </c>
      <c r="AS33">
        <f>VLOOKUP(all_lmics[[worldbank_region]:[worldbank_region]],Table14[],3,FALSE)</f>
        <v>1.5872920000000001</v>
      </c>
      <c r="AT33">
        <f>VLOOKUP(all_lmics[[worldbank_region]:[worldbank_region]],Table14[],4,FALSE)</f>
        <v>5.7971629999999994</v>
      </c>
      <c r="AU33">
        <f>VLOOKUP(all_lmics[[worldbank_region]:[worldbank_region]],Table14[],5,FALSE)</f>
        <v>6.4146629999999991</v>
      </c>
      <c r="AV33">
        <f>VLOOKUP(all_lmics[[worldbank_region]:[worldbank_region]],Table14[],6,FALSE)</f>
        <v>6.9849149999999991</v>
      </c>
      <c r="AW33">
        <f>IFERROR(VLOOKUP(all_lmics[[Setting]:[Setting]],nFacSBA[],4,FALSE),0)</f>
        <v>0.11640652785226148</v>
      </c>
      <c r="AX33">
        <f>VLOOKUP(all_lmics[[worldbank_region]:[worldbank_region]],hbe[],2)</f>
        <v>0.3</v>
      </c>
      <c r="AY33">
        <f>VLOOKUP(all_lmics[[worldbank_region]:[worldbank_region]],hbe[],5)</f>
        <v>0.875</v>
      </c>
      <c r="AZ33">
        <f>VLOOKUP(all_lmics[[worldbank_region]:[worldbank_region]],hbe[],8)</f>
        <v>0.15</v>
      </c>
    </row>
    <row r="34" spans="1:52" x14ac:dyDescent="0.35">
      <c r="A34" s="8" t="s">
        <v>86</v>
      </c>
      <c r="B34" s="10" t="s">
        <v>49</v>
      </c>
      <c r="C34" s="10" t="s">
        <v>13</v>
      </c>
      <c r="D34" s="11" t="s">
        <v>15</v>
      </c>
      <c r="E34">
        <f>VLOOKUP(all_lmics[[Setting]:[Setting]],populations[],9,FALSE)</f>
        <v>5236574</v>
      </c>
      <c r="F34">
        <f>VLOOKUP(all_lmics[[Setting]:[Setting]],birthrate[],3,FALSE)</f>
        <v>3.2199999999999999E-2</v>
      </c>
      <c r="G34">
        <f>all_lmics[[#This Row],[2017_population]]*all_lmics[[#This Row],[2016_birthrate]]</f>
        <v>168617.68280000001</v>
      </c>
      <c r="H34">
        <f>VLOOKUP(all_lmics[[Setting]:[Setting]],birthdose[],4,FALSE)</f>
        <v>0</v>
      </c>
      <c r="I34">
        <f>VLOOKUP(all_lmics[[Setting]:[Setting]],fullvax[],4,FALSE)</f>
        <v>0.95</v>
      </c>
      <c r="J34">
        <f>IFERROR(VLOOKUP(all_lmics[[Setting]:[Setting]],prev[],3,FALSE),0)</f>
        <v>2.4899999999999999E-2</v>
      </c>
      <c r="K34">
        <f>IFERROR(VLOOKUP(all_lmics[[Setting]:[Setting]],prev[],4,FALSE),0)</f>
        <v>2.3199999999999998E-2</v>
      </c>
      <c r="L34">
        <f>IFERROR(VLOOKUP(all_lmics[[Setting]:[Setting]],prev[],5,FALSE),0)</f>
        <v>2.6700000000000002E-2</v>
      </c>
      <c r="M34">
        <f>IFERROR(VLOOKUP(all_lmics[[Setting]:[Setting]],prev[],7,FALSE),0)</f>
        <v>9.1836734693877709E-4</v>
      </c>
      <c r="N34">
        <f>IFERROR(VLOOKUP(all_lmics[[Setting]:[Setting]],prev[],6,FALSE),0)</f>
        <v>4390840</v>
      </c>
      <c r="O34">
        <f>IFERROR(VLOOKUP(all_lmics[[Setting]:[Setting]],SBA[],4,FALSE),0)</f>
        <v>0.34100000000000003</v>
      </c>
      <c r="P34">
        <f>IFERROR(VLOOKUP(all_lmics[[Setting]:[Setting]], facility[], 3,FALSE),0)</f>
        <v>0.33700000000000002</v>
      </c>
      <c r="Q34">
        <f>IFERROR(VLOOKUP(all_lmics[[Setting]:[Setting]],all_cause_mort[],4,FALSE),0)</f>
        <v>3.5786067999999997E-2</v>
      </c>
      <c r="R34">
        <f>IFERROR(VLOOKUP(all_lmics[[Setting]:[Setting]],all_cause_mort[],5,FALSE),0)</f>
        <v>2.4935134999999999E-3</v>
      </c>
      <c r="S34">
        <f>IFERROR(VLOOKUP(all_lmics[[Setting]:[Setting]],all_cause_mort[],6,FALSE),0)</f>
        <v>8.4344849E-4</v>
      </c>
      <c r="T34">
        <f>IFERROR(VLOOKUP(all_lmics[[Setting]:[Setting]],all_cause_mort[],7,FALSE),0)</f>
        <v>6.3725659999999999E-4</v>
      </c>
      <c r="U34">
        <f>IFERROR(VLOOKUP(all_lmics[[Setting]:[Setting]],all_cause_mort[],8,FALSE),0)</f>
        <v>1.2314610999999999E-3</v>
      </c>
      <c r="V34">
        <f>IFERROR(VLOOKUP(all_lmics[[Setting]:[Setting]],all_cause_mort[],9,FALSE),0)</f>
        <v>1.7530927E-3</v>
      </c>
      <c r="W34">
        <f>IFERROR(VLOOKUP(all_lmics[[Setting]:[Setting]],all_cause_mort[],10,FALSE),0)</f>
        <v>2.3219059999999999E-3</v>
      </c>
      <c r="X34">
        <f>IFERROR(VLOOKUP(all_lmics[[Setting]:[Setting]],all_cause_mort[],11,FALSE),0)</f>
        <v>3.1161921999999999E-3</v>
      </c>
      <c r="Y34">
        <f>IFERROR(VLOOKUP(all_lmics[[Setting]:[Setting]],all_cause_mort[],12,FALSE),0)</f>
        <v>4.0532581000000002E-3</v>
      </c>
      <c r="Z34">
        <f>IFERROR(VLOOKUP(all_lmics[[Setting]:[Setting]],all_cause_mort[],13,FALSE),0)</f>
        <v>5.8848212999999998E-3</v>
      </c>
      <c r="AA34">
        <f>IFERROR(VLOOKUP(all_lmics[[Setting]:[Setting]],all_cause_mort[],14,FALSE),0)</f>
        <v>8.0000109E-3</v>
      </c>
      <c r="AB34">
        <f>IFERROR(VLOOKUP(all_lmics[[Setting]:[Setting]],all_cause_mort[],15,FALSE),0)</f>
        <v>1.1928315E-2</v>
      </c>
      <c r="AC34">
        <f>IFERROR(VLOOKUP(all_lmics[[Setting]:[Setting]],all_cause_mort[],16,FALSE),0)</f>
        <v>1.7520002E-2</v>
      </c>
      <c r="AD34">
        <f>IFERROR(VLOOKUP(all_lmics[[Setting]:[Setting]],all_cause_mort[],17,FALSE),0)</f>
        <v>2.5571218999999999E-2</v>
      </c>
      <c r="AE34">
        <f>IFERROR(VLOOKUP(all_lmics[[Setting]:[Setting]],all_cause_mort[],18,FALSE),0)</f>
        <v>3.6933957000000003E-2</v>
      </c>
      <c r="AF34">
        <f>IFERROR(VLOOKUP(all_lmics[[Setting]:[Setting]],all_cause_mort[],19,FALSE),0)</f>
        <v>5.7152438999999999E-2</v>
      </c>
      <c r="AG34">
        <f>IFERROR(VLOOKUP(all_lmics[[Setting]:[Setting]],all_cause_mort[],20,FALSE),0)</f>
        <v>8.3084468999999994E-2</v>
      </c>
      <c r="AH34">
        <f>IFERROR(VLOOKUP(all_lmics[[Setting]:[Setting]],all_cause_mort[],21,FALSE),0)</f>
        <v>0.12734852999999999</v>
      </c>
      <c r="AI34">
        <f>IFERROR(VLOOKUP(all_lmics[[Setting]:[Setting]],all_cause_mort[],22,FALSE),0)</f>
        <v>0.18292669</v>
      </c>
      <c r="AJ34">
        <f>IFERROR(VLOOKUP(all_lmics[[Setting]:[Setting]],all_cause_mort[],23,FALSE),0)</f>
        <v>0.24544216999999999</v>
      </c>
      <c r="AK34">
        <f>IFERROR(VLOOKUP(all_lmics[[Setting]:[Setting]],all_cause_mort[],24,FALSE),0)</f>
        <v>0.31760819000000001</v>
      </c>
      <c r="AL34">
        <f>IFERROR(VLOOKUP(all_lmics[[Setting]:[Setting]],all_cause_mort[],25,FALSE),0)</f>
        <v>0.41711247300187398</v>
      </c>
      <c r="AM34">
        <f>VLOOKUP(all_lmics[[worldbank_region]:[worldbank_region]],Table13[],2,FALSE)</f>
        <v>29.912264999999998</v>
      </c>
      <c r="AN34">
        <f>VLOOKUP(all_lmics[[worldbank_region]:[worldbank_region]],Table13[],3,FALSE)</f>
        <v>29.912264999999998</v>
      </c>
      <c r="AO34">
        <f>VLOOKUP(all_lmics[[worldbank_region]:[worldbank_region]],Table13[],4,FALSE)</f>
        <v>77.641124999999988</v>
      </c>
      <c r="AP34">
        <f>VLOOKUP(all_lmics[[worldbank_region]:[worldbank_region]],Table13[],5,FALSE)</f>
        <v>77.641124999999988</v>
      </c>
      <c r="AQ34">
        <f>VLOOKUP(all_lmics[[worldbank_region]:[worldbank_region]],Table13[],6,FALSE)</f>
        <v>77.641124999999988</v>
      </c>
      <c r="AR34">
        <f>VLOOKUP(all_lmics[[worldbank_region]:[worldbank_region]],Table14[],2,FALSE)</f>
        <v>0.96979199999999999</v>
      </c>
      <c r="AS34">
        <f>VLOOKUP(all_lmics[[worldbank_region]:[worldbank_region]],Table14[],3,FALSE)</f>
        <v>1.5872920000000001</v>
      </c>
      <c r="AT34">
        <f>VLOOKUP(all_lmics[[worldbank_region]:[worldbank_region]],Table14[],4,FALSE)</f>
        <v>5.7971629999999994</v>
      </c>
      <c r="AU34">
        <f>VLOOKUP(all_lmics[[worldbank_region]:[worldbank_region]],Table14[],5,FALSE)</f>
        <v>6.4146629999999991</v>
      </c>
      <c r="AV34">
        <f>VLOOKUP(all_lmics[[worldbank_region]:[worldbank_region]],Table14[],6,FALSE)</f>
        <v>6.9849149999999991</v>
      </c>
      <c r="AW34">
        <f>IFERROR(VLOOKUP(all_lmics[[Setting]:[Setting]],nFacSBA[],4,FALSE),0)</f>
        <v>0</v>
      </c>
      <c r="AX34">
        <f>VLOOKUP(all_lmics[[worldbank_region]:[worldbank_region]],hbe[],2)</f>
        <v>0.3</v>
      </c>
      <c r="AY34">
        <f>VLOOKUP(all_lmics[[worldbank_region]:[worldbank_region]],hbe[],5)</f>
        <v>0.875</v>
      </c>
      <c r="AZ34">
        <f>VLOOKUP(all_lmics[[worldbank_region]:[worldbank_region]],hbe[],8)</f>
        <v>0.15</v>
      </c>
    </row>
    <row r="35" spans="1:52" x14ac:dyDescent="0.35">
      <c r="A35" s="8" t="s">
        <v>88</v>
      </c>
      <c r="B35" s="10" t="s">
        <v>49</v>
      </c>
      <c r="C35" s="10" t="s">
        <v>13</v>
      </c>
      <c r="D35" s="11" t="s">
        <v>15</v>
      </c>
      <c r="E35">
        <f>VLOOKUP(all_lmics[[Setting]:[Setting]],populations[],9,FALSE)</f>
        <v>104957438</v>
      </c>
      <c r="F35">
        <f>VLOOKUP(all_lmics[[Setting]:[Setting]],birthrate[],3,FALSE)</f>
        <v>3.1779000000000002E-2</v>
      </c>
      <c r="G35">
        <f>all_lmics[[#This Row],[2017_population]]*all_lmics[[#This Row],[2016_birthrate]]</f>
        <v>3335442.4222020004</v>
      </c>
      <c r="H35">
        <f>VLOOKUP(all_lmics[[Setting]:[Setting]],birthdose[],4,FALSE)</f>
        <v>0</v>
      </c>
      <c r="I35">
        <f>VLOOKUP(all_lmics[[Setting]:[Setting]],fullvax[],4,FALSE)</f>
        <v>0.73</v>
      </c>
      <c r="J35">
        <f>IFERROR(VLOOKUP(all_lmics[[Setting]:[Setting]],prev[],3,FALSE),0)</f>
        <v>7.6999999999999999E-2</v>
      </c>
      <c r="K35">
        <f>IFERROR(VLOOKUP(all_lmics[[Setting]:[Setting]],prev[],4,FALSE),0)</f>
        <v>7.0000000000000007E-2</v>
      </c>
      <c r="L35">
        <f>IFERROR(VLOOKUP(all_lmics[[Setting]:[Setting]],prev[],5,FALSE),0)</f>
        <v>8.1000000000000003E-2</v>
      </c>
      <c r="M35">
        <f>IFERROR(VLOOKUP(all_lmics[[Setting]:[Setting]],prev[],7,FALSE),0)</f>
        <v>2.0408163265306142E-3</v>
      </c>
      <c r="N35">
        <f>IFERROR(VLOOKUP(all_lmics[[Setting]:[Setting]],prev[],6,FALSE),0)</f>
        <v>104957438</v>
      </c>
      <c r="O35">
        <f>IFERROR(VLOOKUP(all_lmics[[Setting]:[Setting]],SBA[],4,FALSE),0)</f>
        <v>0.27699999999999997</v>
      </c>
      <c r="P35">
        <f>IFERROR(VLOOKUP(all_lmics[[Setting]:[Setting]], facility[], 3,FALSE),0)</f>
        <v>0.26200000000000001</v>
      </c>
      <c r="Q35">
        <f>IFERROR(VLOOKUP(all_lmics[[Setting]:[Setting]],all_cause_mort[],4,FALSE),0)</f>
        <v>3.8207605999999998E-2</v>
      </c>
      <c r="R35">
        <f>IFERROR(VLOOKUP(all_lmics[[Setting]:[Setting]],all_cause_mort[],5,FALSE),0)</f>
        <v>4.6959543999999997E-3</v>
      </c>
      <c r="S35">
        <f>IFERROR(VLOOKUP(all_lmics[[Setting]:[Setting]],all_cause_mort[],6,FALSE),0)</f>
        <v>2.0035347000000002E-3</v>
      </c>
      <c r="T35">
        <f>IFERROR(VLOOKUP(all_lmics[[Setting]:[Setting]],all_cause_mort[],7,FALSE),0)</f>
        <v>1.5514940000000001E-3</v>
      </c>
      <c r="U35">
        <f>IFERROR(VLOOKUP(all_lmics[[Setting]:[Setting]],all_cause_mort[],8,FALSE),0)</f>
        <v>1.9138895E-3</v>
      </c>
      <c r="V35">
        <f>IFERROR(VLOOKUP(all_lmics[[Setting]:[Setting]],all_cause_mort[],9,FALSE),0)</f>
        <v>2.3611942000000001E-3</v>
      </c>
      <c r="W35">
        <f>IFERROR(VLOOKUP(all_lmics[[Setting]:[Setting]],all_cause_mort[],10,FALSE),0)</f>
        <v>2.7276859E-3</v>
      </c>
      <c r="X35">
        <f>IFERROR(VLOOKUP(all_lmics[[Setting]:[Setting]],all_cause_mort[],11,FALSE),0)</f>
        <v>3.4576648999999999E-3</v>
      </c>
      <c r="Y35">
        <f>IFERROR(VLOOKUP(all_lmics[[Setting]:[Setting]],all_cause_mort[],12,FALSE),0)</f>
        <v>4.8009569000000002E-3</v>
      </c>
      <c r="Z35">
        <f>IFERROR(VLOOKUP(all_lmics[[Setting]:[Setting]],all_cause_mort[],13,FALSE),0)</f>
        <v>5.8604735999999999E-3</v>
      </c>
      <c r="AA35">
        <f>IFERROR(VLOOKUP(all_lmics[[Setting]:[Setting]],all_cause_mort[],14,FALSE),0)</f>
        <v>6.8450571000000003E-3</v>
      </c>
      <c r="AB35">
        <f>IFERROR(VLOOKUP(all_lmics[[Setting]:[Setting]],all_cause_mort[],15,FALSE),0)</f>
        <v>8.8151644000000005E-3</v>
      </c>
      <c r="AC35">
        <f>IFERROR(VLOOKUP(all_lmics[[Setting]:[Setting]],all_cause_mort[],16,FALSE),0)</f>
        <v>1.1398903E-2</v>
      </c>
      <c r="AD35">
        <f>IFERROR(VLOOKUP(all_lmics[[Setting]:[Setting]],all_cause_mort[],17,FALSE),0)</f>
        <v>1.7449718999999999E-2</v>
      </c>
      <c r="AE35">
        <f>IFERROR(VLOOKUP(all_lmics[[Setting]:[Setting]],all_cause_mort[],18,FALSE),0)</f>
        <v>2.7637838000000001E-2</v>
      </c>
      <c r="AF35">
        <f>IFERROR(VLOOKUP(all_lmics[[Setting]:[Setting]],all_cause_mort[],19,FALSE),0)</f>
        <v>4.4837672000000002E-2</v>
      </c>
      <c r="AG35">
        <f>IFERROR(VLOOKUP(all_lmics[[Setting]:[Setting]],all_cause_mort[],20,FALSE),0)</f>
        <v>7.3213447000000001E-2</v>
      </c>
      <c r="AH35">
        <f>IFERROR(VLOOKUP(all_lmics[[Setting]:[Setting]],all_cause_mort[],21,FALSE),0)</f>
        <v>0.11917458</v>
      </c>
      <c r="AI35">
        <f>IFERROR(VLOOKUP(all_lmics[[Setting]:[Setting]],all_cause_mort[],22,FALSE),0)</f>
        <v>0.18751398</v>
      </c>
      <c r="AJ35">
        <f>IFERROR(VLOOKUP(all_lmics[[Setting]:[Setting]],all_cause_mort[],23,FALSE),0)</f>
        <v>0.27765213999999999</v>
      </c>
      <c r="AK35">
        <f>IFERROR(VLOOKUP(all_lmics[[Setting]:[Setting]],all_cause_mort[],24,FALSE),0)</f>
        <v>0.38424641999999998</v>
      </c>
      <c r="AL35">
        <f>IFERROR(VLOOKUP(all_lmics[[Setting]:[Setting]],all_cause_mort[],25,FALSE),0)</f>
        <v>0.51051549608526503</v>
      </c>
      <c r="AM35">
        <f>VLOOKUP(all_lmics[[worldbank_region]:[worldbank_region]],Table13[],2,FALSE)</f>
        <v>29.912264999999998</v>
      </c>
      <c r="AN35">
        <f>VLOOKUP(all_lmics[[worldbank_region]:[worldbank_region]],Table13[],3,FALSE)</f>
        <v>29.912264999999998</v>
      </c>
      <c r="AO35">
        <f>VLOOKUP(all_lmics[[worldbank_region]:[worldbank_region]],Table13[],4,FALSE)</f>
        <v>77.641124999999988</v>
      </c>
      <c r="AP35">
        <f>VLOOKUP(all_lmics[[worldbank_region]:[worldbank_region]],Table13[],5,FALSE)</f>
        <v>77.641124999999988</v>
      </c>
      <c r="AQ35">
        <f>VLOOKUP(all_lmics[[worldbank_region]:[worldbank_region]],Table13[],6,FALSE)</f>
        <v>77.641124999999988</v>
      </c>
      <c r="AR35">
        <f>VLOOKUP(all_lmics[[worldbank_region]:[worldbank_region]],Table14[],2,FALSE)</f>
        <v>0.96979199999999999</v>
      </c>
      <c r="AS35">
        <f>VLOOKUP(all_lmics[[worldbank_region]:[worldbank_region]],Table14[],3,FALSE)</f>
        <v>1.5872920000000001</v>
      </c>
      <c r="AT35">
        <f>VLOOKUP(all_lmics[[worldbank_region]:[worldbank_region]],Table14[],4,FALSE)</f>
        <v>5.7971629999999994</v>
      </c>
      <c r="AU35">
        <f>VLOOKUP(all_lmics[[worldbank_region]:[worldbank_region]],Table14[],5,FALSE)</f>
        <v>6.4146629999999991</v>
      </c>
      <c r="AV35">
        <f>VLOOKUP(all_lmics[[worldbank_region]:[worldbank_region]],Table14[],6,FALSE)</f>
        <v>6.9849149999999991</v>
      </c>
      <c r="AW35">
        <f>IFERROR(VLOOKUP(all_lmics[[Setting]:[Setting]],nFacSBA[],4,FALSE),0)</f>
        <v>1.0935002463177685E-2</v>
      </c>
      <c r="AX35">
        <f>VLOOKUP(all_lmics[[worldbank_region]:[worldbank_region]],hbe[],2)</f>
        <v>0.3</v>
      </c>
      <c r="AY35">
        <f>VLOOKUP(all_lmics[[worldbank_region]:[worldbank_region]],hbe[],5)</f>
        <v>0.875</v>
      </c>
      <c r="AZ35">
        <f>VLOOKUP(all_lmics[[worldbank_region]:[worldbank_region]],hbe[],8)</f>
        <v>0.15</v>
      </c>
    </row>
    <row r="36" spans="1:52" x14ac:dyDescent="0.35">
      <c r="A36" s="8" t="s">
        <v>119</v>
      </c>
      <c r="B36" s="10" t="s">
        <v>49</v>
      </c>
      <c r="C36" s="10" t="s">
        <v>13</v>
      </c>
      <c r="D36" s="11" t="s">
        <v>15</v>
      </c>
      <c r="E36">
        <f>VLOOKUP(all_lmics[[Setting]:[Setting]],populations[],9,FALSE)</f>
        <v>49699862</v>
      </c>
      <c r="F36">
        <f>VLOOKUP(all_lmics[[Setting]:[Setting]],birthrate[],3,FALSE)</f>
        <v>3.1309000000000003E-2</v>
      </c>
      <c r="G36">
        <f>all_lmics[[#This Row],[2017_population]]*all_lmics[[#This Row],[2016_birthrate]]</f>
        <v>1556052.9793580002</v>
      </c>
      <c r="H36">
        <f>VLOOKUP(all_lmics[[Setting]:[Setting]],birthdose[],4,FALSE)</f>
        <v>0</v>
      </c>
      <c r="I36">
        <f>VLOOKUP(all_lmics[[Setting]:[Setting]],fullvax[],4,FALSE)</f>
        <v>0.82</v>
      </c>
      <c r="J36">
        <f>IFERROR(VLOOKUP(all_lmics[[Setting]:[Setting]],prev[],3,FALSE),0)</f>
        <v>1.2E-2</v>
      </c>
      <c r="K36">
        <f>IFERROR(VLOOKUP(all_lmics[[Setting]:[Setting]],prev[],4,FALSE),0)</f>
        <v>8.9999999999999993E-3</v>
      </c>
      <c r="L36">
        <f>IFERROR(VLOOKUP(all_lmics[[Setting]:[Setting]],prev[],5,FALSE),0)</f>
        <v>1.4999999999999999E-2</v>
      </c>
      <c r="M36">
        <f>IFERROR(VLOOKUP(all_lmics[[Setting]:[Setting]],prev[],7,FALSE),0)</f>
        <v>1.5306122448979589E-3</v>
      </c>
      <c r="N36">
        <f>IFERROR(VLOOKUP(all_lmics[[Setting]:[Setting]],prev[],6,FALSE),0)</f>
        <v>49699862</v>
      </c>
      <c r="O36">
        <f>IFERROR(VLOOKUP(all_lmics[[Setting]:[Setting]],SBA[],4,FALSE),0)</f>
        <v>0.61799999999999999</v>
      </c>
      <c r="P36">
        <f>IFERROR(VLOOKUP(all_lmics[[Setting]:[Setting]], facility[], 3,FALSE),0)</f>
        <v>0.61199999999999999</v>
      </c>
      <c r="Q36">
        <f>IFERROR(VLOOKUP(all_lmics[[Setting]:[Setting]],all_cause_mort[],4,FALSE),0)</f>
        <v>3.7529791999999999E-2</v>
      </c>
      <c r="R36">
        <f>IFERROR(VLOOKUP(all_lmics[[Setting]:[Setting]],all_cause_mort[],5,FALSE),0)</f>
        <v>2.8986910000000001E-3</v>
      </c>
      <c r="S36">
        <f>IFERROR(VLOOKUP(all_lmics[[Setting]:[Setting]],all_cause_mort[],6,FALSE),0)</f>
        <v>8.9076089999999997E-4</v>
      </c>
      <c r="T36">
        <f>IFERROR(VLOOKUP(all_lmics[[Setting]:[Setting]],all_cause_mort[],7,FALSE),0)</f>
        <v>7.2318827000000005E-4</v>
      </c>
      <c r="U36">
        <f>IFERROR(VLOOKUP(all_lmics[[Setting]:[Setting]],all_cause_mort[],8,FALSE),0)</f>
        <v>1.257174E-3</v>
      </c>
      <c r="V36">
        <f>IFERROR(VLOOKUP(all_lmics[[Setting]:[Setting]],all_cause_mort[],9,FALSE),0)</f>
        <v>2.024648E-3</v>
      </c>
      <c r="W36">
        <f>IFERROR(VLOOKUP(all_lmics[[Setting]:[Setting]],all_cause_mort[],10,FALSE),0)</f>
        <v>2.7928033000000001E-3</v>
      </c>
      <c r="X36">
        <f>IFERROR(VLOOKUP(all_lmics[[Setting]:[Setting]],all_cause_mort[],11,FALSE),0)</f>
        <v>3.6486813000000001E-3</v>
      </c>
      <c r="Y36">
        <f>IFERROR(VLOOKUP(all_lmics[[Setting]:[Setting]],all_cause_mort[],12,FALSE),0)</f>
        <v>4.8917763999999997E-3</v>
      </c>
      <c r="Z36">
        <f>IFERROR(VLOOKUP(all_lmics[[Setting]:[Setting]],all_cause_mort[],13,FALSE),0)</f>
        <v>6.1679812000000004E-3</v>
      </c>
      <c r="AA36">
        <f>IFERROR(VLOOKUP(all_lmics[[Setting]:[Setting]],all_cause_mort[],14,FALSE),0)</f>
        <v>7.7831864000000002E-3</v>
      </c>
      <c r="AB36">
        <f>IFERROR(VLOOKUP(all_lmics[[Setting]:[Setting]],all_cause_mort[],15,FALSE),0)</f>
        <v>1.0546425999999999E-2</v>
      </c>
      <c r="AC36">
        <f>IFERROR(VLOOKUP(all_lmics[[Setting]:[Setting]],all_cause_mort[],16,FALSE),0)</f>
        <v>1.3756066000000001E-2</v>
      </c>
      <c r="AD36">
        <f>IFERROR(VLOOKUP(all_lmics[[Setting]:[Setting]],all_cause_mort[],17,FALSE),0)</f>
        <v>1.9917523999999999E-2</v>
      </c>
      <c r="AE36">
        <f>IFERROR(VLOOKUP(all_lmics[[Setting]:[Setting]],all_cause_mort[],18,FALSE),0)</f>
        <v>3.0378365000000001E-2</v>
      </c>
      <c r="AF36">
        <f>IFERROR(VLOOKUP(all_lmics[[Setting]:[Setting]],all_cause_mort[],19,FALSE),0)</f>
        <v>4.7756075000000002E-2</v>
      </c>
      <c r="AG36">
        <f>IFERROR(VLOOKUP(all_lmics[[Setting]:[Setting]],all_cause_mort[],20,FALSE),0)</f>
        <v>7.6853871000000004E-2</v>
      </c>
      <c r="AH36">
        <f>IFERROR(VLOOKUP(all_lmics[[Setting]:[Setting]],all_cause_mort[],21,FALSE),0)</f>
        <v>0.12928423</v>
      </c>
      <c r="AI36">
        <f>IFERROR(VLOOKUP(all_lmics[[Setting]:[Setting]],all_cause_mort[],22,FALSE),0)</f>
        <v>0.21881972</v>
      </c>
      <c r="AJ36">
        <f>IFERROR(VLOOKUP(all_lmics[[Setting]:[Setting]],all_cause_mort[],23,FALSE),0)</f>
        <v>0.36676449999999999</v>
      </c>
      <c r="AK36">
        <f>IFERROR(VLOOKUP(all_lmics[[Setting]:[Setting]],all_cause_mort[],24,FALSE),0)</f>
        <v>0.52990086000000003</v>
      </c>
      <c r="AL36">
        <f>IFERROR(VLOOKUP(all_lmics[[Setting]:[Setting]],all_cause_mort[],25,FALSE),0)</f>
        <v>0.705950406560369</v>
      </c>
      <c r="AM36">
        <f>VLOOKUP(all_lmics[[worldbank_region]:[worldbank_region]],Table13[],2,FALSE)</f>
        <v>29.912264999999998</v>
      </c>
      <c r="AN36">
        <f>VLOOKUP(all_lmics[[worldbank_region]:[worldbank_region]],Table13[],3,FALSE)</f>
        <v>29.912264999999998</v>
      </c>
      <c r="AO36">
        <f>VLOOKUP(all_lmics[[worldbank_region]:[worldbank_region]],Table13[],4,FALSE)</f>
        <v>77.641124999999988</v>
      </c>
      <c r="AP36">
        <f>VLOOKUP(all_lmics[[worldbank_region]:[worldbank_region]],Table13[],5,FALSE)</f>
        <v>77.641124999999988</v>
      </c>
      <c r="AQ36">
        <f>VLOOKUP(all_lmics[[worldbank_region]:[worldbank_region]],Table13[],6,FALSE)</f>
        <v>77.641124999999988</v>
      </c>
      <c r="AR36">
        <f>VLOOKUP(all_lmics[[worldbank_region]:[worldbank_region]],Table14[],2,FALSE)</f>
        <v>0.96979199999999999</v>
      </c>
      <c r="AS36">
        <f>VLOOKUP(all_lmics[[worldbank_region]:[worldbank_region]],Table14[],3,FALSE)</f>
        <v>1.5872920000000001</v>
      </c>
      <c r="AT36">
        <f>VLOOKUP(all_lmics[[worldbank_region]:[worldbank_region]],Table14[],4,FALSE)</f>
        <v>5.7971629999999994</v>
      </c>
      <c r="AU36">
        <f>VLOOKUP(all_lmics[[worldbank_region]:[worldbank_region]],Table14[],5,FALSE)</f>
        <v>6.4146629999999991</v>
      </c>
      <c r="AV36">
        <f>VLOOKUP(all_lmics[[worldbank_region]:[worldbank_region]],Table14[],6,FALSE)</f>
        <v>6.9849149999999991</v>
      </c>
      <c r="AW36">
        <f>IFERROR(VLOOKUP(all_lmics[[Setting]:[Setting]],nFacSBA[],4,FALSE),0)</f>
        <v>2.5240727910297925E-2</v>
      </c>
      <c r="AX36">
        <f>VLOOKUP(all_lmics[[worldbank_region]:[worldbank_region]],hbe[],2)</f>
        <v>0.3</v>
      </c>
      <c r="AY36">
        <f>VLOOKUP(all_lmics[[worldbank_region]:[worldbank_region]],hbe[],5)</f>
        <v>0.875</v>
      </c>
      <c r="AZ36">
        <f>VLOOKUP(all_lmics[[worldbank_region]:[worldbank_region]],hbe[],8)</f>
        <v>0.15</v>
      </c>
    </row>
    <row r="37" spans="1:52" x14ac:dyDescent="0.35">
      <c r="A37" s="12" t="s">
        <v>126</v>
      </c>
      <c r="B37" s="13" t="s">
        <v>49</v>
      </c>
      <c r="C37" s="13" t="s">
        <v>13</v>
      </c>
      <c r="D37" s="14" t="s">
        <v>15</v>
      </c>
      <c r="E37">
        <f>VLOOKUP(all_lmics[[Setting]:[Setting]],populations[],9,FALSE)</f>
        <v>2233339</v>
      </c>
      <c r="F37">
        <f>VLOOKUP(all_lmics[[Setting]:[Setting]],birthrate[],3,FALSE)</f>
        <v>2.7872000000000001E-2</v>
      </c>
      <c r="G37">
        <f>all_lmics[[#This Row],[2017_population]]*all_lmics[[#This Row],[2016_birthrate]]</f>
        <v>62247.624608000006</v>
      </c>
      <c r="H37">
        <f>VLOOKUP(all_lmics[[Setting]:[Setting]],birthdose[],4,FALSE)</f>
        <v>0</v>
      </c>
      <c r="I37">
        <f>VLOOKUP(all_lmics[[Setting]:[Setting]],fullvax[],4,FALSE)</f>
        <v>0.93</v>
      </c>
      <c r="J37">
        <f>IFERROR(VLOOKUP(all_lmics[[Setting]:[Setting]],prev[],3,FALSE),0)</f>
        <v>0</v>
      </c>
      <c r="K37">
        <f>IFERROR(VLOOKUP(all_lmics[[Setting]:[Setting]],prev[],4,FALSE),0)</f>
        <v>0</v>
      </c>
      <c r="L37">
        <f>IFERROR(VLOOKUP(all_lmics[[Setting]:[Setting]],prev[],5,FALSE),0)</f>
        <v>0</v>
      </c>
      <c r="M37">
        <f>IFERROR(VLOOKUP(all_lmics[[Setting]:[Setting]],prev[],7,FALSE),0)</f>
        <v>0</v>
      </c>
      <c r="N37">
        <f>IFERROR(VLOOKUP(all_lmics[[Setting]:[Setting]],prev[],6,FALSE),0)</f>
        <v>0</v>
      </c>
      <c r="O37">
        <f>IFERROR(VLOOKUP(all_lmics[[Setting]:[Setting]],SBA[],4,FALSE),0)</f>
        <v>0.77900000000000003</v>
      </c>
      <c r="P37">
        <f>IFERROR(VLOOKUP(all_lmics[[Setting]:[Setting]], facility[], 3,FALSE),0)</f>
        <v>0.76500000000000001</v>
      </c>
      <c r="Q37">
        <f>IFERROR(VLOOKUP(all_lmics[[Setting]:[Setting]],all_cause_mort[],4,FALSE),0)</f>
        <v>6.5402233000000004E-2</v>
      </c>
      <c r="R37">
        <f>IFERROR(VLOOKUP(all_lmics[[Setting]:[Setting]],all_cause_mort[],5,FALSE),0)</f>
        <v>6.7270358000000004E-3</v>
      </c>
      <c r="S37">
        <f>IFERROR(VLOOKUP(all_lmics[[Setting]:[Setting]],all_cause_mort[],6,FALSE),0)</f>
        <v>1.7341584000000001E-3</v>
      </c>
      <c r="T37">
        <f>IFERROR(VLOOKUP(all_lmics[[Setting]:[Setting]],all_cause_mort[],7,FALSE),0)</f>
        <v>1.4334841000000001E-3</v>
      </c>
      <c r="U37">
        <f>IFERROR(VLOOKUP(all_lmics[[Setting]:[Setting]],all_cause_mort[],8,FALSE),0)</f>
        <v>2.2050885999999998E-3</v>
      </c>
      <c r="V37">
        <f>IFERROR(VLOOKUP(all_lmics[[Setting]:[Setting]],all_cause_mort[],9,FALSE),0)</f>
        <v>4.0617129999999998E-3</v>
      </c>
      <c r="W37">
        <f>IFERROR(VLOOKUP(all_lmics[[Setting]:[Setting]],all_cause_mort[],10,FALSE),0)</f>
        <v>7.5659187000000003E-3</v>
      </c>
      <c r="X37">
        <f>IFERROR(VLOOKUP(all_lmics[[Setting]:[Setting]],all_cause_mort[],11,FALSE),0)</f>
        <v>1.1525636000000001E-2</v>
      </c>
      <c r="Y37">
        <f>IFERROR(VLOOKUP(all_lmics[[Setting]:[Setting]],all_cause_mort[],12,FALSE),0)</f>
        <v>1.7141900000000002E-2</v>
      </c>
      <c r="Z37">
        <f>IFERROR(VLOOKUP(all_lmics[[Setting]:[Setting]],all_cause_mort[],13,FALSE),0)</f>
        <v>1.9470863000000001E-2</v>
      </c>
      <c r="AA37">
        <f>IFERROR(VLOOKUP(all_lmics[[Setting]:[Setting]],all_cause_mort[],14,FALSE),0)</f>
        <v>2.1738829000000001E-2</v>
      </c>
      <c r="AB37">
        <f>IFERROR(VLOOKUP(all_lmics[[Setting]:[Setting]],all_cause_mort[],15,FALSE),0)</f>
        <v>2.3503962999999999E-2</v>
      </c>
      <c r="AC37">
        <f>IFERROR(VLOOKUP(all_lmics[[Setting]:[Setting]],all_cause_mort[],16,FALSE),0)</f>
        <v>2.6624188999999999E-2</v>
      </c>
      <c r="AD37">
        <f>IFERROR(VLOOKUP(all_lmics[[Setting]:[Setting]],all_cause_mort[],17,FALSE),0)</f>
        <v>3.2655306000000002E-2</v>
      </c>
      <c r="AE37">
        <f>IFERROR(VLOOKUP(all_lmics[[Setting]:[Setting]],all_cause_mort[],18,FALSE),0)</f>
        <v>4.3915050999999997E-2</v>
      </c>
      <c r="AF37">
        <f>IFERROR(VLOOKUP(all_lmics[[Setting]:[Setting]],all_cause_mort[],19,FALSE),0)</f>
        <v>6.2965795000000005E-2</v>
      </c>
      <c r="AG37">
        <f>IFERROR(VLOOKUP(all_lmics[[Setting]:[Setting]],all_cause_mort[],20,FALSE),0)</f>
        <v>9.1826706999999994E-2</v>
      </c>
      <c r="AH37">
        <f>IFERROR(VLOOKUP(all_lmics[[Setting]:[Setting]],all_cause_mort[],21,FALSE),0)</f>
        <v>0.14595126999999999</v>
      </c>
      <c r="AI37">
        <f>IFERROR(VLOOKUP(all_lmics[[Setting]:[Setting]],all_cause_mort[],22,FALSE),0)</f>
        <v>0.23821381</v>
      </c>
      <c r="AJ37">
        <f>IFERROR(VLOOKUP(all_lmics[[Setting]:[Setting]],all_cause_mort[],23,FALSE),0)</f>
        <v>0.36529415999999998</v>
      </c>
      <c r="AK37">
        <f>IFERROR(VLOOKUP(all_lmics[[Setting]:[Setting]],all_cause_mort[],24,FALSE),0)</f>
        <v>0.48052257999999998</v>
      </c>
      <c r="AL37">
        <f>IFERROR(VLOOKUP(all_lmics[[Setting]:[Setting]],all_cause_mort[],25,FALSE),0)</f>
        <v>0.584810300988996</v>
      </c>
      <c r="AM37">
        <f>VLOOKUP(all_lmics[[worldbank_region]:[worldbank_region]],Table13[],2,FALSE)</f>
        <v>29.912264999999998</v>
      </c>
      <c r="AN37">
        <f>VLOOKUP(all_lmics[[worldbank_region]:[worldbank_region]],Table13[],3,FALSE)</f>
        <v>29.912264999999998</v>
      </c>
      <c r="AO37">
        <f>VLOOKUP(all_lmics[[worldbank_region]:[worldbank_region]],Table13[],4,FALSE)</f>
        <v>77.641124999999988</v>
      </c>
      <c r="AP37">
        <f>VLOOKUP(all_lmics[[worldbank_region]:[worldbank_region]],Table13[],5,FALSE)</f>
        <v>77.641124999999988</v>
      </c>
      <c r="AQ37">
        <f>VLOOKUP(all_lmics[[worldbank_region]:[worldbank_region]],Table13[],6,FALSE)</f>
        <v>77.641124999999988</v>
      </c>
      <c r="AR37">
        <f>VLOOKUP(all_lmics[[worldbank_region]:[worldbank_region]],Table14[],2,FALSE)</f>
        <v>0.96979199999999999</v>
      </c>
      <c r="AS37">
        <f>VLOOKUP(all_lmics[[worldbank_region]:[worldbank_region]],Table14[],3,FALSE)</f>
        <v>1.5872920000000001</v>
      </c>
      <c r="AT37">
        <f>VLOOKUP(all_lmics[[worldbank_region]:[worldbank_region]],Table14[],4,FALSE)</f>
        <v>5.7971629999999994</v>
      </c>
      <c r="AU37">
        <f>VLOOKUP(all_lmics[[worldbank_region]:[worldbank_region]],Table14[],5,FALSE)</f>
        <v>6.4146629999999991</v>
      </c>
      <c r="AV37">
        <f>VLOOKUP(all_lmics[[worldbank_region]:[worldbank_region]],Table14[],6,FALSE)</f>
        <v>6.9849149999999991</v>
      </c>
      <c r="AW37">
        <f>IFERROR(VLOOKUP(all_lmics[[Setting]:[Setting]],nFacSBA[],4,FALSE),0)</f>
        <v>8.3839659671300693E-2</v>
      </c>
      <c r="AX37">
        <f>VLOOKUP(all_lmics[[worldbank_region]:[worldbank_region]],hbe[],2)</f>
        <v>0.3</v>
      </c>
      <c r="AY37">
        <f>VLOOKUP(all_lmics[[worldbank_region]:[worldbank_region]],hbe[],5)</f>
        <v>0.875</v>
      </c>
      <c r="AZ37">
        <f>VLOOKUP(all_lmics[[worldbank_region]:[worldbank_region]],hbe[],8)</f>
        <v>0.15</v>
      </c>
    </row>
    <row r="38" spans="1:52" x14ac:dyDescent="0.35">
      <c r="A38" s="12" t="s">
        <v>132</v>
      </c>
      <c r="B38" s="13" t="s">
        <v>49</v>
      </c>
      <c r="C38" s="13" t="s">
        <v>13</v>
      </c>
      <c r="D38" s="14" t="s">
        <v>15</v>
      </c>
      <c r="E38">
        <f>VLOOKUP(all_lmics[[Setting]:[Setting]],populations[],9,FALSE)</f>
        <v>18622104</v>
      </c>
      <c r="F38">
        <f>VLOOKUP(all_lmics[[Setting]:[Setting]],birthrate[],3,FALSE)</f>
        <v>3.6704000000000001E-2</v>
      </c>
      <c r="G38">
        <f>all_lmics[[#This Row],[2017_population]]*all_lmics[[#This Row],[2016_birthrate]]</f>
        <v>683505.70521599997</v>
      </c>
      <c r="H38">
        <f>VLOOKUP(all_lmics[[Setting]:[Setting]],birthdose[],4,FALSE)</f>
        <v>0</v>
      </c>
      <c r="I38">
        <f>VLOOKUP(all_lmics[[Setting]:[Setting]],fullvax[],4,FALSE)</f>
        <v>0.88</v>
      </c>
      <c r="J38">
        <f>IFERROR(VLOOKUP(all_lmics[[Setting]:[Setting]],prev[],3,FALSE),0)</f>
        <v>3.2000000000000001E-2</v>
      </c>
      <c r="K38">
        <f>IFERROR(VLOOKUP(all_lmics[[Setting]:[Setting]],prev[],4,FALSE),0)</f>
        <v>2.7E-2</v>
      </c>
      <c r="L38">
        <f>IFERROR(VLOOKUP(all_lmics[[Setting]:[Setting]],prev[],5,FALSE),0)</f>
        <v>3.9E-2</v>
      </c>
      <c r="M38">
        <f>IFERROR(VLOOKUP(all_lmics[[Setting]:[Setting]],prev[],7,FALSE),0)</f>
        <v>3.5714285714285713E-3</v>
      </c>
      <c r="N38">
        <f>IFERROR(VLOOKUP(all_lmics[[Setting]:[Setting]],prev[],6,FALSE),0)</f>
        <v>18622104</v>
      </c>
      <c r="O38">
        <f>IFERROR(VLOOKUP(all_lmics[[Setting]:[Setting]],SBA[],4,FALSE),0)</f>
        <v>0.89800000000000002</v>
      </c>
      <c r="P38">
        <f>IFERROR(VLOOKUP(all_lmics[[Setting]:[Setting]], facility[], 3,FALSE),0)</f>
        <v>0.91400000000000003</v>
      </c>
      <c r="Q38">
        <f>IFERROR(VLOOKUP(all_lmics[[Setting]:[Setting]],all_cause_mort[],4,FALSE),0)</f>
        <v>4.2811245999999997E-2</v>
      </c>
      <c r="R38">
        <f>IFERROR(VLOOKUP(all_lmics[[Setting]:[Setting]],all_cause_mort[],5,FALSE),0)</f>
        <v>3.7157572000000002E-3</v>
      </c>
      <c r="S38">
        <f>IFERROR(VLOOKUP(all_lmics[[Setting]:[Setting]],all_cause_mort[],6,FALSE),0)</f>
        <v>1.2508653E-3</v>
      </c>
      <c r="T38">
        <f>IFERROR(VLOOKUP(all_lmics[[Setting]:[Setting]],all_cause_mort[],7,FALSE),0)</f>
        <v>9.7496102000000002E-4</v>
      </c>
      <c r="U38">
        <f>IFERROR(VLOOKUP(all_lmics[[Setting]:[Setting]],all_cause_mort[],8,FALSE),0)</f>
        <v>1.6053027999999999E-3</v>
      </c>
      <c r="V38">
        <f>IFERROR(VLOOKUP(all_lmics[[Setting]:[Setting]],all_cause_mort[],9,FALSE),0)</f>
        <v>2.5425773E-3</v>
      </c>
      <c r="W38">
        <f>IFERROR(VLOOKUP(all_lmics[[Setting]:[Setting]],all_cause_mort[],10,FALSE),0)</f>
        <v>3.5004199000000001E-3</v>
      </c>
      <c r="X38">
        <f>IFERROR(VLOOKUP(all_lmics[[Setting]:[Setting]],all_cause_mort[],11,FALSE),0)</f>
        <v>4.5757287000000001E-3</v>
      </c>
      <c r="Y38">
        <f>IFERROR(VLOOKUP(all_lmics[[Setting]:[Setting]],all_cause_mort[],12,FALSE),0)</f>
        <v>6.1272332999999998E-3</v>
      </c>
      <c r="Z38">
        <f>IFERROR(VLOOKUP(all_lmics[[Setting]:[Setting]],all_cause_mort[],13,FALSE),0)</f>
        <v>7.6369424E-3</v>
      </c>
      <c r="AA38">
        <f>IFERROR(VLOOKUP(all_lmics[[Setting]:[Setting]],all_cause_mort[],14,FALSE),0)</f>
        <v>9.4454185000000003E-3</v>
      </c>
      <c r="AB38">
        <f>IFERROR(VLOOKUP(all_lmics[[Setting]:[Setting]],all_cause_mort[],15,FALSE),0)</f>
        <v>1.2465039000000001E-2</v>
      </c>
      <c r="AC38">
        <f>IFERROR(VLOOKUP(all_lmics[[Setting]:[Setting]],all_cause_mort[],16,FALSE),0)</f>
        <v>1.6058030000000001E-2</v>
      </c>
      <c r="AD38">
        <f>IFERROR(VLOOKUP(all_lmics[[Setting]:[Setting]],all_cause_mort[],17,FALSE),0)</f>
        <v>2.2996717E-2</v>
      </c>
      <c r="AE38">
        <f>IFERROR(VLOOKUP(all_lmics[[Setting]:[Setting]],all_cause_mort[],18,FALSE),0)</f>
        <v>3.4665253E-2</v>
      </c>
      <c r="AF38">
        <f>IFERROR(VLOOKUP(all_lmics[[Setting]:[Setting]],all_cause_mort[],19,FALSE),0)</f>
        <v>5.4034497000000001E-2</v>
      </c>
      <c r="AG38">
        <f>IFERROR(VLOOKUP(all_lmics[[Setting]:[Setting]],all_cause_mort[],20,FALSE),0)</f>
        <v>8.6188047000000004E-2</v>
      </c>
      <c r="AH38">
        <f>IFERROR(VLOOKUP(all_lmics[[Setting]:[Setting]],all_cause_mort[],21,FALSE),0)</f>
        <v>0.14431994000000001</v>
      </c>
      <c r="AI38">
        <f>IFERROR(VLOOKUP(all_lmics[[Setting]:[Setting]],all_cause_mort[],22,FALSE),0)</f>
        <v>0.24254856999999999</v>
      </c>
      <c r="AJ38">
        <f>IFERROR(VLOOKUP(all_lmics[[Setting]:[Setting]],all_cause_mort[],23,FALSE),0)</f>
        <v>0.40175656999999998</v>
      </c>
      <c r="AK38">
        <f>IFERROR(VLOOKUP(all_lmics[[Setting]:[Setting]],all_cause_mort[],24,FALSE),0)</f>
        <v>0.57511011000000001</v>
      </c>
      <c r="AL38">
        <f>IFERROR(VLOOKUP(all_lmics[[Setting]:[Setting]],all_cause_mort[],25,FALSE),0)</f>
        <v>0.75913958512110702</v>
      </c>
      <c r="AM38">
        <f>VLOOKUP(all_lmics[[worldbank_region]:[worldbank_region]],Table13[],2,FALSE)</f>
        <v>29.912264999999998</v>
      </c>
      <c r="AN38">
        <f>VLOOKUP(all_lmics[[worldbank_region]:[worldbank_region]],Table13[],3,FALSE)</f>
        <v>29.912264999999998</v>
      </c>
      <c r="AO38">
        <f>VLOOKUP(all_lmics[[worldbank_region]:[worldbank_region]],Table13[],4,FALSE)</f>
        <v>77.641124999999988</v>
      </c>
      <c r="AP38">
        <f>VLOOKUP(all_lmics[[worldbank_region]:[worldbank_region]],Table13[],5,FALSE)</f>
        <v>77.641124999999988</v>
      </c>
      <c r="AQ38">
        <f>VLOOKUP(all_lmics[[worldbank_region]:[worldbank_region]],Table13[],6,FALSE)</f>
        <v>77.641124999999988</v>
      </c>
      <c r="AR38">
        <f>VLOOKUP(all_lmics[[worldbank_region]:[worldbank_region]],Table14[],2,FALSE)</f>
        <v>0.96979199999999999</v>
      </c>
      <c r="AS38">
        <f>VLOOKUP(all_lmics[[worldbank_region]:[worldbank_region]],Table14[],3,FALSE)</f>
        <v>1.5872920000000001</v>
      </c>
      <c r="AT38">
        <f>VLOOKUP(all_lmics[[worldbank_region]:[worldbank_region]],Table14[],4,FALSE)</f>
        <v>5.7971629999999994</v>
      </c>
      <c r="AU38">
        <f>VLOOKUP(all_lmics[[worldbank_region]:[worldbank_region]],Table14[],5,FALSE)</f>
        <v>6.4146629999999991</v>
      </c>
      <c r="AV38">
        <f>VLOOKUP(all_lmics[[worldbank_region]:[worldbank_region]],Table14[],6,FALSE)</f>
        <v>6.9849149999999991</v>
      </c>
      <c r="AW38">
        <f>IFERROR(VLOOKUP(all_lmics[[Setting]:[Setting]],nFacSBA[],4,FALSE),0)</f>
        <v>1.6830355369213765E-2</v>
      </c>
      <c r="AX38">
        <f>VLOOKUP(all_lmics[[worldbank_region]:[worldbank_region]],hbe[],2)</f>
        <v>0.3</v>
      </c>
      <c r="AY38">
        <f>VLOOKUP(all_lmics[[worldbank_region]:[worldbank_region]],hbe[],5)</f>
        <v>0.875</v>
      </c>
      <c r="AZ38">
        <f>VLOOKUP(all_lmics[[worldbank_region]:[worldbank_region]],hbe[],8)</f>
        <v>0.15</v>
      </c>
    </row>
    <row r="39" spans="1:52" x14ac:dyDescent="0.35">
      <c r="A39" s="12" t="s">
        <v>146</v>
      </c>
      <c r="B39" s="13" t="s">
        <v>49</v>
      </c>
      <c r="C39" s="13" t="s">
        <v>13</v>
      </c>
      <c r="D39" s="14" t="s">
        <v>15</v>
      </c>
      <c r="E39">
        <f>VLOOKUP(all_lmics[[Setting]:[Setting]],populations[],9,FALSE)</f>
        <v>29668834</v>
      </c>
      <c r="F39">
        <f>VLOOKUP(all_lmics[[Setting]:[Setting]],birthrate[],3,FALSE)</f>
        <v>3.8953000000000002E-2</v>
      </c>
      <c r="G39">
        <f>all_lmics[[#This Row],[2017_population]]*all_lmics[[#This Row],[2016_birthrate]]</f>
        <v>1155690.0908020001</v>
      </c>
      <c r="H39">
        <f>VLOOKUP(all_lmics[[Setting]:[Setting]],birthdose[],4,FALSE)</f>
        <v>0</v>
      </c>
      <c r="I39">
        <f>VLOOKUP(all_lmics[[Setting]:[Setting]],fullvax[],4,FALSE)</f>
        <v>0.8</v>
      </c>
      <c r="J39">
        <f>IFERROR(VLOOKUP(all_lmics[[Setting]:[Setting]],prev[],3,FALSE),0)</f>
        <v>7.4999999999999997E-2</v>
      </c>
      <c r="K39">
        <f>IFERROR(VLOOKUP(all_lmics[[Setting]:[Setting]],prev[],4,FALSE),0)</f>
        <v>5.6000000000000001E-2</v>
      </c>
      <c r="L39">
        <f>IFERROR(VLOOKUP(all_lmics[[Setting]:[Setting]],prev[],5,FALSE),0)</f>
        <v>8.6999999999999994E-2</v>
      </c>
      <c r="M39">
        <f>IFERROR(VLOOKUP(all_lmics[[Setting]:[Setting]],prev[],7,FALSE),0)</f>
        <v>6.1224489795918356E-3</v>
      </c>
      <c r="N39">
        <f>IFERROR(VLOOKUP(all_lmics[[Setting]:[Setting]],prev[],6,FALSE),0)</f>
        <v>29668834</v>
      </c>
      <c r="O39">
        <f>IFERROR(VLOOKUP(all_lmics[[Setting]:[Setting]],SBA[],4,FALSE),0)</f>
        <v>0.54299999999999993</v>
      </c>
      <c r="P39">
        <f>IFERROR(VLOOKUP(all_lmics[[Setting]:[Setting]], facility[], 3,FALSE),0)</f>
        <v>0.54799999999999993</v>
      </c>
      <c r="Q39">
        <f>IFERROR(VLOOKUP(all_lmics[[Setting]:[Setting]],all_cause_mort[],4,FALSE),0)</f>
        <v>5.6336077999999998E-2</v>
      </c>
      <c r="R39">
        <f>IFERROR(VLOOKUP(all_lmics[[Setting]:[Setting]],all_cause_mort[],5,FALSE),0)</f>
        <v>5.1791646999999998E-3</v>
      </c>
      <c r="S39">
        <f>IFERROR(VLOOKUP(all_lmics[[Setting]:[Setting]],all_cause_mort[],6,FALSE),0)</f>
        <v>1.4062116999999999E-3</v>
      </c>
      <c r="T39">
        <f>IFERROR(VLOOKUP(all_lmics[[Setting]:[Setting]],all_cause_mort[],7,FALSE),0)</f>
        <v>1.0978578999999999E-3</v>
      </c>
      <c r="U39">
        <f>IFERROR(VLOOKUP(all_lmics[[Setting]:[Setting]],all_cause_mort[],8,FALSE),0)</f>
        <v>1.7332039999999999E-3</v>
      </c>
      <c r="V39">
        <f>IFERROR(VLOOKUP(all_lmics[[Setting]:[Setting]],all_cause_mort[],9,FALSE),0)</f>
        <v>2.8845515000000001E-3</v>
      </c>
      <c r="W39">
        <f>IFERROR(VLOOKUP(all_lmics[[Setting]:[Setting]],all_cause_mort[],10,FALSE),0)</f>
        <v>4.4360307999999999E-3</v>
      </c>
      <c r="X39">
        <f>IFERROR(VLOOKUP(all_lmics[[Setting]:[Setting]],all_cause_mort[],11,FALSE),0)</f>
        <v>6.1564478999999997E-3</v>
      </c>
      <c r="Y39">
        <f>IFERROR(VLOOKUP(all_lmics[[Setting]:[Setting]],all_cause_mort[],12,FALSE),0)</f>
        <v>8.5899530000000009E-3</v>
      </c>
      <c r="Z39">
        <f>IFERROR(VLOOKUP(all_lmics[[Setting]:[Setting]],all_cause_mort[],13,FALSE),0)</f>
        <v>1.0337483999999999E-2</v>
      </c>
      <c r="AA39">
        <f>IFERROR(VLOOKUP(all_lmics[[Setting]:[Setting]],all_cause_mort[],14,FALSE),0)</f>
        <v>1.221796E-2</v>
      </c>
      <c r="AB39">
        <f>IFERROR(VLOOKUP(all_lmics[[Setting]:[Setting]],all_cause_mort[],15,FALSE),0)</f>
        <v>1.5052225000000001E-2</v>
      </c>
      <c r="AC39">
        <f>IFERROR(VLOOKUP(all_lmics[[Setting]:[Setting]],all_cause_mort[],16,FALSE),0)</f>
        <v>1.8775831999999999E-2</v>
      </c>
      <c r="AD39">
        <f>IFERROR(VLOOKUP(all_lmics[[Setting]:[Setting]],all_cause_mort[],17,FALSE),0)</f>
        <v>2.5708446999999999E-2</v>
      </c>
      <c r="AE39">
        <f>IFERROR(VLOOKUP(all_lmics[[Setting]:[Setting]],all_cause_mort[],18,FALSE),0)</f>
        <v>3.7444529999999997E-2</v>
      </c>
      <c r="AF39">
        <f>IFERROR(VLOOKUP(all_lmics[[Setting]:[Setting]],all_cause_mort[],19,FALSE),0)</f>
        <v>5.7292759999999998E-2</v>
      </c>
      <c r="AG39">
        <f>IFERROR(VLOOKUP(all_lmics[[Setting]:[Setting]],all_cause_mort[],20,FALSE),0)</f>
        <v>9.0017476999999999E-2</v>
      </c>
      <c r="AH39">
        <f>IFERROR(VLOOKUP(all_lmics[[Setting]:[Setting]],all_cause_mort[],21,FALSE),0)</f>
        <v>0.15074603</v>
      </c>
      <c r="AI39">
        <f>IFERROR(VLOOKUP(all_lmics[[Setting]:[Setting]],all_cause_mort[],22,FALSE),0)</f>
        <v>0.25384992000000001</v>
      </c>
      <c r="AJ39">
        <f>IFERROR(VLOOKUP(all_lmics[[Setting]:[Setting]],all_cause_mort[],23,FALSE),0)</f>
        <v>0.4122403</v>
      </c>
      <c r="AK39">
        <f>IFERROR(VLOOKUP(all_lmics[[Setting]:[Setting]],all_cause_mort[],24,FALSE),0)</f>
        <v>0.57469583999999996</v>
      </c>
      <c r="AL39">
        <f>IFERROR(VLOOKUP(all_lmics[[Setting]:[Setting]],all_cause_mort[],25,FALSE),0)</f>
        <v>0.73549270067624095</v>
      </c>
      <c r="AM39">
        <f>VLOOKUP(all_lmics[[worldbank_region]:[worldbank_region]],Table13[],2,FALSE)</f>
        <v>29.912264999999998</v>
      </c>
      <c r="AN39">
        <f>VLOOKUP(all_lmics[[worldbank_region]:[worldbank_region]],Table13[],3,FALSE)</f>
        <v>29.912264999999998</v>
      </c>
      <c r="AO39">
        <f>VLOOKUP(all_lmics[[worldbank_region]:[worldbank_region]],Table13[],4,FALSE)</f>
        <v>77.641124999999988</v>
      </c>
      <c r="AP39">
        <f>VLOOKUP(all_lmics[[worldbank_region]:[worldbank_region]],Table13[],5,FALSE)</f>
        <v>77.641124999999988</v>
      </c>
      <c r="AQ39">
        <f>VLOOKUP(all_lmics[[worldbank_region]:[worldbank_region]],Table13[],6,FALSE)</f>
        <v>77.641124999999988</v>
      </c>
      <c r="AR39">
        <f>VLOOKUP(all_lmics[[worldbank_region]:[worldbank_region]],Table14[],2,FALSE)</f>
        <v>0.96979199999999999</v>
      </c>
      <c r="AS39">
        <f>VLOOKUP(all_lmics[[worldbank_region]:[worldbank_region]],Table14[],3,FALSE)</f>
        <v>1.5872920000000001</v>
      </c>
      <c r="AT39">
        <f>VLOOKUP(all_lmics[[worldbank_region]:[worldbank_region]],Table14[],4,FALSE)</f>
        <v>5.7971629999999994</v>
      </c>
      <c r="AU39">
        <f>VLOOKUP(all_lmics[[worldbank_region]:[worldbank_region]],Table14[],5,FALSE)</f>
        <v>6.4146629999999991</v>
      </c>
      <c r="AV39">
        <f>VLOOKUP(all_lmics[[worldbank_region]:[worldbank_region]],Table14[],6,FALSE)</f>
        <v>6.9849149999999991</v>
      </c>
      <c r="AW39">
        <f>IFERROR(VLOOKUP(all_lmics[[Setting]:[Setting]],nFacSBA[],4,FALSE),0)</f>
        <v>3.3201183156685035E-2</v>
      </c>
      <c r="AX39">
        <f>VLOOKUP(all_lmics[[worldbank_region]:[worldbank_region]],hbe[],2)</f>
        <v>0.3</v>
      </c>
      <c r="AY39">
        <f>VLOOKUP(all_lmics[[worldbank_region]:[worldbank_region]],hbe[],5)</f>
        <v>0.875</v>
      </c>
      <c r="AZ39">
        <f>VLOOKUP(all_lmics[[worldbank_region]:[worldbank_region]],hbe[],8)</f>
        <v>0.15</v>
      </c>
    </row>
    <row r="40" spans="1:52" x14ac:dyDescent="0.35">
      <c r="A40" s="12" t="s">
        <v>148</v>
      </c>
      <c r="B40" s="13" t="s">
        <v>49</v>
      </c>
      <c r="C40" s="13" t="s">
        <v>13</v>
      </c>
      <c r="D40" s="14" t="s">
        <v>15</v>
      </c>
      <c r="E40">
        <f>VLOOKUP(all_lmics[[Setting]:[Setting]],populations[],9,FALSE)</f>
        <v>2533794</v>
      </c>
      <c r="F40">
        <f>VLOOKUP(all_lmics[[Setting]:[Setting]],birthrate[],3,FALSE)</f>
        <v>2.9181000000000002E-2</v>
      </c>
      <c r="G40">
        <f>all_lmics[[#This Row],[2017_population]]*all_lmics[[#This Row],[2016_birthrate]]</f>
        <v>73938.642714000001</v>
      </c>
      <c r="H40">
        <f>VLOOKUP(all_lmics[[Setting]:[Setting]],birthdose[],4,FALSE)</f>
        <v>0.85</v>
      </c>
      <c r="I40">
        <f>VLOOKUP(all_lmics[[Setting]:[Setting]],fullvax[],4,FALSE)</f>
        <v>0.88</v>
      </c>
      <c r="J40">
        <f>IFERROR(VLOOKUP(all_lmics[[Setting]:[Setting]],prev[],3,FALSE),0)</f>
        <v>8.6099999999999996E-2</v>
      </c>
      <c r="K40">
        <f>IFERROR(VLOOKUP(all_lmics[[Setting]:[Setting]],prev[],4,FALSE),0)</f>
        <v>8.1000000000000003E-2</v>
      </c>
      <c r="L40">
        <f>IFERROR(VLOOKUP(all_lmics[[Setting]:[Setting]],prev[],5,FALSE),0)</f>
        <v>9.1600000000000001E-2</v>
      </c>
      <c r="M40">
        <f>IFERROR(VLOOKUP(all_lmics[[Setting]:[Setting]],prev[],7,FALSE),0)</f>
        <v>2.8061224489795943E-3</v>
      </c>
      <c r="N40">
        <f>IFERROR(VLOOKUP(all_lmics[[Setting]:[Setting]],prev[],6,FALSE),0)</f>
        <v>2173170</v>
      </c>
      <c r="O40">
        <f>IFERROR(VLOOKUP(all_lmics[[Setting]:[Setting]],SBA[],4,FALSE),0)</f>
        <v>0.88200000000000001</v>
      </c>
      <c r="P40">
        <f>IFERROR(VLOOKUP(all_lmics[[Setting]:[Setting]], facility[], 3,FALSE),0)</f>
        <v>0.87400000000000011</v>
      </c>
      <c r="Q40">
        <f>IFERROR(VLOOKUP(all_lmics[[Setting]:[Setting]],all_cause_mort[],4,FALSE),0)</f>
        <v>3.4377681E-2</v>
      </c>
      <c r="R40">
        <f>IFERROR(VLOOKUP(all_lmics[[Setting]:[Setting]],all_cause_mort[],5,FALSE),0)</f>
        <v>2.9099013E-3</v>
      </c>
      <c r="S40">
        <f>IFERROR(VLOOKUP(all_lmics[[Setting]:[Setting]],all_cause_mort[],6,FALSE),0)</f>
        <v>1.2285111000000001E-3</v>
      </c>
      <c r="T40">
        <f>IFERROR(VLOOKUP(all_lmics[[Setting]:[Setting]],all_cause_mort[],7,FALSE),0)</f>
        <v>9.9083799999999996E-4</v>
      </c>
      <c r="U40">
        <f>IFERROR(VLOOKUP(all_lmics[[Setting]:[Setting]],all_cause_mort[],8,FALSE),0)</f>
        <v>1.6716044000000001E-3</v>
      </c>
      <c r="V40">
        <f>IFERROR(VLOOKUP(all_lmics[[Setting]:[Setting]],all_cause_mort[],9,FALSE),0)</f>
        <v>2.7393644999999999E-3</v>
      </c>
      <c r="W40">
        <f>IFERROR(VLOOKUP(all_lmics[[Setting]:[Setting]],all_cause_mort[],10,FALSE),0)</f>
        <v>3.9588619999999996E-3</v>
      </c>
      <c r="X40">
        <f>IFERROR(VLOOKUP(all_lmics[[Setting]:[Setting]],all_cause_mort[],11,FALSE),0)</f>
        <v>5.2867195999999998E-3</v>
      </c>
      <c r="Y40">
        <f>IFERROR(VLOOKUP(all_lmics[[Setting]:[Setting]],all_cause_mort[],12,FALSE),0)</f>
        <v>7.1688393999999999E-3</v>
      </c>
      <c r="Z40">
        <f>IFERROR(VLOOKUP(all_lmics[[Setting]:[Setting]],all_cause_mort[],13,FALSE),0)</f>
        <v>8.8100721E-3</v>
      </c>
      <c r="AA40">
        <f>IFERROR(VLOOKUP(all_lmics[[Setting]:[Setting]],all_cause_mort[],14,FALSE),0)</f>
        <v>1.0793336000000001E-2</v>
      </c>
      <c r="AB40">
        <f>IFERROR(VLOOKUP(all_lmics[[Setting]:[Setting]],all_cause_mort[],15,FALSE),0)</f>
        <v>1.3913755999999999E-2</v>
      </c>
      <c r="AC40">
        <f>IFERROR(VLOOKUP(all_lmics[[Setting]:[Setting]],all_cause_mort[],16,FALSE),0)</f>
        <v>1.7548792000000001E-2</v>
      </c>
      <c r="AD40">
        <f>IFERROR(VLOOKUP(all_lmics[[Setting]:[Setting]],all_cause_mort[],17,FALSE),0)</f>
        <v>2.4419335E-2</v>
      </c>
      <c r="AE40">
        <f>IFERROR(VLOOKUP(all_lmics[[Setting]:[Setting]],all_cause_mort[],18,FALSE),0)</f>
        <v>3.6367178E-2</v>
      </c>
      <c r="AF40">
        <f>IFERROR(VLOOKUP(all_lmics[[Setting]:[Setting]],all_cause_mort[],19,FALSE),0)</f>
        <v>5.6585254000000001E-2</v>
      </c>
      <c r="AG40">
        <f>IFERROR(VLOOKUP(all_lmics[[Setting]:[Setting]],all_cause_mort[],20,FALSE),0)</f>
        <v>8.9494286000000006E-2</v>
      </c>
      <c r="AH40">
        <f>IFERROR(VLOOKUP(all_lmics[[Setting]:[Setting]],all_cause_mort[],21,FALSE),0)</f>
        <v>0.14881496999999999</v>
      </c>
      <c r="AI40">
        <f>IFERROR(VLOOKUP(all_lmics[[Setting]:[Setting]],all_cause_mort[],22,FALSE),0)</f>
        <v>0.24959838000000001</v>
      </c>
      <c r="AJ40">
        <f>IFERROR(VLOOKUP(all_lmics[[Setting]:[Setting]],all_cause_mort[],23,FALSE),0)</f>
        <v>0.40919012999999999</v>
      </c>
      <c r="AK40">
        <f>IFERROR(VLOOKUP(all_lmics[[Setting]:[Setting]],all_cause_mort[],24,FALSE),0)</f>
        <v>0.57870319999999997</v>
      </c>
      <c r="AL40">
        <f>IFERROR(VLOOKUP(all_lmics[[Setting]:[Setting]],all_cause_mort[],25,FALSE),0)</f>
        <v>0.75565119412913395</v>
      </c>
      <c r="AM40">
        <f>VLOOKUP(all_lmics[[worldbank_region]:[worldbank_region]],Table13[],2,FALSE)</f>
        <v>29.912264999999998</v>
      </c>
      <c r="AN40">
        <f>VLOOKUP(all_lmics[[worldbank_region]:[worldbank_region]],Table13[],3,FALSE)</f>
        <v>29.912264999999998</v>
      </c>
      <c r="AO40">
        <f>VLOOKUP(all_lmics[[worldbank_region]:[worldbank_region]],Table13[],4,FALSE)</f>
        <v>77.641124999999988</v>
      </c>
      <c r="AP40">
        <f>VLOOKUP(all_lmics[[worldbank_region]:[worldbank_region]],Table13[],5,FALSE)</f>
        <v>77.641124999999988</v>
      </c>
      <c r="AQ40">
        <f>VLOOKUP(all_lmics[[worldbank_region]:[worldbank_region]],Table13[],6,FALSE)</f>
        <v>77.641124999999988</v>
      </c>
      <c r="AR40">
        <f>VLOOKUP(all_lmics[[worldbank_region]:[worldbank_region]],Table14[],2,FALSE)</f>
        <v>0.96979199999999999</v>
      </c>
      <c r="AS40">
        <f>VLOOKUP(all_lmics[[worldbank_region]:[worldbank_region]],Table14[],3,FALSE)</f>
        <v>1.5872920000000001</v>
      </c>
      <c r="AT40">
        <f>VLOOKUP(all_lmics[[worldbank_region]:[worldbank_region]],Table14[],4,FALSE)</f>
        <v>5.7971629999999994</v>
      </c>
      <c r="AU40">
        <f>VLOOKUP(all_lmics[[worldbank_region]:[worldbank_region]],Table14[],5,FALSE)</f>
        <v>6.4146629999999991</v>
      </c>
      <c r="AV40">
        <f>VLOOKUP(all_lmics[[worldbank_region]:[worldbank_region]],Table14[],6,FALSE)</f>
        <v>6.9849149999999991</v>
      </c>
      <c r="AW40">
        <f>IFERROR(VLOOKUP(all_lmics[[Setting]:[Setting]],nFacSBA[],4,FALSE),0)</f>
        <v>0.10050186106812764</v>
      </c>
      <c r="AX40">
        <f>VLOOKUP(all_lmics[[worldbank_region]:[worldbank_region]],hbe[],2)</f>
        <v>0.3</v>
      </c>
      <c r="AY40">
        <f>VLOOKUP(all_lmics[[worldbank_region]:[worldbank_region]],hbe[],5)</f>
        <v>0.875</v>
      </c>
      <c r="AZ40">
        <f>VLOOKUP(all_lmics[[worldbank_region]:[worldbank_region]],hbe[],8)</f>
        <v>0.15</v>
      </c>
    </row>
    <row r="41" spans="1:52" x14ac:dyDescent="0.35">
      <c r="A41" s="8" t="s">
        <v>173</v>
      </c>
      <c r="B41" s="10" t="s">
        <v>49</v>
      </c>
      <c r="C41" s="10" t="s">
        <v>13</v>
      </c>
      <c r="D41" s="11" t="s">
        <v>15</v>
      </c>
      <c r="E41">
        <f>VLOOKUP(all_lmics[[Setting]:[Setting]],populations[],9,FALSE)</f>
        <v>12208407</v>
      </c>
      <c r="F41">
        <f>VLOOKUP(all_lmics[[Setting]:[Setting]],birthrate[],3,FALSE)</f>
        <v>3.1105000000000001E-2</v>
      </c>
      <c r="G41">
        <f>all_lmics[[#This Row],[2017_population]]*all_lmics[[#This Row],[2016_birthrate]]</f>
        <v>379742.49973500002</v>
      </c>
      <c r="H41">
        <f>VLOOKUP(all_lmics[[Setting]:[Setting]],birthdose[],4,FALSE)</f>
        <v>0</v>
      </c>
      <c r="I41">
        <f>VLOOKUP(all_lmics[[Setting]:[Setting]],fullvax[],4,FALSE)</f>
        <v>0.98</v>
      </c>
      <c r="J41">
        <f>IFERROR(VLOOKUP(all_lmics[[Setting]:[Setting]],prev[],3,FALSE),0)</f>
        <v>3.4000000000000002E-2</v>
      </c>
      <c r="K41">
        <f>IFERROR(VLOOKUP(all_lmics[[Setting]:[Setting]],prev[],4,FALSE),0)</f>
        <v>2.1999999999999999E-2</v>
      </c>
      <c r="L41">
        <f>IFERROR(VLOOKUP(all_lmics[[Setting]:[Setting]],prev[],5,FALSE),0)</f>
        <v>4.2999999999999997E-2</v>
      </c>
      <c r="M41">
        <f>IFERROR(VLOOKUP(all_lmics[[Setting]:[Setting]],prev[],7,FALSE),0)</f>
        <v>4.5918367346938745E-3</v>
      </c>
      <c r="N41">
        <f>IFERROR(VLOOKUP(all_lmics[[Setting]:[Setting]],prev[],6,FALSE),0)</f>
        <v>12208407</v>
      </c>
      <c r="O41">
        <f>IFERROR(VLOOKUP(all_lmics[[Setting]:[Setting]],SBA[],4,FALSE),0)</f>
        <v>0.90700000000000003</v>
      </c>
      <c r="P41">
        <f>IFERROR(VLOOKUP(all_lmics[[Setting]:[Setting]], facility[], 3,FALSE),0)</f>
        <v>0.90700000000000003</v>
      </c>
      <c r="Q41">
        <f>IFERROR(VLOOKUP(all_lmics[[Setting]:[Setting]],all_cause_mort[],4,FALSE),0)</f>
        <v>2.9954709E-2</v>
      </c>
      <c r="R41">
        <f>IFERROR(VLOOKUP(all_lmics[[Setting]:[Setting]],all_cause_mort[],5,FALSE),0)</f>
        <v>2.3863735E-3</v>
      </c>
      <c r="S41">
        <f>IFERROR(VLOOKUP(all_lmics[[Setting]:[Setting]],all_cause_mort[],6,FALSE),0)</f>
        <v>9.5066290999999995E-4</v>
      </c>
      <c r="T41">
        <f>IFERROR(VLOOKUP(all_lmics[[Setting]:[Setting]],all_cause_mort[],7,FALSE),0)</f>
        <v>7.3551564999999996E-4</v>
      </c>
      <c r="U41">
        <f>IFERROR(VLOOKUP(all_lmics[[Setting]:[Setting]],all_cause_mort[],8,FALSE),0)</f>
        <v>1.2867931000000001E-3</v>
      </c>
      <c r="V41">
        <f>IFERROR(VLOOKUP(all_lmics[[Setting]:[Setting]],all_cause_mort[],9,FALSE),0)</f>
        <v>1.9402588999999999E-3</v>
      </c>
      <c r="W41">
        <f>IFERROR(VLOOKUP(all_lmics[[Setting]:[Setting]],all_cause_mort[],10,FALSE),0)</f>
        <v>2.3448914000000001E-3</v>
      </c>
      <c r="X41">
        <f>IFERROR(VLOOKUP(all_lmics[[Setting]:[Setting]],all_cause_mort[],11,FALSE),0)</f>
        <v>2.8246602000000002E-3</v>
      </c>
      <c r="Y41">
        <f>IFERROR(VLOOKUP(all_lmics[[Setting]:[Setting]],all_cause_mort[],12,FALSE),0)</f>
        <v>3.5480882000000001E-3</v>
      </c>
      <c r="Z41">
        <f>IFERROR(VLOOKUP(all_lmics[[Setting]:[Setting]],all_cause_mort[],13,FALSE),0)</f>
        <v>4.5664147000000002E-3</v>
      </c>
      <c r="AA41">
        <f>IFERROR(VLOOKUP(all_lmics[[Setting]:[Setting]],all_cause_mort[],14,FALSE),0)</f>
        <v>5.9046825999999998E-3</v>
      </c>
      <c r="AB41">
        <f>IFERROR(VLOOKUP(all_lmics[[Setting]:[Setting]],all_cause_mort[],15,FALSE),0)</f>
        <v>8.5881515000000002E-3</v>
      </c>
      <c r="AC41">
        <f>IFERROR(VLOOKUP(all_lmics[[Setting]:[Setting]],all_cause_mort[],16,FALSE),0)</f>
        <v>1.1652312999999999E-2</v>
      </c>
      <c r="AD41">
        <f>IFERROR(VLOOKUP(all_lmics[[Setting]:[Setting]],all_cause_mort[],17,FALSE),0)</f>
        <v>1.7655196000000001E-2</v>
      </c>
      <c r="AE41">
        <f>IFERROR(VLOOKUP(all_lmics[[Setting]:[Setting]],all_cause_mort[],18,FALSE),0)</f>
        <v>2.7792724000000001E-2</v>
      </c>
      <c r="AF41">
        <f>IFERROR(VLOOKUP(all_lmics[[Setting]:[Setting]],all_cause_mort[],19,FALSE),0)</f>
        <v>4.4643474000000002E-2</v>
      </c>
      <c r="AG41">
        <f>IFERROR(VLOOKUP(all_lmics[[Setting]:[Setting]],all_cause_mort[],20,FALSE),0)</f>
        <v>7.3626358000000003E-2</v>
      </c>
      <c r="AH41">
        <f>IFERROR(VLOOKUP(all_lmics[[Setting]:[Setting]],all_cause_mort[],21,FALSE),0)</f>
        <v>0.12529543000000001</v>
      </c>
      <c r="AI41">
        <f>IFERROR(VLOOKUP(all_lmics[[Setting]:[Setting]],all_cause_mort[],22,FALSE),0)</f>
        <v>0.21214658</v>
      </c>
      <c r="AJ41">
        <f>IFERROR(VLOOKUP(all_lmics[[Setting]:[Setting]],all_cause_mort[],23,FALSE),0)</f>
        <v>0.36240097999999998</v>
      </c>
      <c r="AK41">
        <f>IFERROR(VLOOKUP(all_lmics[[Setting]:[Setting]],all_cause_mort[],24,FALSE),0)</f>
        <v>0.53210800999999996</v>
      </c>
      <c r="AL41">
        <f>IFERROR(VLOOKUP(all_lmics[[Setting]:[Setting]],all_cause_mort[],25,FALSE),0)</f>
        <v>0.72019190521583099</v>
      </c>
      <c r="AM41">
        <f>VLOOKUP(all_lmics[[worldbank_region]:[worldbank_region]],Table13[],2,FALSE)</f>
        <v>29.912264999999998</v>
      </c>
      <c r="AN41">
        <f>VLOOKUP(all_lmics[[worldbank_region]:[worldbank_region]],Table13[],3,FALSE)</f>
        <v>29.912264999999998</v>
      </c>
      <c r="AO41">
        <f>VLOOKUP(all_lmics[[worldbank_region]:[worldbank_region]],Table13[],4,FALSE)</f>
        <v>77.641124999999988</v>
      </c>
      <c r="AP41">
        <f>VLOOKUP(all_lmics[[worldbank_region]:[worldbank_region]],Table13[],5,FALSE)</f>
        <v>77.641124999999988</v>
      </c>
      <c r="AQ41">
        <f>VLOOKUP(all_lmics[[worldbank_region]:[worldbank_region]],Table13[],6,FALSE)</f>
        <v>77.641124999999988</v>
      </c>
      <c r="AR41">
        <f>VLOOKUP(all_lmics[[worldbank_region]:[worldbank_region]],Table14[],2,FALSE)</f>
        <v>0.96979199999999999</v>
      </c>
      <c r="AS41">
        <f>VLOOKUP(all_lmics[[worldbank_region]:[worldbank_region]],Table14[],3,FALSE)</f>
        <v>1.5872920000000001</v>
      </c>
      <c r="AT41">
        <f>VLOOKUP(all_lmics[[worldbank_region]:[worldbank_region]],Table14[],4,FALSE)</f>
        <v>5.7971629999999994</v>
      </c>
      <c r="AU41">
        <f>VLOOKUP(all_lmics[[worldbank_region]:[worldbank_region]],Table14[],5,FALSE)</f>
        <v>6.4146629999999991</v>
      </c>
      <c r="AV41">
        <f>VLOOKUP(all_lmics[[worldbank_region]:[worldbank_region]],Table14[],6,FALSE)</f>
        <v>6.9849149999999991</v>
      </c>
      <c r="AW41">
        <f>IFERROR(VLOOKUP(all_lmics[[Setting]:[Setting]],nFacSBA[],4,FALSE),0)</f>
        <v>1.5845256328023073E-2</v>
      </c>
      <c r="AX41">
        <f>VLOOKUP(all_lmics[[worldbank_region]:[worldbank_region]],hbe[],2)</f>
        <v>0.3</v>
      </c>
      <c r="AY41">
        <f>VLOOKUP(all_lmics[[worldbank_region]:[worldbank_region]],hbe[],5)</f>
        <v>0.875</v>
      </c>
      <c r="AZ41">
        <f>VLOOKUP(all_lmics[[worldbank_region]:[worldbank_region]],hbe[],8)</f>
        <v>0.15</v>
      </c>
    </row>
    <row r="42" spans="1:52" x14ac:dyDescent="0.35">
      <c r="A42" s="12" t="s">
        <v>190</v>
      </c>
      <c r="B42" s="13" t="s">
        <v>49</v>
      </c>
      <c r="C42" s="13" t="s">
        <v>13</v>
      </c>
      <c r="D42" s="14" t="s">
        <v>15</v>
      </c>
      <c r="E42">
        <f>VLOOKUP(all_lmics[[Setting]:[Setting]],populations[],9,FALSE)</f>
        <v>56717156</v>
      </c>
      <c r="F42">
        <f>VLOOKUP(all_lmics[[Setting]:[Setting]],birthrate[],3,FALSE)</f>
        <v>2.0981000000000003E-2</v>
      </c>
      <c r="G42">
        <f>all_lmics[[#This Row],[2017_population]]*all_lmics[[#This Row],[2016_birthrate]]</f>
        <v>1189982.6500360002</v>
      </c>
      <c r="H42">
        <f>VLOOKUP(all_lmics[[Setting]:[Setting]],birthdose[],4,FALSE)</f>
        <v>0</v>
      </c>
      <c r="I42">
        <f>VLOOKUP(all_lmics[[Setting]:[Setting]],fullvax[],4,FALSE)</f>
        <v>0.66</v>
      </c>
      <c r="J42">
        <f>IFERROR(VLOOKUP(all_lmics[[Setting]:[Setting]],prev[],3,FALSE),0)</f>
        <v>6.7000000000000004E-2</v>
      </c>
      <c r="K42">
        <f>IFERROR(VLOOKUP(all_lmics[[Setting]:[Setting]],prev[],4,FALSE),0)</f>
        <v>6.5600000000000006E-2</v>
      </c>
      <c r="L42">
        <f>IFERROR(VLOOKUP(all_lmics[[Setting]:[Setting]],prev[],5,FALSE),0)</f>
        <v>6.83E-2</v>
      </c>
      <c r="M42">
        <f>IFERROR(VLOOKUP(all_lmics[[Setting]:[Setting]],prev[],7,FALSE),0)</f>
        <v>6.6326530612244674E-4</v>
      </c>
      <c r="N42">
        <f>IFERROR(VLOOKUP(all_lmics[[Setting]:[Setting]],prev[],6,FALSE),0)</f>
        <v>51584663</v>
      </c>
      <c r="O42">
        <f>IFERROR(VLOOKUP(all_lmics[[Setting]:[Setting]],SBA[],4,FALSE),0)</f>
        <v>0.96700000000000008</v>
      </c>
      <c r="P42">
        <f>IFERROR(VLOOKUP(all_lmics[[Setting]:[Setting]], facility[], 3,FALSE),0)</f>
        <v>0.95900000000000007</v>
      </c>
      <c r="Q42">
        <f>IFERROR(VLOOKUP(all_lmics[[Setting]:[Setting]],all_cause_mort[],4,FALSE),0)</f>
        <v>2.7909070000000001E-2</v>
      </c>
      <c r="R42">
        <f>IFERROR(VLOOKUP(all_lmics[[Setting]:[Setting]],all_cause_mort[],5,FALSE),0)</f>
        <v>2.1218449000000002E-3</v>
      </c>
      <c r="S42">
        <f>IFERROR(VLOOKUP(all_lmics[[Setting]:[Setting]],all_cause_mort[],6,FALSE),0)</f>
        <v>9.0383431999999997E-4</v>
      </c>
      <c r="T42">
        <f>IFERROR(VLOOKUP(all_lmics[[Setting]:[Setting]],all_cause_mort[],7,FALSE),0)</f>
        <v>7.5496861000000001E-4</v>
      </c>
      <c r="U42">
        <f>IFERROR(VLOOKUP(all_lmics[[Setting]:[Setting]],all_cause_mort[],8,FALSE),0)</f>
        <v>1.2856090000000001E-3</v>
      </c>
      <c r="V42">
        <f>IFERROR(VLOOKUP(all_lmics[[Setting]:[Setting]],all_cause_mort[],9,FALSE),0)</f>
        <v>2.298259E-3</v>
      </c>
      <c r="W42">
        <f>IFERROR(VLOOKUP(all_lmics[[Setting]:[Setting]],all_cause_mort[],10,FALSE),0)</f>
        <v>3.8612385000000001E-3</v>
      </c>
      <c r="X42">
        <f>IFERROR(VLOOKUP(all_lmics[[Setting]:[Setting]],all_cause_mort[],11,FALSE),0)</f>
        <v>5.6595014000000001E-3</v>
      </c>
      <c r="Y42">
        <f>IFERROR(VLOOKUP(all_lmics[[Setting]:[Setting]],all_cause_mort[],12,FALSE),0)</f>
        <v>8.2823536000000003E-3</v>
      </c>
      <c r="Z42">
        <f>IFERROR(VLOOKUP(all_lmics[[Setting]:[Setting]],all_cause_mort[],13,FALSE),0)</f>
        <v>1.0016407999999999E-2</v>
      </c>
      <c r="AA42">
        <f>IFERROR(VLOOKUP(all_lmics[[Setting]:[Setting]],all_cause_mort[],14,FALSE),0)</f>
        <v>1.2063865E-2</v>
      </c>
      <c r="AB42">
        <f>IFERROR(VLOOKUP(all_lmics[[Setting]:[Setting]],all_cause_mort[],15,FALSE),0)</f>
        <v>1.4736122000000001E-2</v>
      </c>
      <c r="AC42">
        <f>IFERROR(VLOOKUP(all_lmics[[Setting]:[Setting]],all_cause_mort[],16,FALSE),0)</f>
        <v>1.8084685E-2</v>
      </c>
      <c r="AD42">
        <f>IFERROR(VLOOKUP(all_lmics[[Setting]:[Setting]],all_cause_mort[],17,FALSE),0)</f>
        <v>2.4283699999999998E-2</v>
      </c>
      <c r="AE42">
        <f>IFERROR(VLOOKUP(all_lmics[[Setting]:[Setting]],all_cause_mort[],18,FALSE),0)</f>
        <v>3.4975309000000003E-2</v>
      </c>
      <c r="AF42">
        <f>IFERROR(VLOOKUP(all_lmics[[Setting]:[Setting]],all_cause_mort[],19,FALSE),0)</f>
        <v>5.3042563000000001E-2</v>
      </c>
      <c r="AG42">
        <f>IFERROR(VLOOKUP(all_lmics[[Setting]:[Setting]],all_cause_mort[],20,FALSE),0)</f>
        <v>8.2962307999999998E-2</v>
      </c>
      <c r="AH42">
        <f>IFERROR(VLOOKUP(all_lmics[[Setting]:[Setting]],all_cause_mort[],21,FALSE),0)</f>
        <v>0.13974455999999999</v>
      </c>
      <c r="AI42">
        <f>IFERROR(VLOOKUP(all_lmics[[Setting]:[Setting]],all_cause_mort[],22,FALSE),0)</f>
        <v>0.23894778999999999</v>
      </c>
      <c r="AJ42">
        <f>IFERROR(VLOOKUP(all_lmics[[Setting]:[Setting]],all_cause_mort[],23,FALSE),0)</f>
        <v>0.39206336000000003</v>
      </c>
      <c r="AK42">
        <f>IFERROR(VLOOKUP(all_lmics[[Setting]:[Setting]],all_cause_mort[],24,FALSE),0)</f>
        <v>0.55045809999999995</v>
      </c>
      <c r="AL42">
        <f>IFERROR(VLOOKUP(all_lmics[[Setting]:[Setting]],all_cause_mort[],25,FALSE),0)</f>
        <v>0.71037610863071499</v>
      </c>
      <c r="AM42">
        <f>VLOOKUP(all_lmics[[worldbank_region]:[worldbank_region]],Table13[],2,FALSE)</f>
        <v>29.912264999999998</v>
      </c>
      <c r="AN42">
        <f>VLOOKUP(all_lmics[[worldbank_region]:[worldbank_region]],Table13[],3,FALSE)</f>
        <v>29.912264999999998</v>
      </c>
      <c r="AO42">
        <f>VLOOKUP(all_lmics[[worldbank_region]:[worldbank_region]],Table13[],4,FALSE)</f>
        <v>77.641124999999988</v>
      </c>
      <c r="AP42">
        <f>VLOOKUP(all_lmics[[worldbank_region]:[worldbank_region]],Table13[],5,FALSE)</f>
        <v>77.641124999999988</v>
      </c>
      <c r="AQ42">
        <f>VLOOKUP(all_lmics[[worldbank_region]:[worldbank_region]],Table13[],6,FALSE)</f>
        <v>77.641124999999988</v>
      </c>
      <c r="AR42">
        <f>VLOOKUP(all_lmics[[worldbank_region]:[worldbank_region]],Table14[],2,FALSE)</f>
        <v>0.96979199999999999</v>
      </c>
      <c r="AS42">
        <f>VLOOKUP(all_lmics[[worldbank_region]:[worldbank_region]],Table14[],3,FALSE)</f>
        <v>1.5872920000000001</v>
      </c>
      <c r="AT42">
        <f>VLOOKUP(all_lmics[[worldbank_region]:[worldbank_region]],Table14[],4,FALSE)</f>
        <v>5.7971629999999994</v>
      </c>
      <c r="AU42">
        <f>VLOOKUP(all_lmics[[worldbank_region]:[worldbank_region]],Table14[],5,FALSE)</f>
        <v>6.4146629999999991</v>
      </c>
      <c r="AV42">
        <f>VLOOKUP(all_lmics[[worldbank_region]:[worldbank_region]],Table14[],6,FALSE)</f>
        <v>6.9849149999999991</v>
      </c>
      <c r="AW42">
        <f>IFERROR(VLOOKUP(all_lmics[[Setting]:[Setting]],nFacSBA[],4,FALSE),0)</f>
        <v>0</v>
      </c>
      <c r="AX42">
        <f>VLOOKUP(all_lmics[[worldbank_region]:[worldbank_region]],hbe[],2)</f>
        <v>0.3</v>
      </c>
      <c r="AY42">
        <f>VLOOKUP(all_lmics[[worldbank_region]:[worldbank_region]],hbe[],5)</f>
        <v>0.875</v>
      </c>
      <c r="AZ42">
        <f>VLOOKUP(all_lmics[[worldbank_region]:[worldbank_region]],hbe[],8)</f>
        <v>0.15</v>
      </c>
    </row>
    <row r="43" spans="1:52" x14ac:dyDescent="0.35">
      <c r="A43" s="8" t="s">
        <v>191</v>
      </c>
      <c r="B43" s="10" t="s">
        <v>49</v>
      </c>
      <c r="C43" s="10" t="s">
        <v>13</v>
      </c>
      <c r="D43" s="11" t="s">
        <v>15</v>
      </c>
      <c r="E43">
        <f>VLOOKUP(all_lmics[[Setting]:[Setting]],populations[],9,FALSE)</f>
        <v>12575714</v>
      </c>
      <c r="F43">
        <f>VLOOKUP(all_lmics[[Setting]:[Setting]],birthrate[],3,FALSE)</f>
        <v>3.5936000000000003E-2</v>
      </c>
      <c r="G43">
        <f>all_lmics[[#This Row],[2017_population]]*all_lmics[[#This Row],[2016_birthrate]]</f>
        <v>451920.85830400005</v>
      </c>
      <c r="H43">
        <f>VLOOKUP(all_lmics[[Setting]:[Setting]],birthdose[],4,FALSE)</f>
        <v>0</v>
      </c>
      <c r="I43">
        <f>VLOOKUP(all_lmics[[Setting]:[Setting]],fullvax[],4,FALSE)</f>
        <v>0.26</v>
      </c>
      <c r="J43">
        <f>IFERROR(VLOOKUP(all_lmics[[Setting]:[Setting]],prev[],3,FALSE),0)</f>
        <v>0.2238</v>
      </c>
      <c r="K43">
        <f>IFERROR(VLOOKUP(all_lmics[[Setting]:[Setting]],prev[],4,FALSE),0)</f>
        <v>0.20100000000000001</v>
      </c>
      <c r="L43">
        <f>IFERROR(VLOOKUP(all_lmics[[Setting]:[Setting]],prev[],5,FALSE),0)</f>
        <v>0.24829999999999999</v>
      </c>
      <c r="M43">
        <f>IFERROR(VLOOKUP(all_lmics[[Setting]:[Setting]],prev[],7,FALSE),0)</f>
        <v>1.2499999999999997E-2</v>
      </c>
      <c r="N43">
        <f>IFERROR(VLOOKUP(all_lmics[[Setting]:[Setting]],prev[],6,FALSE),0)</f>
        <v>10067192</v>
      </c>
      <c r="O43">
        <f>IFERROR(VLOOKUP(all_lmics[[Setting]:[Setting]],SBA[],4,FALSE),0)</f>
        <v>0.19399999999999998</v>
      </c>
      <c r="P43">
        <f>IFERROR(VLOOKUP(all_lmics[[Setting]:[Setting]], facility[], 3,FALSE),0)</f>
        <v>0.115</v>
      </c>
      <c r="Q43">
        <f>IFERROR(VLOOKUP(all_lmics[[Setting]:[Setting]],all_cause_mort[],4,FALSE),0)</f>
        <v>6.7728423999999995E-2</v>
      </c>
      <c r="R43">
        <f>IFERROR(VLOOKUP(all_lmics[[Setting]:[Setting]],all_cause_mort[],5,FALSE),0)</f>
        <v>9.3465102999999994E-3</v>
      </c>
      <c r="S43">
        <f>IFERROR(VLOOKUP(all_lmics[[Setting]:[Setting]],all_cause_mort[],6,FALSE),0)</f>
        <v>3.8002976E-3</v>
      </c>
      <c r="T43">
        <f>IFERROR(VLOOKUP(all_lmics[[Setting]:[Setting]],all_cause_mort[],7,FALSE),0)</f>
        <v>2.3006838999999999E-3</v>
      </c>
      <c r="U43">
        <f>IFERROR(VLOOKUP(all_lmics[[Setting]:[Setting]],all_cause_mort[],8,FALSE),0)</f>
        <v>2.9704152000000002E-3</v>
      </c>
      <c r="V43">
        <f>IFERROR(VLOOKUP(all_lmics[[Setting]:[Setting]],all_cause_mort[],9,FALSE),0)</f>
        <v>4.1192366999999999E-3</v>
      </c>
      <c r="W43">
        <f>IFERROR(VLOOKUP(all_lmics[[Setting]:[Setting]],all_cause_mort[],10,FALSE),0)</f>
        <v>5.5669517999999999E-3</v>
      </c>
      <c r="X43">
        <f>IFERROR(VLOOKUP(all_lmics[[Setting]:[Setting]],all_cause_mort[],11,FALSE),0)</f>
        <v>7.1044489000000001E-3</v>
      </c>
      <c r="Y43">
        <f>IFERROR(VLOOKUP(all_lmics[[Setting]:[Setting]],all_cause_mort[],12,FALSE),0)</f>
        <v>9.1361527000000005E-3</v>
      </c>
      <c r="Z43">
        <f>IFERROR(VLOOKUP(all_lmics[[Setting]:[Setting]],all_cause_mort[],13,FALSE),0)</f>
        <v>1.0016008E-2</v>
      </c>
      <c r="AA43">
        <f>IFERROR(VLOOKUP(all_lmics[[Setting]:[Setting]],all_cause_mort[],14,FALSE),0)</f>
        <v>1.1137097E-2</v>
      </c>
      <c r="AB43">
        <f>IFERROR(VLOOKUP(all_lmics[[Setting]:[Setting]],all_cause_mort[],15,FALSE),0)</f>
        <v>1.3203001000000001E-2</v>
      </c>
      <c r="AC43">
        <f>IFERROR(VLOOKUP(all_lmics[[Setting]:[Setting]],all_cause_mort[],16,FALSE),0)</f>
        <v>1.6425408999999998E-2</v>
      </c>
      <c r="AD43">
        <f>IFERROR(VLOOKUP(all_lmics[[Setting]:[Setting]],all_cause_mort[],17,FALSE),0)</f>
        <v>2.3767119E-2</v>
      </c>
      <c r="AE43">
        <f>IFERROR(VLOOKUP(all_lmics[[Setting]:[Setting]],all_cause_mort[],18,FALSE),0)</f>
        <v>3.4531913999999997E-2</v>
      </c>
      <c r="AF43">
        <f>IFERROR(VLOOKUP(all_lmics[[Setting]:[Setting]],all_cause_mort[],19,FALSE),0)</f>
        <v>5.4631733000000002E-2</v>
      </c>
      <c r="AG43">
        <f>IFERROR(VLOOKUP(all_lmics[[Setting]:[Setting]],all_cause_mort[],20,FALSE),0)</f>
        <v>8.6265019999999998E-2</v>
      </c>
      <c r="AH43">
        <f>IFERROR(VLOOKUP(all_lmics[[Setting]:[Setting]],all_cause_mort[],21,FALSE),0)</f>
        <v>0.13691693999999999</v>
      </c>
      <c r="AI43">
        <f>IFERROR(VLOOKUP(all_lmics[[Setting]:[Setting]],all_cause_mort[],22,FALSE),0)</f>
        <v>0.20671392</v>
      </c>
      <c r="AJ43">
        <f>IFERROR(VLOOKUP(all_lmics[[Setting]:[Setting]],all_cause_mort[],23,FALSE),0)</f>
        <v>0.29585280000000003</v>
      </c>
      <c r="AK43">
        <f>IFERROR(VLOOKUP(all_lmics[[Setting]:[Setting]],all_cause_mort[],24,FALSE),0)</f>
        <v>0.39914906</v>
      </c>
      <c r="AL43">
        <f>IFERROR(VLOOKUP(all_lmics[[Setting]:[Setting]],all_cause_mort[],25,FALSE),0)</f>
        <v>0.544192632001814</v>
      </c>
      <c r="AM43">
        <f>VLOOKUP(all_lmics[[worldbank_region]:[worldbank_region]],Table13[],2,FALSE)</f>
        <v>29.912264999999998</v>
      </c>
      <c r="AN43">
        <f>VLOOKUP(all_lmics[[worldbank_region]:[worldbank_region]],Table13[],3,FALSE)</f>
        <v>29.912264999999998</v>
      </c>
      <c r="AO43">
        <f>VLOOKUP(all_lmics[[worldbank_region]:[worldbank_region]],Table13[],4,FALSE)</f>
        <v>77.641124999999988</v>
      </c>
      <c r="AP43">
        <f>VLOOKUP(all_lmics[[worldbank_region]:[worldbank_region]],Table13[],5,FALSE)</f>
        <v>77.641124999999988</v>
      </c>
      <c r="AQ43">
        <f>VLOOKUP(all_lmics[[worldbank_region]:[worldbank_region]],Table13[],6,FALSE)</f>
        <v>77.641124999999988</v>
      </c>
      <c r="AR43">
        <f>VLOOKUP(all_lmics[[worldbank_region]:[worldbank_region]],Table14[],2,FALSE)</f>
        <v>0.96979199999999999</v>
      </c>
      <c r="AS43">
        <f>VLOOKUP(all_lmics[[worldbank_region]:[worldbank_region]],Table14[],3,FALSE)</f>
        <v>1.5872920000000001</v>
      </c>
      <c r="AT43">
        <f>VLOOKUP(all_lmics[[worldbank_region]:[worldbank_region]],Table14[],4,FALSE)</f>
        <v>5.7971629999999994</v>
      </c>
      <c r="AU43">
        <f>VLOOKUP(all_lmics[[worldbank_region]:[worldbank_region]],Table14[],5,FALSE)</f>
        <v>6.4146629999999991</v>
      </c>
      <c r="AV43">
        <f>VLOOKUP(all_lmics[[worldbank_region]:[worldbank_region]],Table14[],6,FALSE)</f>
        <v>6.9849149999999991</v>
      </c>
      <c r="AW43">
        <f>IFERROR(VLOOKUP(all_lmics[[Setting]:[Setting]],nFacSBA[],4,FALSE),0)</f>
        <v>0</v>
      </c>
      <c r="AX43">
        <f>VLOOKUP(all_lmics[[worldbank_region]:[worldbank_region]],hbe[],2)</f>
        <v>0.3</v>
      </c>
      <c r="AY43">
        <f>VLOOKUP(all_lmics[[worldbank_region]:[worldbank_region]],hbe[],5)</f>
        <v>0.875</v>
      </c>
      <c r="AZ43">
        <f>VLOOKUP(all_lmics[[worldbank_region]:[worldbank_region]],hbe[],8)</f>
        <v>0.15</v>
      </c>
    </row>
    <row r="44" spans="1:52" x14ac:dyDescent="0.35">
      <c r="A44" s="8" t="s">
        <v>211</v>
      </c>
      <c r="B44" s="10" t="s">
        <v>49</v>
      </c>
      <c r="C44" s="10" t="s">
        <v>13</v>
      </c>
      <c r="D44" s="11" t="s">
        <v>15</v>
      </c>
      <c r="E44">
        <f>VLOOKUP(all_lmics[[Setting]:[Setting]],populations[],9,FALSE)</f>
        <v>42862958</v>
      </c>
      <c r="F44">
        <f>VLOOKUP(all_lmics[[Setting]:[Setting]],birthrate[],3,FALSE)</f>
        <v>4.2144000000000001E-2</v>
      </c>
      <c r="G44">
        <f>all_lmics[[#This Row],[2017_population]]*all_lmics[[#This Row],[2016_birthrate]]</f>
        <v>1806416.501952</v>
      </c>
      <c r="H44">
        <f>VLOOKUP(all_lmics[[Setting]:[Setting]],birthdose[],4,FALSE)</f>
        <v>0</v>
      </c>
      <c r="I44">
        <f>VLOOKUP(all_lmics[[Setting]:[Setting]],fullvax[],4,FALSE)</f>
        <v>0.85</v>
      </c>
      <c r="J44">
        <f>IFERROR(VLOOKUP(all_lmics[[Setting]:[Setting]],prev[],3,FALSE),0)</f>
        <v>5.5E-2</v>
      </c>
      <c r="K44">
        <f>IFERROR(VLOOKUP(all_lmics[[Setting]:[Setting]],prev[],4,FALSE),0)</f>
        <v>4.4999999999999998E-2</v>
      </c>
      <c r="L44">
        <f>IFERROR(VLOOKUP(all_lmics[[Setting]:[Setting]],prev[],5,FALSE),0)</f>
        <v>0.06</v>
      </c>
      <c r="M44">
        <f>IFERROR(VLOOKUP(all_lmics[[Setting]:[Setting]],prev[],7,FALSE),0)</f>
        <v>2.5510204081632642E-3</v>
      </c>
      <c r="N44">
        <f>IFERROR(VLOOKUP(all_lmics[[Setting]:[Setting]],prev[],6,FALSE),0)</f>
        <v>42862958</v>
      </c>
      <c r="O44">
        <f>IFERROR(VLOOKUP(all_lmics[[Setting]:[Setting]],SBA[],4,FALSE),0)</f>
        <v>0.74199999999999999</v>
      </c>
      <c r="P44">
        <f>IFERROR(VLOOKUP(all_lmics[[Setting]:[Setting]], facility[], 3,FALSE),0)</f>
        <v>0.7340000000000001</v>
      </c>
      <c r="Q44">
        <f>IFERROR(VLOOKUP(all_lmics[[Setting]:[Setting]],all_cause_mort[],4,FALSE),0)</f>
        <v>4.7964474E-2</v>
      </c>
      <c r="R44">
        <f>IFERROR(VLOOKUP(all_lmics[[Setting]:[Setting]],all_cause_mort[],5,FALSE),0)</f>
        <v>4.4152514000000004E-3</v>
      </c>
      <c r="S44">
        <f>IFERROR(VLOOKUP(all_lmics[[Setting]:[Setting]],all_cause_mort[],6,FALSE),0)</f>
        <v>1.4883652E-3</v>
      </c>
      <c r="T44">
        <f>IFERROR(VLOOKUP(all_lmics[[Setting]:[Setting]],all_cause_mort[],7,FALSE),0)</f>
        <v>1.1156174000000001E-3</v>
      </c>
      <c r="U44">
        <f>IFERROR(VLOOKUP(all_lmics[[Setting]:[Setting]],all_cause_mort[],8,FALSE),0)</f>
        <v>1.8294050999999999E-3</v>
      </c>
      <c r="V44">
        <f>IFERROR(VLOOKUP(all_lmics[[Setting]:[Setting]],all_cause_mort[],9,FALSE),0)</f>
        <v>2.8235673E-3</v>
      </c>
      <c r="W44">
        <f>IFERROR(VLOOKUP(all_lmics[[Setting]:[Setting]],all_cause_mort[],10,FALSE),0)</f>
        <v>3.6733421E-3</v>
      </c>
      <c r="X44">
        <f>IFERROR(VLOOKUP(all_lmics[[Setting]:[Setting]],all_cause_mort[],11,FALSE),0)</f>
        <v>4.5912204000000002E-3</v>
      </c>
      <c r="Y44">
        <f>IFERROR(VLOOKUP(all_lmics[[Setting]:[Setting]],all_cause_mort[],12,FALSE),0)</f>
        <v>5.8871657000000004E-3</v>
      </c>
      <c r="Z44">
        <f>IFERROR(VLOOKUP(all_lmics[[Setting]:[Setting]],all_cause_mort[],13,FALSE),0)</f>
        <v>7.2906428000000002E-3</v>
      </c>
      <c r="AA44">
        <f>IFERROR(VLOOKUP(all_lmics[[Setting]:[Setting]],all_cause_mort[],14,FALSE),0)</f>
        <v>9.0406501000000004E-3</v>
      </c>
      <c r="AB44">
        <f>IFERROR(VLOOKUP(all_lmics[[Setting]:[Setting]],all_cause_mort[],15,FALSE),0)</f>
        <v>1.2205478000000001E-2</v>
      </c>
      <c r="AC44">
        <f>IFERROR(VLOOKUP(all_lmics[[Setting]:[Setting]],all_cause_mort[],16,FALSE),0)</f>
        <v>1.5867506E-2</v>
      </c>
      <c r="AD44">
        <f>IFERROR(VLOOKUP(all_lmics[[Setting]:[Setting]],all_cause_mort[],17,FALSE),0)</f>
        <v>2.3012912E-2</v>
      </c>
      <c r="AE44">
        <f>IFERROR(VLOOKUP(all_lmics[[Setting]:[Setting]],all_cause_mort[],18,FALSE),0)</f>
        <v>3.5077875000000001E-2</v>
      </c>
      <c r="AF44">
        <f>IFERROR(VLOOKUP(all_lmics[[Setting]:[Setting]],all_cause_mort[],19,FALSE),0)</f>
        <v>5.5315814999999997E-2</v>
      </c>
      <c r="AG44">
        <f>IFERROR(VLOOKUP(all_lmics[[Setting]:[Setting]],all_cause_mort[],20,FALSE),0)</f>
        <v>8.8928993999999997E-2</v>
      </c>
      <c r="AH44">
        <f>IFERROR(VLOOKUP(all_lmics[[Setting]:[Setting]],all_cause_mort[],21,FALSE),0)</f>
        <v>0.14874492</v>
      </c>
      <c r="AI44">
        <f>IFERROR(VLOOKUP(all_lmics[[Setting]:[Setting]],all_cause_mort[],22,FALSE),0)</f>
        <v>0.24952477000000001</v>
      </c>
      <c r="AJ44">
        <f>IFERROR(VLOOKUP(all_lmics[[Setting]:[Setting]],all_cause_mort[],23,FALSE),0)</f>
        <v>0.41351072</v>
      </c>
      <c r="AK44">
        <f>IFERROR(VLOOKUP(all_lmics[[Setting]:[Setting]],all_cause_mort[],24,FALSE),0)</f>
        <v>0.58998212999999999</v>
      </c>
      <c r="AL44">
        <f>IFERROR(VLOOKUP(all_lmics[[Setting]:[Setting]],all_cause_mort[],25,FALSE),0)</f>
        <v>0.77539035088739605</v>
      </c>
      <c r="AM44">
        <f>VLOOKUP(all_lmics[[worldbank_region]:[worldbank_region]],Table13[],2,FALSE)</f>
        <v>29.912264999999998</v>
      </c>
      <c r="AN44">
        <f>VLOOKUP(all_lmics[[worldbank_region]:[worldbank_region]],Table13[],3,FALSE)</f>
        <v>29.912264999999998</v>
      </c>
      <c r="AO44">
        <f>VLOOKUP(all_lmics[[worldbank_region]:[worldbank_region]],Table13[],4,FALSE)</f>
        <v>77.641124999999988</v>
      </c>
      <c r="AP44">
        <f>VLOOKUP(all_lmics[[worldbank_region]:[worldbank_region]],Table13[],5,FALSE)</f>
        <v>77.641124999999988</v>
      </c>
      <c r="AQ44">
        <f>VLOOKUP(all_lmics[[worldbank_region]:[worldbank_region]],Table13[],6,FALSE)</f>
        <v>77.641124999999988</v>
      </c>
      <c r="AR44">
        <f>VLOOKUP(all_lmics[[worldbank_region]:[worldbank_region]],Table14[],2,FALSE)</f>
        <v>0.96979199999999999</v>
      </c>
      <c r="AS44">
        <f>VLOOKUP(all_lmics[[worldbank_region]:[worldbank_region]],Table14[],3,FALSE)</f>
        <v>1.5872920000000001</v>
      </c>
      <c r="AT44">
        <f>VLOOKUP(all_lmics[[worldbank_region]:[worldbank_region]],Table14[],4,FALSE)</f>
        <v>5.7971629999999994</v>
      </c>
      <c r="AU44">
        <f>VLOOKUP(all_lmics[[worldbank_region]:[worldbank_region]],Table14[],5,FALSE)</f>
        <v>6.4146629999999991</v>
      </c>
      <c r="AV44">
        <f>VLOOKUP(all_lmics[[worldbank_region]:[worldbank_region]],Table14[],6,FALSE)</f>
        <v>6.9849149999999991</v>
      </c>
      <c r="AW44">
        <f>IFERROR(VLOOKUP(all_lmics[[Setting]:[Setting]],nFacSBA[],4,FALSE),0)</f>
        <v>4.6331060418165898E-2</v>
      </c>
      <c r="AX44">
        <f>VLOOKUP(all_lmics[[worldbank_region]:[worldbank_region]],hbe[],2)</f>
        <v>0.3</v>
      </c>
      <c r="AY44">
        <f>VLOOKUP(all_lmics[[worldbank_region]:[worldbank_region]],hbe[],5)</f>
        <v>0.875</v>
      </c>
      <c r="AZ44">
        <f>VLOOKUP(all_lmics[[worldbank_region]:[worldbank_region]],hbe[],8)</f>
        <v>0.15</v>
      </c>
    </row>
    <row r="45" spans="1:52" x14ac:dyDescent="0.35">
      <c r="A45" s="8" t="s">
        <v>215</v>
      </c>
      <c r="B45" s="10" t="s">
        <v>49</v>
      </c>
      <c r="C45" s="10" t="s">
        <v>13</v>
      </c>
      <c r="D45" s="11" t="s">
        <v>15</v>
      </c>
      <c r="E45">
        <f>VLOOKUP(all_lmics[[Setting]:[Setting]],populations[],9,FALSE)</f>
        <v>57310019</v>
      </c>
      <c r="F45">
        <f>VLOOKUP(all_lmics[[Setting]:[Setting]],birthrate[],3,FALSE)</f>
        <v>3.8185999999999998E-2</v>
      </c>
      <c r="G45">
        <f>all_lmics[[#This Row],[2017_population]]*all_lmics[[#This Row],[2016_birthrate]]</f>
        <v>2188440.3855339997</v>
      </c>
      <c r="H45">
        <f>VLOOKUP(all_lmics[[Setting]:[Setting]],birthdose[],4,FALSE)</f>
        <v>0</v>
      </c>
      <c r="I45">
        <f>VLOOKUP(all_lmics[[Setting]:[Setting]],fullvax[],4,FALSE)</f>
        <v>0.97</v>
      </c>
      <c r="J45">
        <f>IFERROR(VLOOKUP(all_lmics[[Setting]:[Setting]],prev[],3,FALSE),0)</f>
        <v>4.1000000000000002E-2</v>
      </c>
      <c r="K45">
        <f>IFERROR(VLOOKUP(all_lmics[[Setting]:[Setting]],prev[],4,FALSE),0)</f>
        <v>3.2000000000000001E-2</v>
      </c>
      <c r="L45">
        <f>IFERROR(VLOOKUP(all_lmics[[Setting]:[Setting]],prev[],5,FALSE),0)</f>
        <v>5.3999999999999999E-2</v>
      </c>
      <c r="M45">
        <f>IFERROR(VLOOKUP(all_lmics[[Setting]:[Setting]],prev[],7,FALSE),0)</f>
        <v>6.6326530612244887E-3</v>
      </c>
      <c r="N45">
        <f>IFERROR(VLOOKUP(all_lmics[[Setting]:[Setting]],prev[],6,FALSE),0)</f>
        <v>57310019</v>
      </c>
      <c r="O45">
        <f>IFERROR(VLOOKUP(all_lmics[[Setting]:[Setting]],SBA[],4,FALSE),0)</f>
        <v>0.63500000000000001</v>
      </c>
      <c r="P45">
        <f>IFERROR(VLOOKUP(all_lmics[[Setting]:[Setting]], facility[], 3,FALSE),0)</f>
        <v>0.626</v>
      </c>
      <c r="Q45">
        <f>IFERROR(VLOOKUP(all_lmics[[Setting]:[Setting]],all_cause_mort[],4,FALSE),0)</f>
        <v>4.2681573E-2</v>
      </c>
      <c r="R45">
        <f>IFERROR(VLOOKUP(all_lmics[[Setting]:[Setting]],all_cause_mort[],5,FALSE),0)</f>
        <v>4.0373199999999996E-3</v>
      </c>
      <c r="S45">
        <f>IFERROR(VLOOKUP(all_lmics[[Setting]:[Setting]],all_cause_mort[],6,FALSE),0)</f>
        <v>1.575459E-3</v>
      </c>
      <c r="T45">
        <f>IFERROR(VLOOKUP(all_lmics[[Setting]:[Setting]],all_cause_mort[],7,FALSE),0)</f>
        <v>1.1143908000000001E-3</v>
      </c>
      <c r="U45">
        <f>IFERROR(VLOOKUP(all_lmics[[Setting]:[Setting]],all_cause_mort[],8,FALSE),0)</f>
        <v>1.7847316999999999E-3</v>
      </c>
      <c r="V45">
        <f>IFERROR(VLOOKUP(all_lmics[[Setting]:[Setting]],all_cause_mort[],9,FALSE),0)</f>
        <v>2.5867886999999998E-3</v>
      </c>
      <c r="W45">
        <f>IFERROR(VLOOKUP(all_lmics[[Setting]:[Setting]],all_cause_mort[],10,FALSE),0)</f>
        <v>3.0038897999999999E-3</v>
      </c>
      <c r="X45">
        <f>IFERROR(VLOOKUP(all_lmics[[Setting]:[Setting]],all_cause_mort[],11,FALSE),0)</f>
        <v>3.5275596000000002E-3</v>
      </c>
      <c r="Y45">
        <f>IFERROR(VLOOKUP(all_lmics[[Setting]:[Setting]],all_cause_mort[],12,FALSE),0)</f>
        <v>4.3189216000000001E-3</v>
      </c>
      <c r="Z45">
        <f>IFERROR(VLOOKUP(all_lmics[[Setting]:[Setting]],all_cause_mort[],13,FALSE),0)</f>
        <v>5.4815667999999996E-3</v>
      </c>
      <c r="AA45">
        <f>IFERROR(VLOOKUP(all_lmics[[Setting]:[Setting]],all_cause_mort[],14,FALSE),0)</f>
        <v>6.9322289000000002E-3</v>
      </c>
      <c r="AB45">
        <f>IFERROR(VLOOKUP(all_lmics[[Setting]:[Setting]],all_cause_mort[],15,FALSE),0)</f>
        <v>9.8896899E-3</v>
      </c>
      <c r="AC45">
        <f>IFERROR(VLOOKUP(all_lmics[[Setting]:[Setting]],all_cause_mort[],16,FALSE),0)</f>
        <v>1.338368E-2</v>
      </c>
      <c r="AD45">
        <f>IFERROR(VLOOKUP(all_lmics[[Setting]:[Setting]],all_cause_mort[],17,FALSE),0)</f>
        <v>2.0477373E-2</v>
      </c>
      <c r="AE45">
        <f>IFERROR(VLOOKUP(all_lmics[[Setting]:[Setting]],all_cause_mort[],18,FALSE),0)</f>
        <v>3.2529016000000001E-2</v>
      </c>
      <c r="AF45">
        <f>IFERROR(VLOOKUP(all_lmics[[Setting]:[Setting]],all_cause_mort[],19,FALSE),0)</f>
        <v>5.2930781000000003E-2</v>
      </c>
      <c r="AG45">
        <f>IFERROR(VLOOKUP(all_lmics[[Setting]:[Setting]],all_cause_mort[],20,FALSE),0)</f>
        <v>8.7369635000000001E-2</v>
      </c>
      <c r="AH45">
        <f>IFERROR(VLOOKUP(all_lmics[[Setting]:[Setting]],all_cause_mort[],21,FALSE),0)</f>
        <v>0.14798264999999999</v>
      </c>
      <c r="AI45">
        <f>IFERROR(VLOOKUP(all_lmics[[Setting]:[Setting]],all_cause_mort[],22,FALSE),0)</f>
        <v>0.24952098</v>
      </c>
      <c r="AJ45">
        <f>IFERROR(VLOOKUP(all_lmics[[Setting]:[Setting]],all_cause_mort[],23,FALSE),0)</f>
        <v>0.42195217000000002</v>
      </c>
      <c r="AK45">
        <f>IFERROR(VLOOKUP(all_lmics[[Setting]:[Setting]],all_cause_mort[],24,FALSE),0)</f>
        <v>0.61490036999999997</v>
      </c>
      <c r="AL45">
        <f>IFERROR(VLOOKUP(all_lmics[[Setting]:[Setting]],all_cause_mort[],25,FALSE),0)</f>
        <v>0.82436275522476998</v>
      </c>
      <c r="AM45">
        <f>VLOOKUP(all_lmics[[worldbank_region]:[worldbank_region]],Table13[],2,FALSE)</f>
        <v>29.912264999999998</v>
      </c>
      <c r="AN45">
        <f>VLOOKUP(all_lmics[[worldbank_region]:[worldbank_region]],Table13[],3,FALSE)</f>
        <v>29.912264999999998</v>
      </c>
      <c r="AO45">
        <f>VLOOKUP(all_lmics[[worldbank_region]:[worldbank_region]],Table13[],4,FALSE)</f>
        <v>77.641124999999988</v>
      </c>
      <c r="AP45">
        <f>VLOOKUP(all_lmics[[worldbank_region]:[worldbank_region]],Table13[],5,FALSE)</f>
        <v>77.641124999999988</v>
      </c>
      <c r="AQ45">
        <f>VLOOKUP(all_lmics[[worldbank_region]:[worldbank_region]],Table13[],6,FALSE)</f>
        <v>77.641124999999988</v>
      </c>
      <c r="AR45">
        <f>VLOOKUP(all_lmics[[worldbank_region]:[worldbank_region]],Table14[],2,FALSE)</f>
        <v>0.96979199999999999</v>
      </c>
      <c r="AS45">
        <f>VLOOKUP(all_lmics[[worldbank_region]:[worldbank_region]],Table14[],3,FALSE)</f>
        <v>1.5872920000000001</v>
      </c>
      <c r="AT45">
        <f>VLOOKUP(all_lmics[[worldbank_region]:[worldbank_region]],Table14[],4,FALSE)</f>
        <v>5.7971629999999994</v>
      </c>
      <c r="AU45">
        <f>VLOOKUP(all_lmics[[worldbank_region]:[worldbank_region]],Table14[],5,FALSE)</f>
        <v>6.4146629999999991</v>
      </c>
      <c r="AV45">
        <f>VLOOKUP(all_lmics[[worldbank_region]:[worldbank_region]],Table14[],6,FALSE)</f>
        <v>6.9849149999999991</v>
      </c>
      <c r="AW45">
        <f>IFERROR(VLOOKUP(all_lmics[[Setting]:[Setting]],nFacSBA[],4,FALSE),0)</f>
        <v>0</v>
      </c>
      <c r="AX45">
        <f>VLOOKUP(all_lmics[[worldbank_region]:[worldbank_region]],hbe[],2)</f>
        <v>0.3</v>
      </c>
      <c r="AY45">
        <f>VLOOKUP(all_lmics[[worldbank_region]:[worldbank_region]],hbe[],5)</f>
        <v>0.875</v>
      </c>
      <c r="AZ45">
        <f>VLOOKUP(all_lmics[[worldbank_region]:[worldbank_region]],hbe[],8)</f>
        <v>0.15</v>
      </c>
    </row>
    <row r="46" spans="1:52" x14ac:dyDescent="0.35">
      <c r="A46" s="12" t="s">
        <v>224</v>
      </c>
      <c r="B46" s="13" t="s">
        <v>49</v>
      </c>
      <c r="C46" s="13" t="s">
        <v>13</v>
      </c>
      <c r="D46" s="14" t="s">
        <v>15</v>
      </c>
      <c r="E46">
        <f>VLOOKUP(all_lmics[[Setting]:[Setting]],populations[],9,FALSE)</f>
        <v>17094130</v>
      </c>
      <c r="F46">
        <f>VLOOKUP(all_lmics[[Setting]:[Setting]],birthrate[],3,FALSE)</f>
        <v>3.8130999999999998E-2</v>
      </c>
      <c r="G46">
        <f>all_lmics[[#This Row],[2017_population]]*all_lmics[[#This Row],[2016_birthrate]]</f>
        <v>651816.27102999995</v>
      </c>
      <c r="H46">
        <f>VLOOKUP(all_lmics[[Setting]:[Setting]],birthdose[],4,FALSE)</f>
        <v>0</v>
      </c>
      <c r="I46">
        <f>VLOOKUP(all_lmics[[Setting]:[Setting]],fullvax[],4,FALSE)</f>
        <v>0.94</v>
      </c>
      <c r="J46">
        <f>IFERROR(VLOOKUP(all_lmics[[Setting]:[Setting]],prev[],3,FALSE),0)</f>
        <v>3.3000000000000002E-2</v>
      </c>
      <c r="K46">
        <f>IFERROR(VLOOKUP(all_lmics[[Setting]:[Setting]],prev[],4,FALSE),0)</f>
        <v>0.03</v>
      </c>
      <c r="L46">
        <f>IFERROR(VLOOKUP(all_lmics[[Setting]:[Setting]],prev[],5,FALSE),0)</f>
        <v>3.5999999999999997E-2</v>
      </c>
      <c r="M46">
        <f>IFERROR(VLOOKUP(all_lmics[[Setting]:[Setting]],prev[],7,FALSE),0)</f>
        <v>1.5306122448979569E-3</v>
      </c>
      <c r="N46">
        <f>IFERROR(VLOOKUP(all_lmics[[Setting]:[Setting]],prev[],6,FALSE),0)</f>
        <v>17094130</v>
      </c>
      <c r="O46">
        <f>IFERROR(VLOOKUP(all_lmics[[Setting]:[Setting]],SBA[],4,FALSE),0)</f>
        <v>0.63300000000000001</v>
      </c>
      <c r="P46">
        <f>IFERROR(VLOOKUP(all_lmics[[Setting]:[Setting]], facility[], 3,FALSE),0)</f>
        <v>0.67400000000000004</v>
      </c>
      <c r="Q46">
        <f>IFERROR(VLOOKUP(all_lmics[[Setting]:[Setting]],all_cause_mort[],4,FALSE),0)</f>
        <v>4.7397950000000001E-2</v>
      </c>
      <c r="R46">
        <f>IFERROR(VLOOKUP(all_lmics[[Setting]:[Setting]],all_cause_mort[],5,FALSE),0)</f>
        <v>3.9983283999999999E-3</v>
      </c>
      <c r="S46">
        <f>IFERROR(VLOOKUP(all_lmics[[Setting]:[Setting]],all_cause_mort[],6,FALSE),0)</f>
        <v>1.1617178999999999E-3</v>
      </c>
      <c r="T46">
        <f>IFERROR(VLOOKUP(all_lmics[[Setting]:[Setting]],all_cause_mort[],7,FALSE),0)</f>
        <v>9.1675454999999996E-4</v>
      </c>
      <c r="U46">
        <f>IFERROR(VLOOKUP(all_lmics[[Setting]:[Setting]],all_cause_mort[],8,FALSE),0)</f>
        <v>1.5368534000000001E-3</v>
      </c>
      <c r="V46">
        <f>IFERROR(VLOOKUP(all_lmics[[Setting]:[Setting]],all_cause_mort[],9,FALSE),0)</f>
        <v>2.4885330999999998E-3</v>
      </c>
      <c r="W46">
        <f>IFERROR(VLOOKUP(all_lmics[[Setting]:[Setting]],all_cause_mort[],10,FALSE),0)</f>
        <v>3.5203122999999999E-3</v>
      </c>
      <c r="X46">
        <f>IFERROR(VLOOKUP(all_lmics[[Setting]:[Setting]],all_cause_mort[],11,FALSE),0)</f>
        <v>4.6521013999999998E-3</v>
      </c>
      <c r="Y46">
        <f>IFERROR(VLOOKUP(all_lmics[[Setting]:[Setting]],all_cause_mort[],12,FALSE),0)</f>
        <v>6.2648347000000002E-3</v>
      </c>
      <c r="Z46">
        <f>IFERROR(VLOOKUP(all_lmics[[Setting]:[Setting]],all_cause_mort[],13,FALSE),0)</f>
        <v>7.7440757999999998E-3</v>
      </c>
      <c r="AA46">
        <f>IFERROR(VLOOKUP(all_lmics[[Setting]:[Setting]],all_cause_mort[],14,FALSE),0)</f>
        <v>9.5624192E-3</v>
      </c>
      <c r="AB46">
        <f>IFERROR(VLOOKUP(all_lmics[[Setting]:[Setting]],all_cause_mort[],15,FALSE),0)</f>
        <v>1.2527864E-2</v>
      </c>
      <c r="AC46">
        <f>IFERROR(VLOOKUP(all_lmics[[Setting]:[Setting]],all_cause_mort[],16,FALSE),0)</f>
        <v>1.5985011E-2</v>
      </c>
      <c r="AD46">
        <f>IFERROR(VLOOKUP(all_lmics[[Setting]:[Setting]],all_cause_mort[],17,FALSE),0)</f>
        <v>2.2546450999999999E-2</v>
      </c>
      <c r="AE46">
        <f>IFERROR(VLOOKUP(all_lmics[[Setting]:[Setting]],all_cause_mort[],18,FALSE),0)</f>
        <v>3.3654442999999999E-2</v>
      </c>
      <c r="AF46">
        <f>IFERROR(VLOOKUP(all_lmics[[Setting]:[Setting]],all_cause_mort[],19,FALSE),0)</f>
        <v>5.2168156E-2</v>
      </c>
      <c r="AG46">
        <f>IFERROR(VLOOKUP(all_lmics[[Setting]:[Setting]],all_cause_mort[],20,FALSE),0)</f>
        <v>8.2720848E-2</v>
      </c>
      <c r="AH46">
        <f>IFERROR(VLOOKUP(all_lmics[[Setting]:[Setting]],all_cause_mort[],21,FALSE),0)</f>
        <v>0.13806656</v>
      </c>
      <c r="AI46">
        <f>IFERROR(VLOOKUP(all_lmics[[Setting]:[Setting]],all_cause_mort[],22,FALSE),0)</f>
        <v>0.23241698999999999</v>
      </c>
      <c r="AJ46">
        <f>IFERROR(VLOOKUP(all_lmics[[Setting]:[Setting]],all_cause_mort[],23,FALSE),0)</f>
        <v>0.38439856999999999</v>
      </c>
      <c r="AK46">
        <f>IFERROR(VLOOKUP(all_lmics[[Setting]:[Setting]],all_cause_mort[],24,FALSE),0)</f>
        <v>0.54754515000000004</v>
      </c>
      <c r="AL46">
        <f>IFERROR(VLOOKUP(all_lmics[[Setting]:[Setting]],all_cause_mort[],25,FALSE),0)</f>
        <v>0.72099981910114497</v>
      </c>
      <c r="AM46">
        <f>VLOOKUP(all_lmics[[worldbank_region]:[worldbank_region]],Table13[],2,FALSE)</f>
        <v>29.912264999999998</v>
      </c>
      <c r="AN46">
        <f>VLOOKUP(all_lmics[[worldbank_region]:[worldbank_region]],Table13[],3,FALSE)</f>
        <v>29.912264999999998</v>
      </c>
      <c r="AO46">
        <f>VLOOKUP(all_lmics[[worldbank_region]:[worldbank_region]],Table13[],4,FALSE)</f>
        <v>77.641124999999988</v>
      </c>
      <c r="AP46">
        <f>VLOOKUP(all_lmics[[worldbank_region]:[worldbank_region]],Table13[],5,FALSE)</f>
        <v>77.641124999999988</v>
      </c>
      <c r="AQ46">
        <f>VLOOKUP(all_lmics[[worldbank_region]:[worldbank_region]],Table13[],6,FALSE)</f>
        <v>77.641124999999988</v>
      </c>
      <c r="AR46">
        <f>VLOOKUP(all_lmics[[worldbank_region]:[worldbank_region]],Table14[],2,FALSE)</f>
        <v>0.96979199999999999</v>
      </c>
      <c r="AS46">
        <f>VLOOKUP(all_lmics[[worldbank_region]:[worldbank_region]],Table14[],3,FALSE)</f>
        <v>1.5872920000000001</v>
      </c>
      <c r="AT46">
        <f>VLOOKUP(all_lmics[[worldbank_region]:[worldbank_region]],Table14[],4,FALSE)</f>
        <v>5.7971629999999994</v>
      </c>
      <c r="AU46">
        <f>VLOOKUP(all_lmics[[worldbank_region]:[worldbank_region]],Table14[],5,FALSE)</f>
        <v>6.4146629999999991</v>
      </c>
      <c r="AV46">
        <f>VLOOKUP(all_lmics[[worldbank_region]:[worldbank_region]],Table14[],6,FALSE)</f>
        <v>6.9849149999999991</v>
      </c>
      <c r="AW46">
        <f>IFERROR(VLOOKUP(all_lmics[[Setting]:[Setting]],nFacSBA[],4,FALSE),0)</f>
        <v>7.0818351988649799E-3</v>
      </c>
      <c r="AX46">
        <f>VLOOKUP(all_lmics[[worldbank_region]:[worldbank_region]],hbe[],2)</f>
        <v>0.3</v>
      </c>
      <c r="AY46">
        <f>VLOOKUP(all_lmics[[worldbank_region]:[worldbank_region]],hbe[],5)</f>
        <v>0.875</v>
      </c>
      <c r="AZ46">
        <f>VLOOKUP(all_lmics[[worldbank_region]:[worldbank_region]],hbe[],8)</f>
        <v>0.15</v>
      </c>
    </row>
    <row r="47" spans="1:52" x14ac:dyDescent="0.35">
      <c r="A47" s="8" t="s">
        <v>225</v>
      </c>
      <c r="B47" s="10" t="s">
        <v>49</v>
      </c>
      <c r="C47" s="10" t="s">
        <v>13</v>
      </c>
      <c r="D47" s="11" t="s">
        <v>15</v>
      </c>
      <c r="E47">
        <f>VLOOKUP(all_lmics[[Setting]:[Setting]],populations[],9,FALSE)</f>
        <v>16529904</v>
      </c>
      <c r="F47">
        <f>VLOOKUP(all_lmics[[Setting]:[Setting]],birthrate[],3,FALSE)</f>
        <v>3.3144E-2</v>
      </c>
      <c r="G47">
        <f>all_lmics[[#This Row],[2017_population]]*all_lmics[[#This Row],[2016_birthrate]]</f>
        <v>547867.13817599998</v>
      </c>
      <c r="H47">
        <f>VLOOKUP(all_lmics[[Setting]:[Setting]],birthdose[],4,FALSE)</f>
        <v>0</v>
      </c>
      <c r="I47">
        <f>VLOOKUP(all_lmics[[Setting]:[Setting]],fullvax[],4,FALSE)</f>
        <v>0.89</v>
      </c>
      <c r="J47">
        <f>IFERROR(VLOOKUP(all_lmics[[Setting]:[Setting]],prev[],3,FALSE),0)</f>
        <v>8.5000000000000006E-2</v>
      </c>
      <c r="K47">
        <f>IFERROR(VLOOKUP(all_lmics[[Setting]:[Setting]],prev[],4,FALSE),0)</f>
        <v>7.9000000000000001E-2</v>
      </c>
      <c r="L47">
        <f>IFERROR(VLOOKUP(all_lmics[[Setting]:[Setting]],prev[],5,FALSE),0)</f>
        <v>9.7000000000000003E-2</v>
      </c>
      <c r="M47">
        <f>IFERROR(VLOOKUP(all_lmics[[Setting]:[Setting]],prev[],7,FALSE),0)</f>
        <v>6.1224489795918356E-3</v>
      </c>
      <c r="N47">
        <f>IFERROR(VLOOKUP(all_lmics[[Setting]:[Setting]],prev[],6,FALSE),0)</f>
        <v>16529904</v>
      </c>
      <c r="O47">
        <f>IFERROR(VLOOKUP(all_lmics[[Setting]:[Setting]],SBA[],4,FALSE),0)</f>
        <v>0.78099999999999992</v>
      </c>
      <c r="P47">
        <f>IFERROR(VLOOKUP(all_lmics[[Setting]:[Setting]], facility[], 3,FALSE),0)</f>
        <v>0.77</v>
      </c>
      <c r="Q47">
        <f>IFERROR(VLOOKUP(all_lmics[[Setting]:[Setting]],all_cause_mort[],4,FALSE),0)</f>
        <v>4.0063008999999997E-2</v>
      </c>
      <c r="R47">
        <f>IFERROR(VLOOKUP(all_lmics[[Setting]:[Setting]],all_cause_mort[],5,FALSE),0)</f>
        <v>3.2793777999999998E-3</v>
      </c>
      <c r="S47">
        <f>IFERROR(VLOOKUP(all_lmics[[Setting]:[Setting]],all_cause_mort[],6,FALSE),0)</f>
        <v>1.0666883E-3</v>
      </c>
      <c r="T47">
        <f>IFERROR(VLOOKUP(all_lmics[[Setting]:[Setting]],all_cause_mort[],7,FALSE),0)</f>
        <v>9.1261412999999998E-4</v>
      </c>
      <c r="U47">
        <f>IFERROR(VLOOKUP(all_lmics[[Setting]:[Setting]],all_cause_mort[],8,FALSE),0)</f>
        <v>1.5762751000000001E-3</v>
      </c>
      <c r="V47">
        <f>IFERROR(VLOOKUP(all_lmics[[Setting]:[Setting]],all_cause_mort[],9,FALSE),0)</f>
        <v>2.8536873999999999E-3</v>
      </c>
      <c r="W47">
        <f>IFERROR(VLOOKUP(all_lmics[[Setting]:[Setting]],all_cause_mort[],10,FALSE),0)</f>
        <v>4.8761372999999997E-3</v>
      </c>
      <c r="X47">
        <f>IFERROR(VLOOKUP(all_lmics[[Setting]:[Setting]],all_cause_mort[],11,FALSE),0)</f>
        <v>7.0072937999999998E-3</v>
      </c>
      <c r="Y47">
        <f>IFERROR(VLOOKUP(all_lmics[[Setting]:[Setting]],all_cause_mort[],12,FALSE),0)</f>
        <v>9.9183177999999997E-3</v>
      </c>
      <c r="Z47">
        <f>IFERROR(VLOOKUP(all_lmics[[Setting]:[Setting]],all_cause_mort[],13,FALSE),0)</f>
        <v>1.1647154E-2</v>
      </c>
      <c r="AA47">
        <f>IFERROR(VLOOKUP(all_lmics[[Setting]:[Setting]],all_cause_mort[],14,FALSE),0)</f>
        <v>1.3856759E-2</v>
      </c>
      <c r="AB47">
        <f>IFERROR(VLOOKUP(all_lmics[[Setting]:[Setting]],all_cause_mort[],15,FALSE),0)</f>
        <v>1.6688746000000001E-2</v>
      </c>
      <c r="AC47">
        <f>IFERROR(VLOOKUP(all_lmics[[Setting]:[Setting]],all_cause_mort[],16,FALSE),0)</f>
        <v>2.0099473E-2</v>
      </c>
      <c r="AD47">
        <f>IFERROR(VLOOKUP(all_lmics[[Setting]:[Setting]],all_cause_mort[],17,FALSE),0)</f>
        <v>2.6436238000000001E-2</v>
      </c>
      <c r="AE47">
        <f>IFERROR(VLOOKUP(all_lmics[[Setting]:[Setting]],all_cause_mort[],18,FALSE),0)</f>
        <v>3.7502945000000003E-2</v>
      </c>
      <c r="AF47">
        <f>IFERROR(VLOOKUP(all_lmics[[Setting]:[Setting]],all_cause_mort[],19,FALSE),0)</f>
        <v>5.6021949000000001E-2</v>
      </c>
      <c r="AG47">
        <f>IFERROR(VLOOKUP(all_lmics[[Setting]:[Setting]],all_cause_mort[],20,FALSE),0)</f>
        <v>8.6218393000000004E-2</v>
      </c>
      <c r="AH47">
        <f>IFERROR(VLOOKUP(all_lmics[[Setting]:[Setting]],all_cause_mort[],21,FALSE),0)</f>
        <v>0.14209641000000001</v>
      </c>
      <c r="AI47">
        <f>IFERROR(VLOOKUP(all_lmics[[Setting]:[Setting]],all_cause_mort[],22,FALSE),0)</f>
        <v>0.23767874999999999</v>
      </c>
      <c r="AJ47">
        <f>IFERROR(VLOOKUP(all_lmics[[Setting]:[Setting]],all_cause_mort[],23,FALSE),0)</f>
        <v>0.37998229</v>
      </c>
      <c r="AK47">
        <f>IFERROR(VLOOKUP(all_lmics[[Setting]:[Setting]],all_cause_mort[],24,FALSE),0)</f>
        <v>0.52112077000000001</v>
      </c>
      <c r="AL47">
        <f>IFERROR(VLOOKUP(all_lmics[[Setting]:[Setting]],all_cause_mort[],25,FALSE),0)</f>
        <v>0.65919399954159597</v>
      </c>
      <c r="AM47">
        <f>VLOOKUP(all_lmics[[worldbank_region]:[worldbank_region]],Table13[],2,FALSE)</f>
        <v>29.912264999999998</v>
      </c>
      <c r="AN47">
        <f>VLOOKUP(all_lmics[[worldbank_region]:[worldbank_region]],Table13[],3,FALSE)</f>
        <v>29.912264999999998</v>
      </c>
      <c r="AO47">
        <f>VLOOKUP(all_lmics[[worldbank_region]:[worldbank_region]],Table13[],4,FALSE)</f>
        <v>77.641124999999988</v>
      </c>
      <c r="AP47">
        <f>VLOOKUP(all_lmics[[worldbank_region]:[worldbank_region]],Table13[],5,FALSE)</f>
        <v>77.641124999999988</v>
      </c>
      <c r="AQ47">
        <f>VLOOKUP(all_lmics[[worldbank_region]:[worldbank_region]],Table13[],6,FALSE)</f>
        <v>77.641124999999988</v>
      </c>
      <c r="AR47">
        <f>VLOOKUP(all_lmics[[worldbank_region]:[worldbank_region]],Table14[],2,FALSE)</f>
        <v>0.96979199999999999</v>
      </c>
      <c r="AS47">
        <f>VLOOKUP(all_lmics[[worldbank_region]:[worldbank_region]],Table14[],3,FALSE)</f>
        <v>1.5872920000000001</v>
      </c>
      <c r="AT47">
        <f>VLOOKUP(all_lmics[[worldbank_region]:[worldbank_region]],Table14[],4,FALSE)</f>
        <v>5.7971629999999994</v>
      </c>
      <c r="AU47">
        <f>VLOOKUP(all_lmics[[worldbank_region]:[worldbank_region]],Table14[],5,FALSE)</f>
        <v>6.4146629999999991</v>
      </c>
      <c r="AV47">
        <f>VLOOKUP(all_lmics[[worldbank_region]:[worldbank_region]],Table14[],6,FALSE)</f>
        <v>6.9849149999999991</v>
      </c>
      <c r="AW47">
        <f>IFERROR(VLOOKUP(all_lmics[[Setting]:[Setting]],nFacSBA[],4,FALSE),0)</f>
        <v>0</v>
      </c>
      <c r="AX47">
        <f>VLOOKUP(all_lmics[[worldbank_region]:[worldbank_region]],hbe[],2)</f>
        <v>0.3</v>
      </c>
      <c r="AY47">
        <f>VLOOKUP(all_lmics[[worldbank_region]:[worldbank_region]],hbe[],5)</f>
        <v>0.875</v>
      </c>
      <c r="AZ47">
        <f>VLOOKUP(all_lmics[[worldbank_region]:[worldbank_region]],hbe[],8)</f>
        <v>0.15</v>
      </c>
    </row>
    <row r="48" spans="1:52" x14ac:dyDescent="0.35">
      <c r="A48" s="12" t="s">
        <v>20</v>
      </c>
      <c r="B48" s="13" t="s">
        <v>22</v>
      </c>
      <c r="C48" s="15" t="s">
        <v>21</v>
      </c>
      <c r="D48" s="14" t="s">
        <v>383</v>
      </c>
      <c r="E48">
        <f>VLOOKUP(all_lmics[[Setting]:[Setting]],populations[],9,FALSE)</f>
        <v>102012</v>
      </c>
      <c r="F48">
        <f>VLOOKUP(all_lmics[[Setting]:[Setting]],birthrate[],3,FALSE)</f>
        <v>1.6225E-2</v>
      </c>
      <c r="G48">
        <f>all_lmics[[#This Row],[2017_population]]*all_lmics[[#This Row],[2016_birthrate]]</f>
        <v>1655.1447000000001</v>
      </c>
      <c r="H48">
        <f>VLOOKUP(all_lmics[[Setting]:[Setting]],birthdose[],4,FALSE)</f>
        <v>0</v>
      </c>
      <c r="I48">
        <f>VLOOKUP(all_lmics[[Setting]:[Setting]],fullvax[],4,FALSE)</f>
        <v>0.95</v>
      </c>
      <c r="J48">
        <f>IFERROR(VLOOKUP(all_lmics[[Setting]:[Setting]],prev[],3,FALSE),0)</f>
        <v>0</v>
      </c>
      <c r="K48">
        <f>IFERROR(VLOOKUP(all_lmics[[Setting]:[Setting]],prev[],4,FALSE),0)</f>
        <v>0</v>
      </c>
      <c r="L48">
        <f>IFERROR(VLOOKUP(all_lmics[[Setting]:[Setting]],prev[],5,FALSE),0)</f>
        <v>0</v>
      </c>
      <c r="M48">
        <f>IFERROR(VLOOKUP(all_lmics[[Setting]:[Setting]],prev[],7,FALSE),0)</f>
        <v>0</v>
      </c>
      <c r="N48">
        <f>IFERROR(VLOOKUP(all_lmics[[Setting]:[Setting]],prev[],6,FALSE),0)</f>
        <v>0</v>
      </c>
      <c r="O48">
        <f>IFERROR(VLOOKUP(all_lmics[[Setting]:[Setting]],SBA[],4,FALSE),0)</f>
        <v>0.9998999999999999</v>
      </c>
      <c r="P48">
        <f>IFERROR(VLOOKUP(all_lmics[[Setting]:[Setting]], facility[], 3,FALSE),0)</f>
        <v>0</v>
      </c>
      <c r="Q48">
        <f>IFERROR(VLOOKUP(all_lmics[[Setting]:[Setting]],all_cause_mort[],4,FALSE),0)</f>
        <v>5.2211990000000002E-3</v>
      </c>
      <c r="R48">
        <f>IFERROR(VLOOKUP(all_lmics[[Setting]:[Setting]],all_cause_mort[],5,FALSE),0)</f>
        <v>5.1687748000000004E-4</v>
      </c>
      <c r="S48">
        <f>IFERROR(VLOOKUP(all_lmics[[Setting]:[Setting]],all_cause_mort[],6,FALSE),0)</f>
        <v>1.9165605999999999E-4</v>
      </c>
      <c r="T48">
        <f>IFERROR(VLOOKUP(all_lmics[[Setting]:[Setting]],all_cause_mort[],7,FALSE),0)</f>
        <v>2.0210063000000001E-4</v>
      </c>
      <c r="U48">
        <f>IFERROR(VLOOKUP(all_lmics[[Setting]:[Setting]],all_cause_mort[],8,FALSE),0)</f>
        <v>5.6358592000000003E-4</v>
      </c>
      <c r="V48">
        <f>IFERROR(VLOOKUP(all_lmics[[Setting]:[Setting]],all_cause_mort[],9,FALSE),0)</f>
        <v>7.5610675000000003E-4</v>
      </c>
      <c r="W48">
        <f>IFERROR(VLOOKUP(all_lmics[[Setting]:[Setting]],all_cause_mort[],10,FALSE),0)</f>
        <v>7.7174643000000004E-4</v>
      </c>
      <c r="X48">
        <f>IFERROR(VLOOKUP(all_lmics[[Setting]:[Setting]],all_cause_mort[],11,FALSE),0)</f>
        <v>9.2885506E-4</v>
      </c>
      <c r="Y48">
        <f>IFERROR(VLOOKUP(all_lmics[[Setting]:[Setting]],all_cause_mort[],12,FALSE),0)</f>
        <v>1.292065E-3</v>
      </c>
      <c r="Z48">
        <f>IFERROR(VLOOKUP(all_lmics[[Setting]:[Setting]],all_cause_mort[],13,FALSE),0)</f>
        <v>1.9671754E-3</v>
      </c>
      <c r="AA48">
        <f>IFERROR(VLOOKUP(all_lmics[[Setting]:[Setting]],all_cause_mort[],14,FALSE),0)</f>
        <v>3.1258478E-3</v>
      </c>
      <c r="AB48">
        <f>IFERROR(VLOOKUP(all_lmics[[Setting]:[Setting]],all_cause_mort[],15,FALSE),0)</f>
        <v>4.9728070999999997E-3</v>
      </c>
      <c r="AC48">
        <f>IFERROR(VLOOKUP(all_lmics[[Setting]:[Setting]],all_cause_mort[],16,FALSE),0)</f>
        <v>7.7981552000000003E-3</v>
      </c>
      <c r="AD48">
        <f>IFERROR(VLOOKUP(all_lmics[[Setting]:[Setting]],all_cause_mort[],17,FALSE),0)</f>
        <v>1.1995609000000001E-2</v>
      </c>
      <c r="AE48">
        <f>IFERROR(VLOOKUP(all_lmics[[Setting]:[Setting]],all_cause_mort[],18,FALSE),0)</f>
        <v>1.8518706999999999E-2</v>
      </c>
      <c r="AF48">
        <f>IFERROR(VLOOKUP(all_lmics[[Setting]:[Setting]],all_cause_mort[],19,FALSE),0)</f>
        <v>3.0113496E-2</v>
      </c>
      <c r="AG48">
        <f>IFERROR(VLOOKUP(all_lmics[[Setting]:[Setting]],all_cause_mort[],20,FALSE),0)</f>
        <v>5.0944387000000001E-2</v>
      </c>
      <c r="AH48">
        <f>IFERROR(VLOOKUP(all_lmics[[Setting]:[Setting]],all_cause_mort[],21,FALSE),0)</f>
        <v>8.7629659999999998E-2</v>
      </c>
      <c r="AI48">
        <f>IFERROR(VLOOKUP(all_lmics[[Setting]:[Setting]],all_cause_mort[],22,FALSE),0)</f>
        <v>0.14876685000000001</v>
      </c>
      <c r="AJ48">
        <f>IFERROR(VLOOKUP(all_lmics[[Setting]:[Setting]],all_cause_mort[],23,FALSE),0)</f>
        <v>0.23707270999999999</v>
      </c>
      <c r="AK48">
        <f>IFERROR(VLOOKUP(all_lmics[[Setting]:[Setting]],all_cause_mort[],24,FALSE),0)</f>
        <v>0.34346544000000001</v>
      </c>
      <c r="AL48">
        <f>IFERROR(VLOOKUP(all_lmics[[Setting]:[Setting]],all_cause_mort[],25,FALSE),0)</f>
        <v>0.46051642680515098</v>
      </c>
      <c r="AM48">
        <f>VLOOKUP(all_lmics[[worldbank_region]:[worldbank_region]],Table13[],2,FALSE)</f>
        <v>86.85998699999999</v>
      </c>
      <c r="AN48">
        <f>VLOOKUP(all_lmics[[worldbank_region]:[worldbank_region]],Table13[],3,FALSE)</f>
        <v>86.85998699999999</v>
      </c>
      <c r="AO48">
        <f>VLOOKUP(all_lmics[[worldbank_region]:[worldbank_region]],Table13[],4,FALSE)</f>
        <v>134.58884699999999</v>
      </c>
      <c r="AP48">
        <f>VLOOKUP(all_lmics[[worldbank_region]:[worldbank_region]],Table13[],5,FALSE)</f>
        <v>134.58884699999999</v>
      </c>
      <c r="AQ48">
        <f>VLOOKUP(all_lmics[[worldbank_region]:[worldbank_region]],Table13[],6,FALSE)</f>
        <v>134.58884699999999</v>
      </c>
      <c r="AR48">
        <f>VLOOKUP(all_lmics[[worldbank_region]:[worldbank_region]],Table14[],2,FALSE)</f>
        <v>1.514642</v>
      </c>
      <c r="AS48">
        <f>VLOOKUP(all_lmics[[worldbank_region]:[worldbank_region]],Table14[],3,FALSE)</f>
        <v>2.132142</v>
      </c>
      <c r="AT48">
        <f>VLOOKUP(all_lmics[[worldbank_region]:[worldbank_region]],Table14[],4,FALSE)</f>
        <v>1.5364360000000001</v>
      </c>
      <c r="AU48">
        <f>VLOOKUP(all_lmics[[worldbank_region]:[worldbank_region]],Table14[],5,FALSE)</f>
        <v>2.1539359999999999</v>
      </c>
      <c r="AV48">
        <f>VLOOKUP(all_lmics[[worldbank_region]:[worldbank_region]],Table14[],6,FALSE)</f>
        <v>2.7241879999999998</v>
      </c>
      <c r="AW48">
        <f>IFERROR(VLOOKUP(all_lmics[[Setting]:[Setting]],nFacSBA[],4,FALSE),0)</f>
        <v>0</v>
      </c>
      <c r="AX48">
        <f>VLOOKUP(all_lmics[[worldbank_region]:[worldbank_region]],hbe[],2)</f>
        <v>0.3</v>
      </c>
      <c r="AY48">
        <f>VLOOKUP(all_lmics[[worldbank_region]:[worldbank_region]],hbe[],5)</f>
        <v>0.875</v>
      </c>
      <c r="AZ48">
        <f>VLOOKUP(all_lmics[[worldbank_region]:[worldbank_region]],hbe[],8)</f>
        <v>0.15</v>
      </c>
    </row>
    <row r="49" spans="1:52" x14ac:dyDescent="0.35">
      <c r="A49" s="8" t="s">
        <v>24</v>
      </c>
      <c r="B49" s="10" t="s">
        <v>22</v>
      </c>
      <c r="C49" s="9" t="s">
        <v>21</v>
      </c>
      <c r="D49" s="11" t="s">
        <v>383</v>
      </c>
      <c r="E49">
        <f>VLOOKUP(all_lmics[[Setting]:[Setting]],populations[],9,FALSE)</f>
        <v>44271041</v>
      </c>
      <c r="F49">
        <f>VLOOKUP(all_lmics[[Setting]:[Setting]],birthrate[],3,FALSE)</f>
        <v>1.7172E-2</v>
      </c>
      <c r="G49">
        <f>all_lmics[[#This Row],[2017_population]]*all_lmics[[#This Row],[2016_birthrate]]</f>
        <v>760222.31605200004</v>
      </c>
      <c r="H49">
        <f>VLOOKUP(all_lmics[[Setting]:[Setting]],birthdose[],4,FALSE)</f>
        <v>0.8</v>
      </c>
      <c r="I49">
        <f>VLOOKUP(all_lmics[[Setting]:[Setting]],fullvax[],4,FALSE)</f>
        <v>0.86</v>
      </c>
      <c r="J49">
        <f>IFERROR(VLOOKUP(all_lmics[[Setting]:[Setting]],prev[],3,FALSE),0)</f>
        <v>2E-3</v>
      </c>
      <c r="K49">
        <f>IFERROR(VLOOKUP(all_lmics[[Setting]:[Setting]],prev[],4,FALSE),0)</f>
        <v>1E-3</v>
      </c>
      <c r="L49">
        <f>IFERROR(VLOOKUP(all_lmics[[Setting]:[Setting]],prev[],5,FALSE),0)</f>
        <v>3.0000000000000001E-3</v>
      </c>
      <c r="M49">
        <f>IFERROR(VLOOKUP(all_lmics[[Setting]:[Setting]],prev[],7,FALSE),0)</f>
        <v>5.1020408163265311E-4</v>
      </c>
      <c r="N49">
        <f>IFERROR(VLOOKUP(all_lmics[[Setting]:[Setting]],prev[],6,FALSE),0)</f>
        <v>44271041</v>
      </c>
      <c r="O49">
        <f>IFERROR(VLOOKUP(all_lmics[[Setting]:[Setting]],SBA[],4,FALSE),0)</f>
        <v>0.996</v>
      </c>
      <c r="P49">
        <f>IFERROR(VLOOKUP(all_lmics[[Setting]:[Setting]], facility[], 3,FALSE),0)</f>
        <v>0.99269999999999992</v>
      </c>
      <c r="Q49">
        <f>IFERROR(VLOOKUP(all_lmics[[Setting]:[Setting]],all_cause_mort[],4,FALSE),0)</f>
        <v>1.0322593E-2</v>
      </c>
      <c r="R49">
        <f>IFERROR(VLOOKUP(all_lmics[[Setting]:[Setting]],all_cause_mort[],5,FALSE),0)</f>
        <v>4.1390977999999998E-4</v>
      </c>
      <c r="S49">
        <f>IFERROR(VLOOKUP(all_lmics[[Setting]:[Setting]],all_cause_mort[],6,FALSE),0)</f>
        <v>1.8238320000000001E-4</v>
      </c>
      <c r="T49">
        <f>IFERROR(VLOOKUP(all_lmics[[Setting]:[Setting]],all_cause_mort[],7,FALSE),0)</f>
        <v>2.3878123000000001E-4</v>
      </c>
      <c r="U49">
        <f>IFERROR(VLOOKUP(all_lmics[[Setting]:[Setting]],all_cause_mort[],8,FALSE),0)</f>
        <v>7.4419885000000002E-4</v>
      </c>
      <c r="V49">
        <f>IFERROR(VLOOKUP(all_lmics[[Setting]:[Setting]],all_cause_mort[],9,FALSE),0)</f>
        <v>1.0246417E-3</v>
      </c>
      <c r="W49">
        <f>IFERROR(VLOOKUP(all_lmics[[Setting]:[Setting]],all_cause_mort[],10,FALSE),0)</f>
        <v>1.0306010999999999E-3</v>
      </c>
      <c r="X49">
        <f>IFERROR(VLOOKUP(all_lmics[[Setting]:[Setting]],all_cause_mort[],11,FALSE),0)</f>
        <v>1.1684485000000001E-3</v>
      </c>
      <c r="Y49">
        <f>IFERROR(VLOOKUP(all_lmics[[Setting]:[Setting]],all_cause_mort[],12,FALSE),0)</f>
        <v>1.4152933999999999E-3</v>
      </c>
      <c r="Z49">
        <f>IFERROR(VLOOKUP(all_lmics[[Setting]:[Setting]],all_cause_mort[],13,FALSE),0)</f>
        <v>1.9975904000000002E-3</v>
      </c>
      <c r="AA49">
        <f>IFERROR(VLOOKUP(all_lmics[[Setting]:[Setting]],all_cause_mort[],14,FALSE),0)</f>
        <v>3.1712293999999999E-3</v>
      </c>
      <c r="AB49">
        <f>IFERROR(VLOOKUP(all_lmics[[Setting]:[Setting]],all_cause_mort[],15,FALSE),0)</f>
        <v>5.1388362999999996E-3</v>
      </c>
      <c r="AC49">
        <f>IFERROR(VLOOKUP(all_lmics[[Setting]:[Setting]],all_cause_mort[],16,FALSE),0)</f>
        <v>8.5199630999999998E-3</v>
      </c>
      <c r="AD49">
        <f>IFERROR(VLOOKUP(all_lmics[[Setting]:[Setting]],all_cause_mort[],17,FALSE),0)</f>
        <v>1.2932203999999999E-2</v>
      </c>
      <c r="AE49">
        <f>IFERROR(VLOOKUP(all_lmics[[Setting]:[Setting]],all_cause_mort[],18,FALSE),0)</f>
        <v>1.9786802999999999E-2</v>
      </c>
      <c r="AF49">
        <f>IFERROR(VLOOKUP(all_lmics[[Setting]:[Setting]],all_cause_mort[],19,FALSE),0)</f>
        <v>2.9534217000000001E-2</v>
      </c>
      <c r="AG49">
        <f>IFERROR(VLOOKUP(all_lmics[[Setting]:[Setting]],all_cause_mort[],20,FALSE),0)</f>
        <v>4.6395080999999998E-2</v>
      </c>
      <c r="AH49">
        <f>IFERROR(VLOOKUP(all_lmics[[Setting]:[Setting]],all_cause_mort[],21,FALSE),0)</f>
        <v>7.6765973000000001E-2</v>
      </c>
      <c r="AI49">
        <f>IFERROR(VLOOKUP(all_lmics[[Setting]:[Setting]],all_cause_mort[],22,FALSE),0)</f>
        <v>0.12562364000000001</v>
      </c>
      <c r="AJ49">
        <f>IFERROR(VLOOKUP(all_lmics[[Setting]:[Setting]],all_cause_mort[],23,FALSE),0)</f>
        <v>0.19993209000000001</v>
      </c>
      <c r="AK49">
        <f>IFERROR(VLOOKUP(all_lmics[[Setting]:[Setting]],all_cause_mort[],24,FALSE),0)</f>
        <v>0.30907124000000002</v>
      </c>
      <c r="AL49">
        <f>IFERROR(VLOOKUP(all_lmics[[Setting]:[Setting]],all_cause_mort[],25,FALSE),0)</f>
        <v>0.46164040594441402</v>
      </c>
      <c r="AM49">
        <f>VLOOKUP(all_lmics[[worldbank_region]:[worldbank_region]],Table13[],2,FALSE)</f>
        <v>86.85998699999999</v>
      </c>
      <c r="AN49">
        <f>VLOOKUP(all_lmics[[worldbank_region]:[worldbank_region]],Table13[],3,FALSE)</f>
        <v>86.85998699999999</v>
      </c>
      <c r="AO49">
        <f>VLOOKUP(all_lmics[[worldbank_region]:[worldbank_region]],Table13[],4,FALSE)</f>
        <v>134.58884699999999</v>
      </c>
      <c r="AP49">
        <f>VLOOKUP(all_lmics[[worldbank_region]:[worldbank_region]],Table13[],5,FALSE)</f>
        <v>134.58884699999999</v>
      </c>
      <c r="AQ49">
        <f>VLOOKUP(all_lmics[[worldbank_region]:[worldbank_region]],Table13[],6,FALSE)</f>
        <v>134.58884699999999</v>
      </c>
      <c r="AR49">
        <f>VLOOKUP(all_lmics[[worldbank_region]:[worldbank_region]],Table14[],2,FALSE)</f>
        <v>1.514642</v>
      </c>
      <c r="AS49">
        <f>VLOOKUP(all_lmics[[worldbank_region]:[worldbank_region]],Table14[],3,FALSE)</f>
        <v>2.132142</v>
      </c>
      <c r="AT49">
        <f>VLOOKUP(all_lmics[[worldbank_region]:[worldbank_region]],Table14[],4,FALSE)</f>
        <v>1.5364360000000001</v>
      </c>
      <c r="AU49">
        <f>VLOOKUP(all_lmics[[worldbank_region]:[worldbank_region]],Table14[],5,FALSE)</f>
        <v>2.1539359999999999</v>
      </c>
      <c r="AV49">
        <f>VLOOKUP(all_lmics[[worldbank_region]:[worldbank_region]],Table14[],6,FALSE)</f>
        <v>2.7241879999999998</v>
      </c>
      <c r="AW49">
        <f>IFERROR(VLOOKUP(all_lmics[[Setting]:[Setting]],nFacSBA[],4,FALSE),0)</f>
        <v>0</v>
      </c>
      <c r="AX49">
        <f>VLOOKUP(all_lmics[[worldbank_region]:[worldbank_region]],hbe[],2)</f>
        <v>0.3</v>
      </c>
      <c r="AY49">
        <f>VLOOKUP(all_lmics[[worldbank_region]:[worldbank_region]],hbe[],5)</f>
        <v>0.875</v>
      </c>
      <c r="AZ49">
        <f>VLOOKUP(all_lmics[[worldbank_region]:[worldbank_region]],hbe[],8)</f>
        <v>0.15</v>
      </c>
    </row>
    <row r="50" spans="1:52" x14ac:dyDescent="0.35">
      <c r="A50" s="12" t="s">
        <v>31</v>
      </c>
      <c r="B50" s="13" t="s">
        <v>22</v>
      </c>
      <c r="C50" s="15" t="s">
        <v>21</v>
      </c>
      <c r="D50" s="14" t="s">
        <v>383</v>
      </c>
      <c r="E50">
        <f>VLOOKUP(all_lmics[[Setting]:[Setting]],populations[],9,FALSE)</f>
        <v>395361</v>
      </c>
      <c r="F50">
        <f>VLOOKUP(all_lmics[[Setting]:[Setting]],birthrate[],3,FALSE)</f>
        <v>1.4271000000000001E-2</v>
      </c>
      <c r="G50">
        <f>all_lmics[[#This Row],[2017_population]]*all_lmics[[#This Row],[2016_birthrate]]</f>
        <v>5642.1968310000002</v>
      </c>
      <c r="H50">
        <f>VLOOKUP(all_lmics[[Setting]:[Setting]],birthdose[],4,FALSE)</f>
        <v>0</v>
      </c>
      <c r="I50">
        <f>VLOOKUP(all_lmics[[Setting]:[Setting]],fullvax[],4,FALSE)</f>
        <v>0.94</v>
      </c>
      <c r="J50">
        <f>IFERROR(VLOOKUP(all_lmics[[Setting]:[Setting]],prev[],3,FALSE),0)</f>
        <v>0</v>
      </c>
      <c r="K50">
        <f>IFERROR(VLOOKUP(all_lmics[[Setting]:[Setting]],prev[],4,FALSE),0)</f>
        <v>0</v>
      </c>
      <c r="L50">
        <f>IFERROR(VLOOKUP(all_lmics[[Setting]:[Setting]],prev[],5,FALSE),0)</f>
        <v>0</v>
      </c>
      <c r="M50">
        <f>IFERROR(VLOOKUP(all_lmics[[Setting]:[Setting]],prev[],7,FALSE),0)</f>
        <v>0</v>
      </c>
      <c r="N50">
        <f>IFERROR(VLOOKUP(all_lmics[[Setting]:[Setting]],prev[],6,FALSE),0)</f>
        <v>0</v>
      </c>
      <c r="O50">
        <f>IFERROR(VLOOKUP(all_lmics[[Setting]:[Setting]],SBA[],4,FALSE),0)</f>
        <v>0.996</v>
      </c>
      <c r="P50">
        <f>IFERROR(VLOOKUP(all_lmics[[Setting]:[Setting]], facility[], 3,FALSE),0)</f>
        <v>0</v>
      </c>
      <c r="Q50">
        <f>IFERROR(VLOOKUP(all_lmics[[Setting]:[Setting]],all_cause_mort[],4,FALSE),0)</f>
        <v>5.9014931999999999E-3</v>
      </c>
      <c r="R50">
        <f>IFERROR(VLOOKUP(all_lmics[[Setting]:[Setting]],all_cause_mort[],5,FALSE),0)</f>
        <v>3.3146498E-4</v>
      </c>
      <c r="S50">
        <f>IFERROR(VLOOKUP(all_lmics[[Setting]:[Setting]],all_cause_mort[],6,FALSE),0)</f>
        <v>2.8541766000000001E-4</v>
      </c>
      <c r="T50">
        <f>IFERROR(VLOOKUP(all_lmics[[Setting]:[Setting]],all_cause_mort[],7,FALSE),0)</f>
        <v>3.2047815000000001E-4</v>
      </c>
      <c r="U50">
        <f>IFERROR(VLOOKUP(all_lmics[[Setting]:[Setting]],all_cause_mort[],8,FALSE),0)</f>
        <v>9.4402294999999998E-4</v>
      </c>
      <c r="V50">
        <f>IFERROR(VLOOKUP(all_lmics[[Setting]:[Setting]],all_cause_mort[],9,FALSE),0)</f>
        <v>1.3760510999999999E-3</v>
      </c>
      <c r="W50">
        <f>IFERROR(VLOOKUP(all_lmics[[Setting]:[Setting]],all_cause_mort[],10,FALSE),0)</f>
        <v>1.4857736999999999E-3</v>
      </c>
      <c r="X50">
        <f>IFERROR(VLOOKUP(all_lmics[[Setting]:[Setting]],all_cause_mort[],11,FALSE),0)</f>
        <v>1.7659946000000001E-3</v>
      </c>
      <c r="Y50">
        <f>IFERROR(VLOOKUP(all_lmics[[Setting]:[Setting]],all_cause_mort[],12,FALSE),0)</f>
        <v>2.3345749000000002E-3</v>
      </c>
      <c r="Z50">
        <f>IFERROR(VLOOKUP(all_lmics[[Setting]:[Setting]],all_cause_mort[],13,FALSE),0)</f>
        <v>3.3275429E-3</v>
      </c>
      <c r="AA50">
        <f>IFERROR(VLOOKUP(all_lmics[[Setting]:[Setting]],all_cause_mort[],14,FALSE),0)</f>
        <v>4.8749355000000001E-3</v>
      </c>
      <c r="AB50">
        <f>IFERROR(VLOOKUP(all_lmics[[Setting]:[Setting]],all_cause_mort[],15,FALSE),0)</f>
        <v>7.1985957000000001E-3</v>
      </c>
      <c r="AC50">
        <f>IFERROR(VLOOKUP(all_lmics[[Setting]:[Setting]],all_cause_mort[],16,FALSE),0)</f>
        <v>1.0437551E-2</v>
      </c>
      <c r="AD50">
        <f>IFERROR(VLOOKUP(all_lmics[[Setting]:[Setting]],all_cause_mort[],17,FALSE),0)</f>
        <v>1.5627645999999999E-2</v>
      </c>
      <c r="AE50">
        <f>IFERROR(VLOOKUP(all_lmics[[Setting]:[Setting]],all_cause_mort[],18,FALSE),0)</f>
        <v>2.3557233E-2</v>
      </c>
      <c r="AF50">
        <f>IFERROR(VLOOKUP(all_lmics[[Setting]:[Setting]],all_cause_mort[],19,FALSE),0)</f>
        <v>3.6516760000000002E-2</v>
      </c>
      <c r="AG50">
        <f>IFERROR(VLOOKUP(all_lmics[[Setting]:[Setting]],all_cause_mort[],20,FALSE),0)</f>
        <v>5.8425639000000001E-2</v>
      </c>
      <c r="AH50">
        <f>IFERROR(VLOOKUP(all_lmics[[Setting]:[Setting]],all_cause_mort[],21,FALSE),0)</f>
        <v>9.7319722999999997E-2</v>
      </c>
      <c r="AI50">
        <f>IFERROR(VLOOKUP(all_lmics[[Setting]:[Setting]],all_cause_mort[],22,FALSE),0)</f>
        <v>0.16162154000000001</v>
      </c>
      <c r="AJ50">
        <f>IFERROR(VLOOKUP(all_lmics[[Setting]:[Setting]],all_cause_mort[],23,FALSE),0)</f>
        <v>0.25714262999999998</v>
      </c>
      <c r="AK50">
        <f>IFERROR(VLOOKUP(all_lmics[[Setting]:[Setting]],all_cause_mort[],24,FALSE),0)</f>
        <v>0.38549820000000001</v>
      </c>
      <c r="AL50">
        <f>IFERROR(VLOOKUP(all_lmics[[Setting]:[Setting]],all_cause_mort[],25,FALSE),0)</f>
        <v>0.53979227174006605</v>
      </c>
      <c r="AM50">
        <f>VLOOKUP(all_lmics[[worldbank_region]:[worldbank_region]],Table13[],2,FALSE)</f>
        <v>86.85998699999999</v>
      </c>
      <c r="AN50">
        <f>VLOOKUP(all_lmics[[worldbank_region]:[worldbank_region]],Table13[],3,FALSE)</f>
        <v>86.85998699999999</v>
      </c>
      <c r="AO50">
        <f>VLOOKUP(all_lmics[[worldbank_region]:[worldbank_region]],Table13[],4,FALSE)</f>
        <v>134.58884699999999</v>
      </c>
      <c r="AP50">
        <f>VLOOKUP(all_lmics[[worldbank_region]:[worldbank_region]],Table13[],5,FALSE)</f>
        <v>134.58884699999999</v>
      </c>
      <c r="AQ50">
        <f>VLOOKUP(all_lmics[[worldbank_region]:[worldbank_region]],Table13[],6,FALSE)</f>
        <v>134.58884699999999</v>
      </c>
      <c r="AR50">
        <f>VLOOKUP(all_lmics[[worldbank_region]:[worldbank_region]],Table14[],2,FALSE)</f>
        <v>1.514642</v>
      </c>
      <c r="AS50">
        <f>VLOOKUP(all_lmics[[worldbank_region]:[worldbank_region]],Table14[],3,FALSE)</f>
        <v>2.132142</v>
      </c>
      <c r="AT50">
        <f>VLOOKUP(all_lmics[[worldbank_region]:[worldbank_region]],Table14[],4,FALSE)</f>
        <v>1.5364360000000001</v>
      </c>
      <c r="AU50">
        <f>VLOOKUP(all_lmics[[worldbank_region]:[worldbank_region]],Table14[],5,FALSE)</f>
        <v>2.1539359999999999</v>
      </c>
      <c r="AV50">
        <f>VLOOKUP(all_lmics[[worldbank_region]:[worldbank_region]],Table14[],6,FALSE)</f>
        <v>2.7241879999999998</v>
      </c>
      <c r="AW50">
        <f>IFERROR(VLOOKUP(all_lmics[[Setting]:[Setting]],nFacSBA[],4,FALSE),0)</f>
        <v>0</v>
      </c>
      <c r="AX50">
        <f>VLOOKUP(all_lmics[[worldbank_region]:[worldbank_region]],hbe[],2)</f>
        <v>0.3</v>
      </c>
      <c r="AY50">
        <f>VLOOKUP(all_lmics[[worldbank_region]:[worldbank_region]],hbe[],5)</f>
        <v>0.875</v>
      </c>
      <c r="AZ50">
        <f>VLOOKUP(all_lmics[[worldbank_region]:[worldbank_region]],hbe[],8)</f>
        <v>0.15</v>
      </c>
    </row>
    <row r="51" spans="1:52" x14ac:dyDescent="0.35">
      <c r="A51" s="8" t="s">
        <v>38</v>
      </c>
      <c r="B51" s="10" t="s">
        <v>22</v>
      </c>
      <c r="C51" s="9" t="s">
        <v>21</v>
      </c>
      <c r="D51" s="11" t="s">
        <v>383</v>
      </c>
      <c r="E51">
        <f>VLOOKUP(all_lmics[[Setting]:[Setting]],populations[],9,FALSE)</f>
        <v>285719</v>
      </c>
      <c r="F51">
        <f>VLOOKUP(all_lmics[[Setting]:[Setting]],birthrate[],3,FALSE)</f>
        <v>1.1904999999999999E-2</v>
      </c>
      <c r="G51">
        <f>all_lmics[[#This Row],[2017_population]]*all_lmics[[#This Row],[2016_birthrate]]</f>
        <v>3401.4846949999996</v>
      </c>
      <c r="H51">
        <f>VLOOKUP(all_lmics[[Setting]:[Setting]],birthdose[],4,FALSE)</f>
        <v>0</v>
      </c>
      <c r="I51">
        <f>VLOOKUP(all_lmics[[Setting]:[Setting]],fullvax[],4,FALSE)</f>
        <v>0.9</v>
      </c>
      <c r="J51">
        <f>IFERROR(VLOOKUP(all_lmics[[Setting]:[Setting]],prev[],3,FALSE),0)</f>
        <v>1.4E-2</v>
      </c>
      <c r="K51">
        <f>IFERROR(VLOOKUP(all_lmics[[Setting]:[Setting]],prev[],4,FALSE),0)</f>
        <v>6.7000000000000002E-3</v>
      </c>
      <c r="L51">
        <f>IFERROR(VLOOKUP(all_lmics[[Setting]:[Setting]],prev[],5,FALSE),0)</f>
        <v>2.9100000000000001E-2</v>
      </c>
      <c r="M51">
        <f>IFERROR(VLOOKUP(all_lmics[[Setting]:[Setting]],prev[],7,FALSE),0)</f>
        <v>7.7040816326530617E-3</v>
      </c>
      <c r="N51">
        <f>IFERROR(VLOOKUP(all_lmics[[Setting]:[Setting]],prev[],6,FALSE),0)</f>
        <v>279569</v>
      </c>
      <c r="O51">
        <f>IFERROR(VLOOKUP(all_lmics[[Setting]:[Setting]],SBA[],4,FALSE),0)</f>
        <v>0.99</v>
      </c>
      <c r="P51">
        <f>IFERROR(VLOOKUP(all_lmics[[Setting]:[Setting]], facility[], 3,FALSE),0)</f>
        <v>0.9998999999999999</v>
      </c>
      <c r="Q51">
        <f>IFERROR(VLOOKUP(all_lmics[[Setting]:[Setting]],all_cause_mort[],4,FALSE),0)</f>
        <v>1.0131510999999999E-2</v>
      </c>
      <c r="R51">
        <f>IFERROR(VLOOKUP(all_lmics[[Setting]:[Setting]],all_cause_mort[],5,FALSE),0)</f>
        <v>5.2060531E-4</v>
      </c>
      <c r="S51">
        <f>IFERROR(VLOOKUP(all_lmics[[Setting]:[Setting]],all_cause_mort[],6,FALSE),0)</f>
        <v>2.532085E-4</v>
      </c>
      <c r="T51">
        <f>IFERROR(VLOOKUP(all_lmics[[Setting]:[Setting]],all_cause_mort[],7,FALSE),0)</f>
        <v>2.4650969999999998E-4</v>
      </c>
      <c r="U51">
        <f>IFERROR(VLOOKUP(all_lmics[[Setting]:[Setting]],all_cause_mort[],8,FALSE),0)</f>
        <v>6.0094059999999999E-4</v>
      </c>
      <c r="V51">
        <f>IFERROR(VLOOKUP(all_lmics[[Setting]:[Setting]],all_cause_mort[],9,FALSE),0)</f>
        <v>7.7618596000000005E-4</v>
      </c>
      <c r="W51">
        <f>IFERROR(VLOOKUP(all_lmics[[Setting]:[Setting]],all_cause_mort[],10,FALSE),0)</f>
        <v>7.9944247999999996E-4</v>
      </c>
      <c r="X51">
        <f>IFERROR(VLOOKUP(all_lmics[[Setting]:[Setting]],all_cause_mort[],11,FALSE),0)</f>
        <v>9.6448979999999996E-4</v>
      </c>
      <c r="Y51">
        <f>IFERROR(VLOOKUP(all_lmics[[Setting]:[Setting]],all_cause_mort[],12,FALSE),0)</f>
        <v>1.3455276E-3</v>
      </c>
      <c r="Z51">
        <f>IFERROR(VLOOKUP(all_lmics[[Setting]:[Setting]],all_cause_mort[],13,FALSE),0)</f>
        <v>2.0411155999999998E-3</v>
      </c>
      <c r="AA51">
        <f>IFERROR(VLOOKUP(all_lmics[[Setting]:[Setting]],all_cause_mort[],14,FALSE),0)</f>
        <v>3.2842002999999998E-3</v>
      </c>
      <c r="AB51">
        <f>IFERROR(VLOOKUP(all_lmics[[Setting]:[Setting]],all_cause_mort[],15,FALSE),0)</f>
        <v>5.2788725999999998E-3</v>
      </c>
      <c r="AC51">
        <f>IFERROR(VLOOKUP(all_lmics[[Setting]:[Setting]],all_cause_mort[],16,FALSE),0)</f>
        <v>8.4438315999999999E-3</v>
      </c>
      <c r="AD51">
        <f>IFERROR(VLOOKUP(all_lmics[[Setting]:[Setting]],all_cause_mort[],17,FALSE),0)</f>
        <v>1.0436361999999999E-2</v>
      </c>
      <c r="AE51">
        <f>IFERROR(VLOOKUP(all_lmics[[Setting]:[Setting]],all_cause_mort[],18,FALSE),0)</f>
        <v>1.2926719E-2</v>
      </c>
      <c r="AF51">
        <f>IFERROR(VLOOKUP(all_lmics[[Setting]:[Setting]],all_cause_mort[],19,FALSE),0)</f>
        <v>1.8939767E-2</v>
      </c>
      <c r="AG51">
        <f>IFERROR(VLOOKUP(all_lmics[[Setting]:[Setting]],all_cause_mort[],20,FALSE),0)</f>
        <v>3.3724068000000003E-2</v>
      </c>
      <c r="AH51">
        <f>IFERROR(VLOOKUP(all_lmics[[Setting]:[Setting]],all_cause_mort[],21,FALSE),0)</f>
        <v>5.8509717000000003E-2</v>
      </c>
      <c r="AI51">
        <f>IFERROR(VLOOKUP(all_lmics[[Setting]:[Setting]],all_cause_mort[],22,FALSE),0)</f>
        <v>9.8440263E-2</v>
      </c>
      <c r="AJ51">
        <f>IFERROR(VLOOKUP(all_lmics[[Setting]:[Setting]],all_cause_mort[],23,FALSE),0)</f>
        <v>0.15475480999999999</v>
      </c>
      <c r="AK51">
        <f>IFERROR(VLOOKUP(all_lmics[[Setting]:[Setting]],all_cause_mort[],24,FALSE),0)</f>
        <v>0.22769528</v>
      </c>
      <c r="AL51">
        <f>IFERROR(VLOOKUP(all_lmics[[Setting]:[Setting]],all_cause_mort[],25,FALSE),0)</f>
        <v>0.322915133156154</v>
      </c>
      <c r="AM51">
        <f>VLOOKUP(all_lmics[[worldbank_region]:[worldbank_region]],Table13[],2,FALSE)</f>
        <v>86.85998699999999</v>
      </c>
      <c r="AN51">
        <f>VLOOKUP(all_lmics[[worldbank_region]:[worldbank_region]],Table13[],3,FALSE)</f>
        <v>86.85998699999999</v>
      </c>
      <c r="AO51">
        <f>VLOOKUP(all_lmics[[worldbank_region]:[worldbank_region]],Table13[],4,FALSE)</f>
        <v>134.58884699999999</v>
      </c>
      <c r="AP51">
        <f>VLOOKUP(all_lmics[[worldbank_region]:[worldbank_region]],Table13[],5,FALSE)</f>
        <v>134.58884699999999</v>
      </c>
      <c r="AQ51">
        <f>VLOOKUP(all_lmics[[worldbank_region]:[worldbank_region]],Table13[],6,FALSE)</f>
        <v>134.58884699999999</v>
      </c>
      <c r="AR51">
        <f>VLOOKUP(all_lmics[[worldbank_region]:[worldbank_region]],Table14[],2,FALSE)</f>
        <v>1.514642</v>
      </c>
      <c r="AS51">
        <f>VLOOKUP(all_lmics[[worldbank_region]:[worldbank_region]],Table14[],3,FALSE)</f>
        <v>2.132142</v>
      </c>
      <c r="AT51">
        <f>VLOOKUP(all_lmics[[worldbank_region]:[worldbank_region]],Table14[],4,FALSE)</f>
        <v>1.5364360000000001</v>
      </c>
      <c r="AU51">
        <f>VLOOKUP(all_lmics[[worldbank_region]:[worldbank_region]],Table14[],5,FALSE)</f>
        <v>2.1539359999999999</v>
      </c>
      <c r="AV51">
        <f>VLOOKUP(all_lmics[[worldbank_region]:[worldbank_region]],Table14[],6,FALSE)</f>
        <v>2.7241879999999998</v>
      </c>
      <c r="AW51">
        <f>IFERROR(VLOOKUP(all_lmics[[Setting]:[Setting]],nFacSBA[],4,FALSE),0)</f>
        <v>0</v>
      </c>
      <c r="AX51">
        <f>VLOOKUP(all_lmics[[worldbank_region]:[worldbank_region]],hbe[],2)</f>
        <v>0.3</v>
      </c>
      <c r="AY51">
        <f>VLOOKUP(all_lmics[[worldbank_region]:[worldbank_region]],hbe[],5)</f>
        <v>0.875</v>
      </c>
      <c r="AZ51">
        <f>VLOOKUP(all_lmics[[worldbank_region]:[worldbank_region]],hbe[],8)</f>
        <v>0.15</v>
      </c>
    </row>
    <row r="52" spans="1:52" x14ac:dyDescent="0.35">
      <c r="A52" s="12" t="s">
        <v>42</v>
      </c>
      <c r="B52" s="13" t="s">
        <v>22</v>
      </c>
      <c r="C52" s="15" t="s">
        <v>21</v>
      </c>
      <c r="D52" s="14" t="s">
        <v>383</v>
      </c>
      <c r="E52">
        <f>VLOOKUP(all_lmics[[Setting]:[Setting]],populations[],9,FALSE)</f>
        <v>374681</v>
      </c>
      <c r="F52">
        <f>VLOOKUP(all_lmics[[Setting]:[Setting]],birthrate[],3,FALSE)</f>
        <v>2.2533999999999998E-2</v>
      </c>
      <c r="G52">
        <f>all_lmics[[#This Row],[2017_population]]*all_lmics[[#This Row],[2016_birthrate]]</f>
        <v>8443.0616539999992</v>
      </c>
      <c r="H52">
        <f>VLOOKUP(all_lmics[[Setting]:[Setting]],birthdose[],4,FALSE)</f>
        <v>0</v>
      </c>
      <c r="I52">
        <f>VLOOKUP(all_lmics[[Setting]:[Setting]],fullvax[],4,FALSE)</f>
        <v>0.88</v>
      </c>
      <c r="J52">
        <f>IFERROR(VLOOKUP(all_lmics[[Setting]:[Setting]],prev[],3,FALSE),0)</f>
        <v>1.4E-2</v>
      </c>
      <c r="K52">
        <f>IFERROR(VLOOKUP(all_lmics[[Setting]:[Setting]],prev[],4,FALSE),0)</f>
        <v>6.0000000000000001E-3</v>
      </c>
      <c r="L52">
        <f>IFERROR(VLOOKUP(all_lmics[[Setting]:[Setting]],prev[],5,FALSE),0)</f>
        <v>1.7000000000000001E-2</v>
      </c>
      <c r="M52">
        <f>IFERROR(VLOOKUP(all_lmics[[Setting]:[Setting]],prev[],7,FALSE),0)</f>
        <v>1.5306122448979598E-3</v>
      </c>
      <c r="N52">
        <f>IFERROR(VLOOKUP(all_lmics[[Setting]:[Setting]],prev[],6,FALSE),0)</f>
        <v>374681</v>
      </c>
      <c r="O52">
        <f>IFERROR(VLOOKUP(all_lmics[[Setting]:[Setting]],SBA[],4,FALSE),0)</f>
        <v>0.96799999999999997</v>
      </c>
      <c r="P52">
        <f>IFERROR(VLOOKUP(all_lmics[[Setting]:[Setting]], facility[], 3,FALSE),0)</f>
        <v>0.96400000000000008</v>
      </c>
      <c r="Q52">
        <f>IFERROR(VLOOKUP(all_lmics[[Setting]:[Setting]],all_cause_mort[],4,FALSE),0)</f>
        <v>1.2968353E-2</v>
      </c>
      <c r="R52">
        <f>IFERROR(VLOOKUP(all_lmics[[Setting]:[Setting]],all_cause_mort[],5,FALSE),0)</f>
        <v>5.2907631999999998E-4</v>
      </c>
      <c r="S52">
        <f>IFERROR(VLOOKUP(all_lmics[[Setting]:[Setting]],all_cause_mort[],6,FALSE),0)</f>
        <v>3.0456378000000002E-4</v>
      </c>
      <c r="T52">
        <f>IFERROR(VLOOKUP(all_lmics[[Setting]:[Setting]],all_cause_mort[],7,FALSE),0)</f>
        <v>3.3034733000000002E-4</v>
      </c>
      <c r="U52">
        <f>IFERROR(VLOOKUP(all_lmics[[Setting]:[Setting]],all_cause_mort[],8,FALSE),0)</f>
        <v>9.9552341999999995E-4</v>
      </c>
      <c r="V52">
        <f>IFERROR(VLOOKUP(all_lmics[[Setting]:[Setting]],all_cause_mort[],9,FALSE),0)</f>
        <v>1.5640909000000001E-3</v>
      </c>
      <c r="W52">
        <f>IFERROR(VLOOKUP(all_lmics[[Setting]:[Setting]],all_cause_mort[],10,FALSE),0)</f>
        <v>2.3416280000000001E-3</v>
      </c>
      <c r="X52">
        <f>IFERROR(VLOOKUP(all_lmics[[Setting]:[Setting]],all_cause_mort[],11,FALSE),0)</f>
        <v>2.7700735999999998E-3</v>
      </c>
      <c r="Y52">
        <f>IFERROR(VLOOKUP(all_lmics[[Setting]:[Setting]],all_cause_mort[],12,FALSE),0)</f>
        <v>2.8873458999999998E-3</v>
      </c>
      <c r="Z52">
        <f>IFERROR(VLOOKUP(all_lmics[[Setting]:[Setting]],all_cause_mort[],13,FALSE),0)</f>
        <v>3.5451492000000001E-3</v>
      </c>
      <c r="AA52">
        <f>IFERROR(VLOOKUP(all_lmics[[Setting]:[Setting]],all_cause_mort[],14,FALSE),0)</f>
        <v>4.9011022000000001E-3</v>
      </c>
      <c r="AB52">
        <f>IFERROR(VLOOKUP(all_lmics[[Setting]:[Setting]],all_cause_mort[],15,FALSE),0)</f>
        <v>6.8295341000000004E-3</v>
      </c>
      <c r="AC52">
        <f>IFERROR(VLOOKUP(all_lmics[[Setting]:[Setting]],all_cause_mort[],16,FALSE),0)</f>
        <v>1.0849226E-2</v>
      </c>
      <c r="AD52">
        <f>IFERROR(VLOOKUP(all_lmics[[Setting]:[Setting]],all_cause_mort[],17,FALSE),0)</f>
        <v>1.4579675E-2</v>
      </c>
      <c r="AE52">
        <f>IFERROR(VLOOKUP(all_lmics[[Setting]:[Setting]],all_cause_mort[],18,FALSE),0)</f>
        <v>1.9938518999999998E-2</v>
      </c>
      <c r="AF52">
        <f>IFERROR(VLOOKUP(all_lmics[[Setting]:[Setting]],all_cause_mort[],19,FALSE),0)</f>
        <v>2.8359951000000001E-2</v>
      </c>
      <c r="AG52">
        <f>IFERROR(VLOOKUP(all_lmics[[Setting]:[Setting]],all_cause_mort[],20,FALSE),0)</f>
        <v>4.2616586999999997E-2</v>
      </c>
      <c r="AH52">
        <f>IFERROR(VLOOKUP(all_lmics[[Setting]:[Setting]],all_cause_mort[],21,FALSE),0)</f>
        <v>7.2001094000000002E-2</v>
      </c>
      <c r="AI52">
        <f>IFERROR(VLOOKUP(all_lmics[[Setting]:[Setting]],all_cause_mort[],22,FALSE),0)</f>
        <v>0.10914001</v>
      </c>
      <c r="AJ52">
        <f>IFERROR(VLOOKUP(all_lmics[[Setting]:[Setting]],all_cause_mort[],23,FALSE),0)</f>
        <v>0.15359703999999999</v>
      </c>
      <c r="AK52">
        <f>IFERROR(VLOOKUP(all_lmics[[Setting]:[Setting]],all_cause_mort[],24,FALSE),0)</f>
        <v>0.26705579000000002</v>
      </c>
      <c r="AL52">
        <f>IFERROR(VLOOKUP(all_lmics[[Setting]:[Setting]],all_cause_mort[],25,FALSE),0)</f>
        <v>0.413991145391786</v>
      </c>
      <c r="AM52">
        <f>VLOOKUP(all_lmics[[worldbank_region]:[worldbank_region]],Table13[],2,FALSE)</f>
        <v>86.85998699999999</v>
      </c>
      <c r="AN52">
        <f>VLOOKUP(all_lmics[[worldbank_region]:[worldbank_region]],Table13[],3,FALSE)</f>
        <v>86.85998699999999</v>
      </c>
      <c r="AO52">
        <f>VLOOKUP(all_lmics[[worldbank_region]:[worldbank_region]],Table13[],4,FALSE)</f>
        <v>134.58884699999999</v>
      </c>
      <c r="AP52">
        <f>VLOOKUP(all_lmics[[worldbank_region]:[worldbank_region]],Table13[],5,FALSE)</f>
        <v>134.58884699999999</v>
      </c>
      <c r="AQ52">
        <f>VLOOKUP(all_lmics[[worldbank_region]:[worldbank_region]],Table13[],6,FALSE)</f>
        <v>134.58884699999999</v>
      </c>
      <c r="AR52">
        <f>VLOOKUP(all_lmics[[worldbank_region]:[worldbank_region]],Table14[],2,FALSE)</f>
        <v>1.514642</v>
      </c>
      <c r="AS52">
        <f>VLOOKUP(all_lmics[[worldbank_region]:[worldbank_region]],Table14[],3,FALSE)</f>
        <v>2.132142</v>
      </c>
      <c r="AT52">
        <f>VLOOKUP(all_lmics[[worldbank_region]:[worldbank_region]],Table14[],4,FALSE)</f>
        <v>1.5364360000000001</v>
      </c>
      <c r="AU52">
        <f>VLOOKUP(all_lmics[[worldbank_region]:[worldbank_region]],Table14[],5,FALSE)</f>
        <v>2.1539359999999999</v>
      </c>
      <c r="AV52">
        <f>VLOOKUP(all_lmics[[worldbank_region]:[worldbank_region]],Table14[],6,FALSE)</f>
        <v>2.7241879999999998</v>
      </c>
      <c r="AW52">
        <f>IFERROR(VLOOKUP(all_lmics[[Setting]:[Setting]],nFacSBA[],4,FALSE),0)</f>
        <v>0.47361041546109839</v>
      </c>
      <c r="AX52">
        <f>VLOOKUP(all_lmics[[worldbank_region]:[worldbank_region]],hbe[],2)</f>
        <v>0.3</v>
      </c>
      <c r="AY52">
        <f>VLOOKUP(all_lmics[[worldbank_region]:[worldbank_region]],hbe[],5)</f>
        <v>0.875</v>
      </c>
      <c r="AZ52">
        <f>VLOOKUP(all_lmics[[worldbank_region]:[worldbank_region]],hbe[],8)</f>
        <v>0.15</v>
      </c>
    </row>
    <row r="53" spans="1:52" x14ac:dyDescent="0.35">
      <c r="A53" s="12" t="s">
        <v>50</v>
      </c>
      <c r="B53" s="13" t="s">
        <v>22</v>
      </c>
      <c r="C53" s="15" t="s">
        <v>21</v>
      </c>
      <c r="D53" s="14" t="s">
        <v>383</v>
      </c>
      <c r="E53">
        <f>VLOOKUP(all_lmics[[Setting]:[Setting]],populations[],9,FALSE)</f>
        <v>209288278</v>
      </c>
      <c r="F53">
        <f>VLOOKUP(all_lmics[[Setting]:[Setting]],birthrate[],3,FALSE)</f>
        <v>1.4163E-2</v>
      </c>
      <c r="G53">
        <f>all_lmics[[#This Row],[2017_population]]*all_lmics[[#This Row],[2016_birthrate]]</f>
        <v>2964149.8813140001</v>
      </c>
      <c r="H53">
        <f>VLOOKUP(all_lmics[[Setting]:[Setting]],birthdose[],4,FALSE)</f>
        <v>0.8</v>
      </c>
      <c r="I53">
        <f>VLOOKUP(all_lmics[[Setting]:[Setting]],fullvax[],4,FALSE)</f>
        <v>0.93</v>
      </c>
      <c r="J53">
        <f>IFERROR(VLOOKUP(all_lmics[[Setting]:[Setting]],prev[],3,FALSE),0)</f>
        <v>4.0000000000000001E-3</v>
      </c>
      <c r="K53">
        <f>IFERROR(VLOOKUP(all_lmics[[Setting]:[Setting]],prev[],4,FALSE),0)</f>
        <v>2E-3</v>
      </c>
      <c r="L53">
        <f>IFERROR(VLOOKUP(all_lmics[[Setting]:[Setting]],prev[],5,FALSE),0)</f>
        <v>6.0000000000000001E-3</v>
      </c>
      <c r="M53">
        <f>IFERROR(VLOOKUP(all_lmics[[Setting]:[Setting]],prev[],7,FALSE),0)</f>
        <v>1.0204081632653062E-3</v>
      </c>
      <c r="N53">
        <f>IFERROR(VLOOKUP(all_lmics[[Setting]:[Setting]],prev[],6,FALSE),0)</f>
        <v>209288278</v>
      </c>
      <c r="O53">
        <f>IFERROR(VLOOKUP(all_lmics[[Setting]:[Setting]],SBA[],4,FALSE),0)</f>
        <v>0.99099999999999999</v>
      </c>
      <c r="P53">
        <f>IFERROR(VLOOKUP(all_lmics[[Setting]:[Setting]], facility[], 3,FALSE),0)</f>
        <v>0.99099999999999999</v>
      </c>
      <c r="Q53">
        <f>IFERROR(VLOOKUP(all_lmics[[Setting]:[Setting]],all_cause_mort[],4,FALSE),0)</f>
        <v>1.3174124000000001E-2</v>
      </c>
      <c r="R53">
        <f>IFERROR(VLOOKUP(all_lmics[[Setting]:[Setting]],all_cause_mort[],5,FALSE),0)</f>
        <v>5.6625385000000003E-4</v>
      </c>
      <c r="S53">
        <f>IFERROR(VLOOKUP(all_lmics[[Setting]:[Setting]],all_cause_mort[],6,FALSE),0)</f>
        <v>2.2618363E-4</v>
      </c>
      <c r="T53">
        <f>IFERROR(VLOOKUP(all_lmics[[Setting]:[Setting]],all_cause_mort[],7,FALSE),0)</f>
        <v>3.1079000999999998E-4</v>
      </c>
      <c r="U53">
        <f>IFERROR(VLOOKUP(all_lmics[[Setting]:[Setting]],all_cause_mort[],8,FALSE),0)</f>
        <v>1.0859554999999999E-3</v>
      </c>
      <c r="V53">
        <f>IFERROR(VLOOKUP(all_lmics[[Setting]:[Setting]],all_cause_mort[],9,FALSE),0)</f>
        <v>1.6530842E-3</v>
      </c>
      <c r="W53">
        <f>IFERROR(VLOOKUP(all_lmics[[Setting]:[Setting]],all_cause_mort[],10,FALSE),0)</f>
        <v>1.580098E-3</v>
      </c>
      <c r="X53">
        <f>IFERROR(VLOOKUP(all_lmics[[Setting]:[Setting]],all_cause_mort[],11,FALSE),0)</f>
        <v>1.8233072E-3</v>
      </c>
      <c r="Y53">
        <f>IFERROR(VLOOKUP(all_lmics[[Setting]:[Setting]],all_cause_mort[],12,FALSE),0)</f>
        <v>2.3055901000000002E-3</v>
      </c>
      <c r="Z53">
        <f>IFERROR(VLOOKUP(all_lmics[[Setting]:[Setting]],all_cause_mort[],13,FALSE),0)</f>
        <v>2.9700159999999998E-3</v>
      </c>
      <c r="AA53">
        <f>IFERROR(VLOOKUP(all_lmics[[Setting]:[Setting]],all_cause_mort[],14,FALSE),0)</f>
        <v>4.2972098999999996E-3</v>
      </c>
      <c r="AB53">
        <f>IFERROR(VLOOKUP(all_lmics[[Setting]:[Setting]],all_cause_mort[],15,FALSE),0)</f>
        <v>6.1532295999999998E-3</v>
      </c>
      <c r="AC53">
        <f>IFERROR(VLOOKUP(all_lmics[[Setting]:[Setting]],all_cause_mort[],16,FALSE),0)</f>
        <v>8.7493740000000007E-3</v>
      </c>
      <c r="AD53">
        <f>IFERROR(VLOOKUP(all_lmics[[Setting]:[Setting]],all_cause_mort[],17,FALSE),0)</f>
        <v>1.3155154E-2</v>
      </c>
      <c r="AE53">
        <f>IFERROR(VLOOKUP(all_lmics[[Setting]:[Setting]],all_cause_mort[],18,FALSE),0)</f>
        <v>1.9786016999999999E-2</v>
      </c>
      <c r="AF53">
        <f>IFERROR(VLOOKUP(all_lmics[[Setting]:[Setting]],all_cause_mort[],19,FALSE),0)</f>
        <v>2.87052E-2</v>
      </c>
      <c r="AG53">
        <f>IFERROR(VLOOKUP(all_lmics[[Setting]:[Setting]],all_cause_mort[],20,FALSE),0)</f>
        <v>4.4504811999999998E-2</v>
      </c>
      <c r="AH53">
        <f>IFERROR(VLOOKUP(all_lmics[[Setting]:[Setting]],all_cause_mort[],21,FALSE),0)</f>
        <v>6.8069609000000003E-2</v>
      </c>
      <c r="AI53">
        <f>IFERROR(VLOOKUP(all_lmics[[Setting]:[Setting]],all_cause_mort[],22,FALSE),0)</f>
        <v>0.10192384</v>
      </c>
      <c r="AJ53">
        <f>IFERROR(VLOOKUP(all_lmics[[Setting]:[Setting]],all_cause_mort[],23,FALSE),0)</f>
        <v>0.14772637</v>
      </c>
      <c r="AK53">
        <f>IFERROR(VLOOKUP(all_lmics[[Setting]:[Setting]],all_cause_mort[],24,FALSE),0)</f>
        <v>0.22369322</v>
      </c>
      <c r="AL53">
        <f>IFERROR(VLOOKUP(all_lmics[[Setting]:[Setting]],all_cause_mort[],25,FALSE),0)</f>
        <v>0.33541437830207099</v>
      </c>
      <c r="AM53">
        <f>VLOOKUP(all_lmics[[worldbank_region]:[worldbank_region]],Table13[],2,FALSE)</f>
        <v>86.85998699999999</v>
      </c>
      <c r="AN53">
        <f>VLOOKUP(all_lmics[[worldbank_region]:[worldbank_region]],Table13[],3,FALSE)</f>
        <v>86.85998699999999</v>
      </c>
      <c r="AO53">
        <f>VLOOKUP(all_lmics[[worldbank_region]:[worldbank_region]],Table13[],4,FALSE)</f>
        <v>134.58884699999999</v>
      </c>
      <c r="AP53">
        <f>VLOOKUP(all_lmics[[worldbank_region]:[worldbank_region]],Table13[],5,FALSE)</f>
        <v>134.58884699999999</v>
      </c>
      <c r="AQ53">
        <f>VLOOKUP(all_lmics[[worldbank_region]:[worldbank_region]],Table13[],6,FALSE)</f>
        <v>134.58884699999999</v>
      </c>
      <c r="AR53">
        <f>VLOOKUP(all_lmics[[worldbank_region]:[worldbank_region]],Table14[],2,FALSE)</f>
        <v>1.514642</v>
      </c>
      <c r="AS53">
        <f>VLOOKUP(all_lmics[[worldbank_region]:[worldbank_region]],Table14[],3,FALSE)</f>
        <v>2.132142</v>
      </c>
      <c r="AT53">
        <f>VLOOKUP(all_lmics[[worldbank_region]:[worldbank_region]],Table14[],4,FALSE)</f>
        <v>1.5364360000000001</v>
      </c>
      <c r="AU53">
        <f>VLOOKUP(all_lmics[[worldbank_region]:[worldbank_region]],Table14[],5,FALSE)</f>
        <v>2.1539359999999999</v>
      </c>
      <c r="AV53">
        <f>VLOOKUP(all_lmics[[worldbank_region]:[worldbank_region]],Table14[],6,FALSE)</f>
        <v>2.7241879999999998</v>
      </c>
      <c r="AW53">
        <f>IFERROR(VLOOKUP(all_lmics[[Setting]:[Setting]],nFacSBA[],4,FALSE),0)</f>
        <v>0.19968778666495002</v>
      </c>
      <c r="AX53">
        <f>VLOOKUP(all_lmics[[worldbank_region]:[worldbank_region]],hbe[],2)</f>
        <v>0.3</v>
      </c>
      <c r="AY53">
        <f>VLOOKUP(all_lmics[[worldbank_region]:[worldbank_region]],hbe[],5)</f>
        <v>0.875</v>
      </c>
      <c r="AZ53">
        <f>VLOOKUP(all_lmics[[worldbank_region]:[worldbank_region]],hbe[],8)</f>
        <v>0.15</v>
      </c>
    </row>
    <row r="54" spans="1:52" x14ac:dyDescent="0.35">
      <c r="A54" s="8" t="s">
        <v>64</v>
      </c>
      <c r="B54" s="10" t="s">
        <v>22</v>
      </c>
      <c r="C54" s="9" t="s">
        <v>21</v>
      </c>
      <c r="D54" s="11" t="s">
        <v>383</v>
      </c>
      <c r="E54">
        <f>VLOOKUP(all_lmics[[Setting]:[Setting]],populations[],9,FALSE)</f>
        <v>18054726</v>
      </c>
      <c r="F54">
        <f>VLOOKUP(all_lmics[[Setting]:[Setting]],birthrate[],3,FALSE)</f>
        <v>1.3281000000000001E-2</v>
      </c>
      <c r="G54">
        <f>all_lmics[[#This Row],[2017_population]]*all_lmics[[#This Row],[2016_birthrate]]</f>
        <v>239784.81600600001</v>
      </c>
      <c r="H54">
        <f>VLOOKUP(all_lmics[[Setting]:[Setting]],birthdose[],4,FALSE)</f>
        <v>0</v>
      </c>
      <c r="I54">
        <f>VLOOKUP(all_lmics[[Setting]:[Setting]],fullvax[],4,FALSE)</f>
        <v>0.93</v>
      </c>
      <c r="J54">
        <f>IFERROR(VLOOKUP(all_lmics[[Setting]:[Setting]],prev[],3,FALSE),0)</f>
        <v>1E-3</v>
      </c>
      <c r="K54">
        <f>IFERROR(VLOOKUP(all_lmics[[Setting]:[Setting]],prev[],4,FALSE),0)</f>
        <v>1E-3</v>
      </c>
      <c r="L54">
        <f>IFERROR(VLOOKUP(all_lmics[[Setting]:[Setting]],prev[],5,FALSE),0)</f>
        <v>2E-3</v>
      </c>
      <c r="M54">
        <f>IFERROR(VLOOKUP(all_lmics[[Setting]:[Setting]],prev[],7,FALSE),0)</f>
        <v>5.1020408163265311E-4</v>
      </c>
      <c r="N54">
        <f>IFERROR(VLOOKUP(all_lmics[[Setting]:[Setting]],prev[],6,FALSE),0)</f>
        <v>18054726</v>
      </c>
      <c r="O54">
        <f>IFERROR(VLOOKUP(all_lmics[[Setting]:[Setting]],SBA[],4,FALSE),0)</f>
        <v>0.997</v>
      </c>
      <c r="P54">
        <f>IFERROR(VLOOKUP(all_lmics[[Setting]:[Setting]], facility[], 3,FALSE),0)</f>
        <v>0.99650000000000005</v>
      </c>
      <c r="Q54">
        <f>IFERROR(VLOOKUP(all_lmics[[Setting]:[Setting]],all_cause_mort[],4,FALSE),0)</f>
        <v>6.7594743000000002E-3</v>
      </c>
      <c r="R54">
        <f>IFERROR(VLOOKUP(all_lmics[[Setting]:[Setting]],all_cause_mort[],5,FALSE),0)</f>
        <v>2.5527094999999999E-4</v>
      </c>
      <c r="S54">
        <f>IFERROR(VLOOKUP(all_lmics[[Setting]:[Setting]],all_cause_mort[],6,FALSE),0)</f>
        <v>1.3642600000000001E-4</v>
      </c>
      <c r="T54">
        <f>IFERROR(VLOOKUP(all_lmics[[Setting]:[Setting]],all_cause_mort[],7,FALSE),0)</f>
        <v>1.8179393E-4</v>
      </c>
      <c r="U54">
        <f>IFERROR(VLOOKUP(all_lmics[[Setting]:[Setting]],all_cause_mort[],8,FALSE),0)</f>
        <v>4.4268178999999999E-4</v>
      </c>
      <c r="V54">
        <f>IFERROR(VLOOKUP(all_lmics[[Setting]:[Setting]],all_cause_mort[],9,FALSE),0)</f>
        <v>6.3342765E-4</v>
      </c>
      <c r="W54">
        <f>IFERROR(VLOOKUP(all_lmics[[Setting]:[Setting]],all_cause_mort[],10,FALSE),0)</f>
        <v>7.2811830000000003E-4</v>
      </c>
      <c r="X54">
        <f>IFERROR(VLOOKUP(all_lmics[[Setting]:[Setting]],all_cause_mort[],11,FALSE),0)</f>
        <v>8.9680703E-4</v>
      </c>
      <c r="Y54">
        <f>IFERROR(VLOOKUP(all_lmics[[Setting]:[Setting]],all_cause_mort[],12,FALSE),0)</f>
        <v>1.1853782E-3</v>
      </c>
      <c r="Z54">
        <f>IFERROR(VLOOKUP(all_lmics[[Setting]:[Setting]],all_cause_mort[],13,FALSE),0)</f>
        <v>1.7036703999999999E-3</v>
      </c>
      <c r="AA54">
        <f>IFERROR(VLOOKUP(all_lmics[[Setting]:[Setting]],all_cause_mort[],14,FALSE),0)</f>
        <v>2.5274565000000001E-3</v>
      </c>
      <c r="AB54">
        <f>IFERROR(VLOOKUP(all_lmics[[Setting]:[Setting]],all_cause_mort[],15,FALSE),0)</f>
        <v>3.8212141999999999E-3</v>
      </c>
      <c r="AC54">
        <f>IFERROR(VLOOKUP(all_lmics[[Setting]:[Setting]],all_cause_mort[],16,FALSE),0)</f>
        <v>5.7278585000000003E-3</v>
      </c>
      <c r="AD54">
        <f>IFERROR(VLOOKUP(all_lmics[[Setting]:[Setting]],all_cause_mort[],17,FALSE),0)</f>
        <v>8.9113006999999994E-3</v>
      </c>
      <c r="AE54">
        <f>IFERROR(VLOOKUP(all_lmics[[Setting]:[Setting]],all_cause_mort[],18,FALSE),0)</f>
        <v>1.4327942E-2</v>
      </c>
      <c r="AF54">
        <f>IFERROR(VLOOKUP(all_lmics[[Setting]:[Setting]],all_cause_mort[],19,FALSE),0)</f>
        <v>2.254888E-2</v>
      </c>
      <c r="AG54">
        <f>IFERROR(VLOOKUP(all_lmics[[Setting]:[Setting]],all_cause_mort[],20,FALSE),0)</f>
        <v>3.6500393999999999E-2</v>
      </c>
      <c r="AH54">
        <f>IFERROR(VLOOKUP(all_lmics[[Setting]:[Setting]],all_cause_mort[],21,FALSE),0)</f>
        <v>6.1300278E-2</v>
      </c>
      <c r="AI54">
        <f>IFERROR(VLOOKUP(all_lmics[[Setting]:[Setting]],all_cause_mort[],22,FALSE),0)</f>
        <v>0.10040207</v>
      </c>
      <c r="AJ54">
        <f>IFERROR(VLOOKUP(all_lmics[[Setting]:[Setting]],all_cause_mort[],23,FALSE),0)</f>
        <v>0.15414125000000001</v>
      </c>
      <c r="AK54">
        <f>IFERROR(VLOOKUP(all_lmics[[Setting]:[Setting]],all_cause_mort[],24,FALSE),0)</f>
        <v>0.22950420999999999</v>
      </c>
      <c r="AL54">
        <f>IFERROR(VLOOKUP(all_lmics[[Setting]:[Setting]],all_cause_mort[],25,FALSE),0)</f>
        <v>0.32896101381047399</v>
      </c>
      <c r="AM54">
        <f>VLOOKUP(all_lmics[[worldbank_region]:[worldbank_region]],Table13[],2,FALSE)</f>
        <v>86.85998699999999</v>
      </c>
      <c r="AN54">
        <f>VLOOKUP(all_lmics[[worldbank_region]:[worldbank_region]],Table13[],3,FALSE)</f>
        <v>86.85998699999999</v>
      </c>
      <c r="AO54">
        <f>VLOOKUP(all_lmics[[worldbank_region]:[worldbank_region]],Table13[],4,FALSE)</f>
        <v>134.58884699999999</v>
      </c>
      <c r="AP54">
        <f>VLOOKUP(all_lmics[[worldbank_region]:[worldbank_region]],Table13[],5,FALSE)</f>
        <v>134.58884699999999</v>
      </c>
      <c r="AQ54">
        <f>VLOOKUP(all_lmics[[worldbank_region]:[worldbank_region]],Table13[],6,FALSE)</f>
        <v>134.58884699999999</v>
      </c>
      <c r="AR54">
        <f>VLOOKUP(all_lmics[[worldbank_region]:[worldbank_region]],Table14[],2,FALSE)</f>
        <v>1.514642</v>
      </c>
      <c r="AS54">
        <f>VLOOKUP(all_lmics[[worldbank_region]:[worldbank_region]],Table14[],3,FALSE)</f>
        <v>2.132142</v>
      </c>
      <c r="AT54">
        <f>VLOOKUP(all_lmics[[worldbank_region]:[worldbank_region]],Table14[],4,FALSE)</f>
        <v>1.5364360000000001</v>
      </c>
      <c r="AU54">
        <f>VLOOKUP(all_lmics[[worldbank_region]:[worldbank_region]],Table14[],5,FALSE)</f>
        <v>2.1539359999999999</v>
      </c>
      <c r="AV54">
        <f>VLOOKUP(all_lmics[[worldbank_region]:[worldbank_region]],Table14[],6,FALSE)</f>
        <v>2.7241879999999998</v>
      </c>
      <c r="AW54">
        <f>IFERROR(VLOOKUP(all_lmics[[Setting]:[Setting]],nFacSBA[],4,FALSE),0)</f>
        <v>0</v>
      </c>
      <c r="AX54">
        <f>VLOOKUP(all_lmics[[worldbank_region]:[worldbank_region]],hbe[],2)</f>
        <v>0.3</v>
      </c>
      <c r="AY54">
        <f>VLOOKUP(all_lmics[[worldbank_region]:[worldbank_region]],hbe[],5)</f>
        <v>0.875</v>
      </c>
      <c r="AZ54">
        <f>VLOOKUP(all_lmics[[worldbank_region]:[worldbank_region]],hbe[],8)</f>
        <v>0.15</v>
      </c>
    </row>
    <row r="55" spans="1:52" x14ac:dyDescent="0.35">
      <c r="A55" s="8" t="s">
        <v>66</v>
      </c>
      <c r="B55" s="10" t="s">
        <v>22</v>
      </c>
      <c r="C55" s="9" t="s">
        <v>21</v>
      </c>
      <c r="D55" s="11" t="s">
        <v>383</v>
      </c>
      <c r="E55">
        <f>VLOOKUP(all_lmics[[Setting]:[Setting]],populations[],9,FALSE)</f>
        <v>49065615</v>
      </c>
      <c r="F55">
        <f>VLOOKUP(all_lmics[[Setting]:[Setting]],birthrate[],3,FALSE)</f>
        <v>1.5198E-2</v>
      </c>
      <c r="G55">
        <f>all_lmics[[#This Row],[2017_population]]*all_lmics[[#This Row],[2016_birthrate]]</f>
        <v>745699.21676999994</v>
      </c>
      <c r="H55">
        <f>VLOOKUP(all_lmics[[Setting]:[Setting]],birthdose[],4,FALSE)</f>
        <v>0.81</v>
      </c>
      <c r="I55">
        <f>VLOOKUP(all_lmics[[Setting]:[Setting]],fullvax[],4,FALSE)</f>
        <v>0.92</v>
      </c>
      <c r="J55">
        <f>IFERROR(VLOOKUP(all_lmics[[Setting]:[Setting]],prev[],3,FALSE),0)</f>
        <v>3.0000000000000001E-3</v>
      </c>
      <c r="K55">
        <f>IFERROR(VLOOKUP(all_lmics[[Setting]:[Setting]],prev[],4,FALSE),0)</f>
        <v>1E-3</v>
      </c>
      <c r="L55">
        <f>IFERROR(VLOOKUP(all_lmics[[Setting]:[Setting]],prev[],5,FALSE),0)</f>
        <v>2.1999999999999999E-2</v>
      </c>
      <c r="M55">
        <f>IFERROR(VLOOKUP(all_lmics[[Setting]:[Setting]],prev[],7,FALSE),0)</f>
        <v>9.6938775510204082E-3</v>
      </c>
      <c r="N55">
        <f>IFERROR(VLOOKUP(all_lmics[[Setting]:[Setting]],prev[],6,FALSE),0)</f>
        <v>49065615</v>
      </c>
      <c r="O55">
        <f>IFERROR(VLOOKUP(all_lmics[[Setting]:[Setting]],SBA[],4,FALSE),0)</f>
        <v>0.95900000000000007</v>
      </c>
      <c r="P55">
        <f>IFERROR(VLOOKUP(all_lmics[[Setting]:[Setting]], facility[], 3,FALSE),0)</f>
        <v>0.99150000000000005</v>
      </c>
      <c r="Q55">
        <f>IFERROR(VLOOKUP(all_lmics[[Setting]:[Setting]],all_cause_mort[],4,FALSE),0)</f>
        <v>1.2785493E-2</v>
      </c>
      <c r="R55">
        <f>IFERROR(VLOOKUP(all_lmics[[Setting]:[Setting]],all_cause_mort[],5,FALSE),0)</f>
        <v>5.3936098E-4</v>
      </c>
      <c r="S55">
        <f>IFERROR(VLOOKUP(all_lmics[[Setting]:[Setting]],all_cause_mort[],6,FALSE),0)</f>
        <v>4.008921E-4</v>
      </c>
      <c r="T55">
        <f>IFERROR(VLOOKUP(all_lmics[[Setting]:[Setting]],all_cause_mort[],7,FALSE),0)</f>
        <v>3.6882031999999998E-4</v>
      </c>
      <c r="U55">
        <f>IFERROR(VLOOKUP(all_lmics[[Setting]:[Setting]],all_cause_mort[],8,FALSE),0)</f>
        <v>9.3739728000000004E-4</v>
      </c>
      <c r="V55">
        <f>IFERROR(VLOOKUP(all_lmics[[Setting]:[Setting]],all_cause_mort[],9,FALSE),0)</f>
        <v>1.8070988999999999E-3</v>
      </c>
      <c r="W55">
        <f>IFERROR(VLOOKUP(all_lmics[[Setting]:[Setting]],all_cause_mort[],10,FALSE),0)</f>
        <v>1.8729634E-3</v>
      </c>
      <c r="X55">
        <f>IFERROR(VLOOKUP(all_lmics[[Setting]:[Setting]],all_cause_mort[],11,FALSE),0)</f>
        <v>1.8339127000000001E-3</v>
      </c>
      <c r="Y55">
        <f>IFERROR(VLOOKUP(all_lmics[[Setting]:[Setting]],all_cause_mort[],12,FALSE),0)</f>
        <v>1.9983100000000001E-3</v>
      </c>
      <c r="Z55">
        <f>IFERROR(VLOOKUP(all_lmics[[Setting]:[Setting]],all_cause_mort[],13,FALSE),0)</f>
        <v>2.2652130999999999E-3</v>
      </c>
      <c r="AA55">
        <f>IFERROR(VLOOKUP(all_lmics[[Setting]:[Setting]],all_cause_mort[],14,FALSE),0)</f>
        <v>2.8655663E-3</v>
      </c>
      <c r="AB55">
        <f>IFERROR(VLOOKUP(all_lmics[[Setting]:[Setting]],all_cause_mort[],15,FALSE),0)</f>
        <v>4.4212883000000003E-3</v>
      </c>
      <c r="AC55">
        <f>IFERROR(VLOOKUP(all_lmics[[Setting]:[Setting]],all_cause_mort[],16,FALSE),0)</f>
        <v>6.6336084999999998E-3</v>
      </c>
      <c r="AD55">
        <f>IFERROR(VLOOKUP(all_lmics[[Setting]:[Setting]],all_cause_mort[],17,FALSE),0)</f>
        <v>1.0335904999999999E-2</v>
      </c>
      <c r="AE55">
        <f>IFERROR(VLOOKUP(all_lmics[[Setting]:[Setting]],all_cause_mort[],18,FALSE),0)</f>
        <v>1.6189671999999999E-2</v>
      </c>
      <c r="AF55">
        <f>IFERROR(VLOOKUP(all_lmics[[Setting]:[Setting]],all_cause_mort[],19,FALSE),0)</f>
        <v>2.5265101000000002E-2</v>
      </c>
      <c r="AG55">
        <f>IFERROR(VLOOKUP(all_lmics[[Setting]:[Setting]],all_cause_mort[],20,FALSE),0)</f>
        <v>3.9165576000000001E-2</v>
      </c>
      <c r="AH55">
        <f>IFERROR(VLOOKUP(all_lmics[[Setting]:[Setting]],all_cause_mort[],21,FALSE),0)</f>
        <v>6.4808826E-2</v>
      </c>
      <c r="AI55">
        <f>IFERROR(VLOOKUP(all_lmics[[Setting]:[Setting]],all_cause_mort[],22,FALSE),0)</f>
        <v>0.11303216000000001</v>
      </c>
      <c r="AJ55">
        <f>IFERROR(VLOOKUP(all_lmics[[Setting]:[Setting]],all_cause_mort[],23,FALSE),0)</f>
        <v>0.14274771999999999</v>
      </c>
      <c r="AK55">
        <f>IFERROR(VLOOKUP(all_lmics[[Setting]:[Setting]],all_cause_mort[],24,FALSE),0)</f>
        <v>0.27227117000000001</v>
      </c>
      <c r="AL55">
        <f>IFERROR(VLOOKUP(all_lmics[[Setting]:[Setting]],all_cause_mort[],25,FALSE),0)</f>
        <v>0.44060019792642102</v>
      </c>
      <c r="AM55">
        <f>VLOOKUP(all_lmics[[worldbank_region]:[worldbank_region]],Table13[],2,FALSE)</f>
        <v>86.85998699999999</v>
      </c>
      <c r="AN55">
        <f>VLOOKUP(all_lmics[[worldbank_region]:[worldbank_region]],Table13[],3,FALSE)</f>
        <v>86.85998699999999</v>
      </c>
      <c r="AO55">
        <f>VLOOKUP(all_lmics[[worldbank_region]:[worldbank_region]],Table13[],4,FALSE)</f>
        <v>134.58884699999999</v>
      </c>
      <c r="AP55">
        <f>VLOOKUP(all_lmics[[worldbank_region]:[worldbank_region]],Table13[],5,FALSE)</f>
        <v>134.58884699999999</v>
      </c>
      <c r="AQ55">
        <f>VLOOKUP(all_lmics[[worldbank_region]:[worldbank_region]],Table13[],6,FALSE)</f>
        <v>134.58884699999999</v>
      </c>
      <c r="AR55">
        <f>VLOOKUP(all_lmics[[worldbank_region]:[worldbank_region]],Table14[],2,FALSE)</f>
        <v>1.514642</v>
      </c>
      <c r="AS55">
        <f>VLOOKUP(all_lmics[[worldbank_region]:[worldbank_region]],Table14[],3,FALSE)</f>
        <v>2.132142</v>
      </c>
      <c r="AT55">
        <f>VLOOKUP(all_lmics[[worldbank_region]:[worldbank_region]],Table14[],4,FALSE)</f>
        <v>1.5364360000000001</v>
      </c>
      <c r="AU55">
        <f>VLOOKUP(all_lmics[[worldbank_region]:[worldbank_region]],Table14[],5,FALSE)</f>
        <v>2.1539359999999999</v>
      </c>
      <c r="AV55">
        <f>VLOOKUP(all_lmics[[worldbank_region]:[worldbank_region]],Table14[],6,FALSE)</f>
        <v>2.7241879999999998</v>
      </c>
      <c r="AW55">
        <f>IFERROR(VLOOKUP(all_lmics[[Setting]:[Setting]],nFacSBA[],4,FALSE),0)</f>
        <v>0</v>
      </c>
      <c r="AX55">
        <f>VLOOKUP(all_lmics[[worldbank_region]:[worldbank_region]],hbe[],2)</f>
        <v>0.3</v>
      </c>
      <c r="AY55">
        <f>VLOOKUP(all_lmics[[worldbank_region]:[worldbank_region]],hbe[],5)</f>
        <v>0.875</v>
      </c>
      <c r="AZ55">
        <f>VLOOKUP(all_lmics[[worldbank_region]:[worldbank_region]],hbe[],8)</f>
        <v>0.15</v>
      </c>
    </row>
    <row r="56" spans="1:52" x14ac:dyDescent="0.35">
      <c r="A56" s="8" t="s">
        <v>70</v>
      </c>
      <c r="B56" s="10" t="s">
        <v>22</v>
      </c>
      <c r="C56" s="9" t="s">
        <v>21</v>
      </c>
      <c r="D56" s="11" t="s">
        <v>383</v>
      </c>
      <c r="E56">
        <f>VLOOKUP(all_lmics[[Setting]:[Setting]],populations[],9,FALSE)</f>
        <v>4905769</v>
      </c>
      <c r="F56">
        <f>VLOOKUP(all_lmics[[Setting]:[Setting]],birthrate[],3,FALSE)</f>
        <v>1.4289E-2</v>
      </c>
      <c r="G56">
        <f>all_lmics[[#This Row],[2017_population]]*all_lmics[[#This Row],[2016_birthrate]]</f>
        <v>70098.533240999997</v>
      </c>
      <c r="H56">
        <f>VLOOKUP(all_lmics[[Setting]:[Setting]],birthdose[],4,FALSE)</f>
        <v>0.87</v>
      </c>
      <c r="I56">
        <f>VLOOKUP(all_lmics[[Setting]:[Setting]],fullvax[],4,FALSE)</f>
        <v>0.97</v>
      </c>
      <c r="J56">
        <f>IFERROR(VLOOKUP(all_lmics[[Setting]:[Setting]],prev[],3,FALSE),0)</f>
        <v>2E-3</v>
      </c>
      <c r="K56">
        <f>IFERROR(VLOOKUP(all_lmics[[Setting]:[Setting]],prev[],4,FALSE),0)</f>
        <v>1E-3</v>
      </c>
      <c r="L56">
        <f>IFERROR(VLOOKUP(all_lmics[[Setting]:[Setting]],prev[],5,FALSE),0)</f>
        <v>2E-3</v>
      </c>
      <c r="M56">
        <f>IFERROR(VLOOKUP(all_lmics[[Setting]:[Setting]],prev[],7,FALSE),0)</f>
        <v>5.102040816326522E-5</v>
      </c>
      <c r="N56">
        <f>IFERROR(VLOOKUP(all_lmics[[Setting]:[Setting]],prev[],6,FALSE),0)</f>
        <v>4905769</v>
      </c>
      <c r="O56">
        <f>IFERROR(VLOOKUP(all_lmics[[Setting]:[Setting]],SBA[],4,FALSE),0)</f>
        <v>0.9</v>
      </c>
      <c r="P56">
        <f>IFERROR(VLOOKUP(all_lmics[[Setting]:[Setting]], facility[], 3,FALSE),0)</f>
        <v>0.99150000000000005</v>
      </c>
      <c r="Q56">
        <f>IFERROR(VLOOKUP(all_lmics[[Setting]:[Setting]],all_cause_mort[],4,FALSE),0)</f>
        <v>7.3683300999999998E-3</v>
      </c>
      <c r="R56">
        <f>IFERROR(VLOOKUP(all_lmics[[Setting]:[Setting]],all_cause_mort[],5,FALSE),0)</f>
        <v>4.6194063000000002E-4</v>
      </c>
      <c r="S56">
        <f>IFERROR(VLOOKUP(all_lmics[[Setting]:[Setting]],all_cause_mort[],6,FALSE),0)</f>
        <v>1.8927972000000001E-4</v>
      </c>
      <c r="T56">
        <f>IFERROR(VLOOKUP(all_lmics[[Setting]:[Setting]],all_cause_mort[],7,FALSE),0)</f>
        <v>2.5247391999999998E-4</v>
      </c>
      <c r="U56">
        <f>IFERROR(VLOOKUP(all_lmics[[Setting]:[Setting]],all_cause_mort[],8,FALSE),0)</f>
        <v>5.2234079999999999E-4</v>
      </c>
      <c r="V56">
        <f>IFERROR(VLOOKUP(all_lmics[[Setting]:[Setting]],all_cause_mort[],9,FALSE),0)</f>
        <v>7.9235701E-4</v>
      </c>
      <c r="W56">
        <f>IFERROR(VLOOKUP(all_lmics[[Setting]:[Setting]],all_cause_mort[],10,FALSE),0)</f>
        <v>9.2155706000000002E-4</v>
      </c>
      <c r="X56">
        <f>IFERROR(VLOOKUP(all_lmics[[Setting]:[Setting]],all_cause_mort[],11,FALSE),0)</f>
        <v>1.0885433000000001E-3</v>
      </c>
      <c r="Y56">
        <f>IFERROR(VLOOKUP(all_lmics[[Setting]:[Setting]],all_cause_mort[],12,FALSE),0)</f>
        <v>1.3362409999999999E-3</v>
      </c>
      <c r="Z56">
        <f>IFERROR(VLOOKUP(all_lmics[[Setting]:[Setting]],all_cause_mort[],13,FALSE),0)</f>
        <v>1.7556926999999999E-3</v>
      </c>
      <c r="AA56">
        <f>IFERROR(VLOOKUP(all_lmics[[Setting]:[Setting]],all_cause_mort[],14,FALSE),0)</f>
        <v>2.4831569000000001E-3</v>
      </c>
      <c r="AB56">
        <f>IFERROR(VLOOKUP(all_lmics[[Setting]:[Setting]],all_cause_mort[],15,FALSE),0)</f>
        <v>3.6503285000000002E-3</v>
      </c>
      <c r="AC56">
        <f>IFERROR(VLOOKUP(all_lmics[[Setting]:[Setting]],all_cause_mort[],16,FALSE),0)</f>
        <v>5.5623338999999999E-3</v>
      </c>
      <c r="AD56">
        <f>IFERROR(VLOOKUP(all_lmics[[Setting]:[Setting]],all_cause_mort[],17,FALSE),0)</f>
        <v>8.6270466000000004E-3</v>
      </c>
      <c r="AE56">
        <f>IFERROR(VLOOKUP(all_lmics[[Setting]:[Setting]],all_cause_mort[],18,FALSE),0)</f>
        <v>1.3664987E-2</v>
      </c>
      <c r="AF56">
        <f>IFERROR(VLOOKUP(all_lmics[[Setting]:[Setting]],all_cause_mort[],19,FALSE),0)</f>
        <v>2.1521433E-2</v>
      </c>
      <c r="AG56">
        <f>IFERROR(VLOOKUP(all_lmics[[Setting]:[Setting]],all_cause_mort[],20,FALSE),0)</f>
        <v>3.5180303000000003E-2</v>
      </c>
      <c r="AH56">
        <f>IFERROR(VLOOKUP(all_lmics[[Setting]:[Setting]],all_cause_mort[],21,FALSE),0)</f>
        <v>5.7461654000000001E-2</v>
      </c>
      <c r="AI56">
        <f>IFERROR(VLOOKUP(all_lmics[[Setting]:[Setting]],all_cause_mort[],22,FALSE),0)</f>
        <v>9.2488011999999994E-2</v>
      </c>
      <c r="AJ56">
        <f>IFERROR(VLOOKUP(all_lmics[[Setting]:[Setting]],all_cause_mort[],23,FALSE),0)</f>
        <v>0.14816710999999999</v>
      </c>
      <c r="AK56">
        <f>IFERROR(VLOOKUP(all_lmics[[Setting]:[Setting]],all_cause_mort[],24,FALSE),0)</f>
        <v>0.23691423</v>
      </c>
      <c r="AL56">
        <f>IFERROR(VLOOKUP(all_lmics[[Setting]:[Setting]],all_cause_mort[],25,FALSE),0)</f>
        <v>0.40364048194350599</v>
      </c>
      <c r="AM56">
        <f>VLOOKUP(all_lmics[[worldbank_region]:[worldbank_region]],Table13[],2,FALSE)</f>
        <v>86.85998699999999</v>
      </c>
      <c r="AN56">
        <f>VLOOKUP(all_lmics[[worldbank_region]:[worldbank_region]],Table13[],3,FALSE)</f>
        <v>86.85998699999999</v>
      </c>
      <c r="AO56">
        <f>VLOOKUP(all_lmics[[worldbank_region]:[worldbank_region]],Table13[],4,FALSE)</f>
        <v>134.58884699999999</v>
      </c>
      <c r="AP56">
        <f>VLOOKUP(all_lmics[[worldbank_region]:[worldbank_region]],Table13[],5,FALSE)</f>
        <v>134.58884699999999</v>
      </c>
      <c r="AQ56">
        <f>VLOOKUP(all_lmics[[worldbank_region]:[worldbank_region]],Table13[],6,FALSE)</f>
        <v>134.58884699999999</v>
      </c>
      <c r="AR56">
        <f>VLOOKUP(all_lmics[[worldbank_region]:[worldbank_region]],Table14[],2,FALSE)</f>
        <v>1.514642</v>
      </c>
      <c r="AS56">
        <f>VLOOKUP(all_lmics[[worldbank_region]:[worldbank_region]],Table14[],3,FALSE)</f>
        <v>2.132142</v>
      </c>
      <c r="AT56">
        <f>VLOOKUP(all_lmics[[worldbank_region]:[worldbank_region]],Table14[],4,FALSE)</f>
        <v>1.5364360000000001</v>
      </c>
      <c r="AU56">
        <f>VLOOKUP(all_lmics[[worldbank_region]:[worldbank_region]],Table14[],5,FALSE)</f>
        <v>2.1539359999999999</v>
      </c>
      <c r="AV56">
        <f>VLOOKUP(all_lmics[[worldbank_region]:[worldbank_region]],Table14[],6,FALSE)</f>
        <v>2.7241879999999998</v>
      </c>
      <c r="AW56">
        <f>IFERROR(VLOOKUP(all_lmics[[Setting]:[Setting]],nFacSBA[],4,FALSE),0)</f>
        <v>0.46190298370088306</v>
      </c>
      <c r="AX56">
        <f>VLOOKUP(all_lmics[[worldbank_region]:[worldbank_region]],hbe[],2)</f>
        <v>0.3</v>
      </c>
      <c r="AY56">
        <f>VLOOKUP(all_lmics[[worldbank_region]:[worldbank_region]],hbe[],5)</f>
        <v>0.875</v>
      </c>
      <c r="AZ56">
        <f>VLOOKUP(all_lmics[[worldbank_region]:[worldbank_region]],hbe[],8)</f>
        <v>0.15</v>
      </c>
    </row>
    <row r="57" spans="1:52" x14ac:dyDescent="0.35">
      <c r="A57" s="8" t="s">
        <v>80</v>
      </c>
      <c r="B57" s="10" t="s">
        <v>22</v>
      </c>
      <c r="C57" s="9" t="s">
        <v>21</v>
      </c>
      <c r="D57" s="11" t="s">
        <v>383</v>
      </c>
      <c r="E57">
        <f>VLOOKUP(all_lmics[[Setting]:[Setting]],populations[],9,FALSE)</f>
        <v>73925</v>
      </c>
      <c r="F57">
        <f>VLOOKUP(all_lmics[[Setting]:[Setting]],birthrate[],3,FALSE)</f>
        <v>1.5099999999999999E-2</v>
      </c>
      <c r="G57">
        <f>all_lmics[[#This Row],[2017_population]]*all_lmics[[#This Row],[2016_birthrate]]</f>
        <v>1116.2674999999999</v>
      </c>
      <c r="H57">
        <f>VLOOKUP(all_lmics[[Setting]:[Setting]],birthdose[],4,FALSE)</f>
        <v>0.23</v>
      </c>
      <c r="I57">
        <f>VLOOKUP(all_lmics[[Setting]:[Setting]],fullvax[],4,FALSE)</f>
        <v>0.91</v>
      </c>
      <c r="J57">
        <f>IFERROR(VLOOKUP(all_lmics[[Setting]:[Setting]],prev[],3,FALSE),0)</f>
        <v>0</v>
      </c>
      <c r="K57">
        <f>IFERROR(VLOOKUP(all_lmics[[Setting]:[Setting]],prev[],4,FALSE),0)</f>
        <v>0</v>
      </c>
      <c r="L57">
        <f>IFERROR(VLOOKUP(all_lmics[[Setting]:[Setting]],prev[],5,FALSE),0)</f>
        <v>0</v>
      </c>
      <c r="M57">
        <f>IFERROR(VLOOKUP(all_lmics[[Setting]:[Setting]],prev[],7,FALSE),0)</f>
        <v>0</v>
      </c>
      <c r="N57">
        <f>IFERROR(VLOOKUP(all_lmics[[Setting]:[Setting]],prev[],6,FALSE),0)</f>
        <v>0</v>
      </c>
      <c r="O57">
        <f>IFERROR(VLOOKUP(all_lmics[[Setting]:[Setting]],SBA[],4,FALSE),0)</f>
        <v>0.96</v>
      </c>
      <c r="P57">
        <f>IFERROR(VLOOKUP(all_lmics[[Setting]:[Setting]], facility[], 3,FALSE),0)</f>
        <v>0</v>
      </c>
      <c r="Q57">
        <f>IFERROR(VLOOKUP(all_lmics[[Setting]:[Setting]],all_cause_mort[],4,FALSE),0)</f>
        <v>0</v>
      </c>
      <c r="R57">
        <f>IFERROR(VLOOKUP(all_lmics[[Setting]:[Setting]],all_cause_mort[],5,FALSE),0)</f>
        <v>0</v>
      </c>
      <c r="S57">
        <f>IFERROR(VLOOKUP(all_lmics[[Setting]:[Setting]],all_cause_mort[],6,FALSE),0)</f>
        <v>0</v>
      </c>
      <c r="T57">
        <f>IFERROR(VLOOKUP(all_lmics[[Setting]:[Setting]],all_cause_mort[],7,FALSE),0)</f>
        <v>0</v>
      </c>
      <c r="U57">
        <f>IFERROR(VLOOKUP(all_lmics[[Setting]:[Setting]],all_cause_mort[],8,FALSE),0)</f>
        <v>0</v>
      </c>
      <c r="V57">
        <f>IFERROR(VLOOKUP(all_lmics[[Setting]:[Setting]],all_cause_mort[],9,FALSE),0)</f>
        <v>0</v>
      </c>
      <c r="W57">
        <f>IFERROR(VLOOKUP(all_lmics[[Setting]:[Setting]],all_cause_mort[],10,FALSE),0)</f>
        <v>0</v>
      </c>
      <c r="X57">
        <f>IFERROR(VLOOKUP(all_lmics[[Setting]:[Setting]],all_cause_mort[],11,FALSE),0)</f>
        <v>0</v>
      </c>
      <c r="Y57">
        <f>IFERROR(VLOOKUP(all_lmics[[Setting]:[Setting]],all_cause_mort[],12,FALSE),0)</f>
        <v>0</v>
      </c>
      <c r="Z57">
        <f>IFERROR(VLOOKUP(all_lmics[[Setting]:[Setting]],all_cause_mort[],13,FALSE),0)</f>
        <v>0</v>
      </c>
      <c r="AA57">
        <f>IFERROR(VLOOKUP(all_lmics[[Setting]:[Setting]],all_cause_mort[],14,FALSE),0)</f>
        <v>0</v>
      </c>
      <c r="AB57">
        <f>IFERROR(VLOOKUP(all_lmics[[Setting]:[Setting]],all_cause_mort[],15,FALSE),0)</f>
        <v>0</v>
      </c>
      <c r="AC57">
        <f>IFERROR(VLOOKUP(all_lmics[[Setting]:[Setting]],all_cause_mort[],16,FALSE),0)</f>
        <v>0</v>
      </c>
      <c r="AD57">
        <f>IFERROR(VLOOKUP(all_lmics[[Setting]:[Setting]],all_cause_mort[],17,FALSE),0)</f>
        <v>0</v>
      </c>
      <c r="AE57">
        <f>IFERROR(VLOOKUP(all_lmics[[Setting]:[Setting]],all_cause_mort[],18,FALSE),0)</f>
        <v>0</v>
      </c>
      <c r="AF57">
        <f>IFERROR(VLOOKUP(all_lmics[[Setting]:[Setting]],all_cause_mort[],19,FALSE),0)</f>
        <v>0</v>
      </c>
      <c r="AG57">
        <f>IFERROR(VLOOKUP(all_lmics[[Setting]:[Setting]],all_cause_mort[],20,FALSE),0)</f>
        <v>0</v>
      </c>
      <c r="AH57">
        <f>IFERROR(VLOOKUP(all_lmics[[Setting]:[Setting]],all_cause_mort[],21,FALSE),0)</f>
        <v>0</v>
      </c>
      <c r="AI57">
        <f>IFERROR(VLOOKUP(all_lmics[[Setting]:[Setting]],all_cause_mort[],22,FALSE),0)</f>
        <v>0</v>
      </c>
      <c r="AJ57">
        <f>IFERROR(VLOOKUP(all_lmics[[Setting]:[Setting]],all_cause_mort[],23,FALSE),0)</f>
        <v>0</v>
      </c>
      <c r="AK57">
        <f>IFERROR(VLOOKUP(all_lmics[[Setting]:[Setting]],all_cause_mort[],24,FALSE),0)</f>
        <v>0</v>
      </c>
      <c r="AL57">
        <f>IFERROR(VLOOKUP(all_lmics[[Setting]:[Setting]],all_cause_mort[],25,FALSE),0)</f>
        <v>0</v>
      </c>
      <c r="AM57">
        <f>VLOOKUP(all_lmics[[worldbank_region]:[worldbank_region]],Table13[],2,FALSE)</f>
        <v>86.85998699999999</v>
      </c>
      <c r="AN57">
        <f>VLOOKUP(all_lmics[[worldbank_region]:[worldbank_region]],Table13[],3,FALSE)</f>
        <v>86.85998699999999</v>
      </c>
      <c r="AO57">
        <f>VLOOKUP(all_lmics[[worldbank_region]:[worldbank_region]],Table13[],4,FALSE)</f>
        <v>134.58884699999999</v>
      </c>
      <c r="AP57">
        <f>VLOOKUP(all_lmics[[worldbank_region]:[worldbank_region]],Table13[],5,FALSE)</f>
        <v>134.58884699999999</v>
      </c>
      <c r="AQ57">
        <f>VLOOKUP(all_lmics[[worldbank_region]:[worldbank_region]],Table13[],6,FALSE)</f>
        <v>134.58884699999999</v>
      </c>
      <c r="AR57">
        <f>VLOOKUP(all_lmics[[worldbank_region]:[worldbank_region]],Table14[],2,FALSE)</f>
        <v>1.514642</v>
      </c>
      <c r="AS57">
        <f>VLOOKUP(all_lmics[[worldbank_region]:[worldbank_region]],Table14[],3,FALSE)</f>
        <v>2.132142</v>
      </c>
      <c r="AT57">
        <f>VLOOKUP(all_lmics[[worldbank_region]:[worldbank_region]],Table14[],4,FALSE)</f>
        <v>1.5364360000000001</v>
      </c>
      <c r="AU57">
        <f>VLOOKUP(all_lmics[[worldbank_region]:[worldbank_region]],Table14[],5,FALSE)</f>
        <v>2.1539359999999999</v>
      </c>
      <c r="AV57">
        <f>VLOOKUP(all_lmics[[worldbank_region]:[worldbank_region]],Table14[],6,FALSE)</f>
        <v>2.7241879999999998</v>
      </c>
      <c r="AW57">
        <f>IFERROR(VLOOKUP(all_lmics[[Setting]:[Setting]],nFacSBA[],4,FALSE),0)</f>
        <v>0</v>
      </c>
      <c r="AX57">
        <f>VLOOKUP(all_lmics[[worldbank_region]:[worldbank_region]],hbe[],2)</f>
        <v>0.3</v>
      </c>
      <c r="AY57">
        <f>VLOOKUP(all_lmics[[worldbank_region]:[worldbank_region]],hbe[],5)</f>
        <v>0.875</v>
      </c>
      <c r="AZ57">
        <f>VLOOKUP(all_lmics[[worldbank_region]:[worldbank_region]],hbe[],8)</f>
        <v>0.15</v>
      </c>
    </row>
    <row r="58" spans="1:52" x14ac:dyDescent="0.35">
      <c r="A58" s="12" t="s">
        <v>81</v>
      </c>
      <c r="B58" s="13" t="s">
        <v>22</v>
      </c>
      <c r="C58" s="15" t="s">
        <v>21</v>
      </c>
      <c r="D58" s="14" t="s">
        <v>383</v>
      </c>
      <c r="E58">
        <f>VLOOKUP(all_lmics[[Setting]:[Setting]],populations[],9,FALSE)</f>
        <v>10766998</v>
      </c>
      <c r="F58">
        <f>VLOOKUP(all_lmics[[Setting]:[Setting]],birthrate[],3,FALSE)</f>
        <v>2.017E-2</v>
      </c>
      <c r="G58">
        <f>all_lmics[[#This Row],[2017_population]]*all_lmics[[#This Row],[2016_birthrate]]</f>
        <v>217170.34966000001</v>
      </c>
      <c r="H58">
        <f>VLOOKUP(all_lmics[[Setting]:[Setting]],birthdose[],4,FALSE)</f>
        <v>0.67</v>
      </c>
      <c r="I58">
        <f>VLOOKUP(all_lmics[[Setting]:[Setting]],fullvax[],4,FALSE)</f>
        <v>0.81</v>
      </c>
      <c r="J58">
        <f>IFERROR(VLOOKUP(all_lmics[[Setting]:[Setting]],prev[],3,FALSE),0)</f>
        <v>1.7000000000000001E-2</v>
      </c>
      <c r="K58">
        <f>IFERROR(VLOOKUP(all_lmics[[Setting]:[Setting]],prev[],4,FALSE),0)</f>
        <v>1.0999999999999999E-2</v>
      </c>
      <c r="L58">
        <f>IFERROR(VLOOKUP(all_lmics[[Setting]:[Setting]],prev[],5,FALSE),0)</f>
        <v>0.02</v>
      </c>
      <c r="M58">
        <f>IFERROR(VLOOKUP(all_lmics[[Setting]:[Setting]],prev[],7,FALSE),0)</f>
        <v>1.5306122448979589E-3</v>
      </c>
      <c r="N58">
        <f>IFERROR(VLOOKUP(all_lmics[[Setting]:[Setting]],prev[],6,FALSE),0)</f>
        <v>10766998</v>
      </c>
      <c r="O58">
        <f>IFERROR(VLOOKUP(all_lmics[[Setting]:[Setting]],SBA[],4,FALSE),0)</f>
        <v>0.996</v>
      </c>
      <c r="P58">
        <f>IFERROR(VLOOKUP(all_lmics[[Setting]:[Setting]], facility[], 3,FALSE),0)</f>
        <v>0.97900000000000009</v>
      </c>
      <c r="Q58">
        <f>IFERROR(VLOOKUP(all_lmics[[Setting]:[Setting]],all_cause_mort[],4,FALSE),0)</f>
        <v>2.646418E-2</v>
      </c>
      <c r="R58">
        <f>IFERROR(VLOOKUP(all_lmics[[Setting]:[Setting]],all_cause_mort[],5,FALSE),0)</f>
        <v>7.7505688000000005E-4</v>
      </c>
      <c r="S58">
        <f>IFERROR(VLOOKUP(all_lmics[[Setting]:[Setting]],all_cause_mort[],6,FALSE),0)</f>
        <v>3.7222192000000001E-4</v>
      </c>
      <c r="T58">
        <f>IFERROR(VLOOKUP(all_lmics[[Setting]:[Setting]],all_cause_mort[],7,FALSE),0)</f>
        <v>3.7299491999999998E-4</v>
      </c>
      <c r="U58">
        <f>IFERROR(VLOOKUP(all_lmics[[Setting]:[Setting]],all_cause_mort[],8,FALSE),0)</f>
        <v>9.4106159999999997E-4</v>
      </c>
      <c r="V58">
        <f>IFERROR(VLOOKUP(all_lmics[[Setting]:[Setting]],all_cause_mort[],9,FALSE),0)</f>
        <v>1.6660443999999999E-3</v>
      </c>
      <c r="W58">
        <f>IFERROR(VLOOKUP(all_lmics[[Setting]:[Setting]],all_cause_mort[],10,FALSE),0)</f>
        <v>2.1097793000000001E-3</v>
      </c>
      <c r="X58">
        <f>IFERROR(VLOOKUP(all_lmics[[Setting]:[Setting]],all_cause_mort[],11,FALSE),0)</f>
        <v>2.5753027E-3</v>
      </c>
      <c r="Y58">
        <f>IFERROR(VLOOKUP(all_lmics[[Setting]:[Setting]],all_cause_mort[],12,FALSE),0)</f>
        <v>2.8624687999999998E-3</v>
      </c>
      <c r="Z58">
        <f>IFERROR(VLOOKUP(all_lmics[[Setting]:[Setting]],all_cause_mort[],13,FALSE),0)</f>
        <v>3.6023303E-3</v>
      </c>
      <c r="AA58">
        <f>IFERROR(VLOOKUP(all_lmics[[Setting]:[Setting]],all_cause_mort[],14,FALSE),0)</f>
        <v>4.8204754000000004E-3</v>
      </c>
      <c r="AB58">
        <f>IFERROR(VLOOKUP(all_lmics[[Setting]:[Setting]],all_cause_mort[],15,FALSE),0)</f>
        <v>6.4046423999999996E-3</v>
      </c>
      <c r="AC58">
        <f>IFERROR(VLOOKUP(all_lmics[[Setting]:[Setting]],all_cause_mort[],16,FALSE),0)</f>
        <v>9.3508880999999995E-3</v>
      </c>
      <c r="AD58">
        <f>IFERROR(VLOOKUP(all_lmics[[Setting]:[Setting]],all_cause_mort[],17,FALSE),0)</f>
        <v>1.3940997E-2</v>
      </c>
      <c r="AE58">
        <f>IFERROR(VLOOKUP(all_lmics[[Setting]:[Setting]],all_cause_mort[],18,FALSE),0)</f>
        <v>2.0850463999999999E-2</v>
      </c>
      <c r="AF58">
        <f>IFERROR(VLOOKUP(all_lmics[[Setting]:[Setting]],all_cause_mort[],19,FALSE),0)</f>
        <v>3.0942771000000001E-2</v>
      </c>
      <c r="AG58">
        <f>IFERROR(VLOOKUP(all_lmics[[Setting]:[Setting]],all_cause_mort[],20,FALSE),0)</f>
        <v>4.6500179000000003E-2</v>
      </c>
      <c r="AH58">
        <f>IFERROR(VLOOKUP(all_lmics[[Setting]:[Setting]],all_cause_mort[],21,FALSE),0)</f>
        <v>6.7459852000000001E-2</v>
      </c>
      <c r="AI58">
        <f>IFERROR(VLOOKUP(all_lmics[[Setting]:[Setting]],all_cause_mort[],22,FALSE),0)</f>
        <v>9.4685063E-2</v>
      </c>
      <c r="AJ58">
        <f>IFERROR(VLOOKUP(all_lmics[[Setting]:[Setting]],all_cause_mort[],23,FALSE),0)</f>
        <v>0.12843317000000001</v>
      </c>
      <c r="AK58">
        <f>IFERROR(VLOOKUP(all_lmics[[Setting]:[Setting]],all_cause_mort[],24,FALSE),0)</f>
        <v>0.16802508999999999</v>
      </c>
      <c r="AL58">
        <f>IFERROR(VLOOKUP(all_lmics[[Setting]:[Setting]],all_cause_mort[],25,FALSE),0)</f>
        <v>0.23412955722939999</v>
      </c>
      <c r="AM58">
        <f>VLOOKUP(all_lmics[[worldbank_region]:[worldbank_region]],Table13[],2,FALSE)</f>
        <v>86.85998699999999</v>
      </c>
      <c r="AN58">
        <f>VLOOKUP(all_lmics[[worldbank_region]:[worldbank_region]],Table13[],3,FALSE)</f>
        <v>86.85998699999999</v>
      </c>
      <c r="AO58">
        <f>VLOOKUP(all_lmics[[worldbank_region]:[worldbank_region]],Table13[],4,FALSE)</f>
        <v>134.58884699999999</v>
      </c>
      <c r="AP58">
        <f>VLOOKUP(all_lmics[[worldbank_region]:[worldbank_region]],Table13[],5,FALSE)</f>
        <v>134.58884699999999</v>
      </c>
      <c r="AQ58">
        <f>VLOOKUP(all_lmics[[worldbank_region]:[worldbank_region]],Table13[],6,FALSE)</f>
        <v>134.58884699999999</v>
      </c>
      <c r="AR58">
        <f>VLOOKUP(all_lmics[[worldbank_region]:[worldbank_region]],Table14[],2,FALSE)</f>
        <v>1.514642</v>
      </c>
      <c r="AS58">
        <f>VLOOKUP(all_lmics[[worldbank_region]:[worldbank_region]],Table14[],3,FALSE)</f>
        <v>2.132142</v>
      </c>
      <c r="AT58">
        <f>VLOOKUP(all_lmics[[worldbank_region]:[worldbank_region]],Table14[],4,FALSE)</f>
        <v>1.5364360000000001</v>
      </c>
      <c r="AU58">
        <f>VLOOKUP(all_lmics[[worldbank_region]:[worldbank_region]],Table14[],5,FALSE)</f>
        <v>2.1539359999999999</v>
      </c>
      <c r="AV58">
        <f>VLOOKUP(all_lmics[[worldbank_region]:[worldbank_region]],Table14[],6,FALSE)</f>
        <v>2.7241879999999998</v>
      </c>
      <c r="AW58">
        <f>IFERROR(VLOOKUP(all_lmics[[Setting]:[Setting]],nFacSBA[],4,FALSE),0)</f>
        <v>0.26790826337289719</v>
      </c>
      <c r="AX58">
        <f>VLOOKUP(all_lmics[[worldbank_region]:[worldbank_region]],hbe[],2)</f>
        <v>0.3</v>
      </c>
      <c r="AY58">
        <f>VLOOKUP(all_lmics[[worldbank_region]:[worldbank_region]],hbe[],5)</f>
        <v>0.875</v>
      </c>
      <c r="AZ58">
        <f>VLOOKUP(all_lmics[[worldbank_region]:[worldbank_region]],hbe[],8)</f>
        <v>0.15</v>
      </c>
    </row>
    <row r="59" spans="1:52" x14ac:dyDescent="0.35">
      <c r="A59" s="8" t="s">
        <v>84</v>
      </c>
      <c r="B59" s="10" t="s">
        <v>22</v>
      </c>
      <c r="C59" s="9" t="s">
        <v>21</v>
      </c>
      <c r="D59" s="11" t="s">
        <v>383</v>
      </c>
      <c r="E59">
        <f>VLOOKUP(all_lmics[[Setting]:[Setting]],populations[],9,FALSE)</f>
        <v>6377853</v>
      </c>
      <c r="F59">
        <f>VLOOKUP(all_lmics[[Setting]:[Setting]],birthrate[],3,FALSE)</f>
        <v>1.8537999999999999E-2</v>
      </c>
      <c r="G59">
        <f>all_lmics[[#This Row],[2017_population]]*all_lmics[[#This Row],[2016_birthrate]]</f>
        <v>118232.638914</v>
      </c>
      <c r="H59">
        <f>VLOOKUP(all_lmics[[Setting]:[Setting]],birthdose[],4,FALSE)</f>
        <v>0.8</v>
      </c>
      <c r="I59">
        <f>VLOOKUP(all_lmics[[Setting]:[Setting]],fullvax[],4,FALSE)</f>
        <v>0.85</v>
      </c>
      <c r="J59">
        <f>IFERROR(VLOOKUP(all_lmics[[Setting]:[Setting]],prev[],3,FALSE),0)</f>
        <v>0.01</v>
      </c>
      <c r="K59">
        <f>IFERROR(VLOOKUP(all_lmics[[Setting]:[Setting]],prev[],4,FALSE),0)</f>
        <v>5.0000000000000001E-3</v>
      </c>
      <c r="L59">
        <f>IFERROR(VLOOKUP(all_lmics[[Setting]:[Setting]],prev[],5,FALSE),0)</f>
        <v>1.2E-2</v>
      </c>
      <c r="M59">
        <f>IFERROR(VLOOKUP(all_lmics[[Setting]:[Setting]],prev[],7,FALSE),0)</f>
        <v>1.0204081632653062E-3</v>
      </c>
      <c r="N59">
        <f>IFERROR(VLOOKUP(all_lmics[[Setting]:[Setting]],prev[],6,FALSE),0)</f>
        <v>6377853</v>
      </c>
      <c r="O59">
        <f>IFERROR(VLOOKUP(all_lmics[[Setting]:[Setting]],SBA[],4,FALSE),0)</f>
        <v>0.99900000000000011</v>
      </c>
      <c r="P59">
        <f>IFERROR(VLOOKUP(all_lmics[[Setting]:[Setting]], facility[], 3,FALSE),0)</f>
        <v>0.97499999999999998</v>
      </c>
      <c r="Q59">
        <f>IFERROR(VLOOKUP(all_lmics[[Setting]:[Setting]],all_cause_mort[],4,FALSE),0)</f>
        <v>1.4769987E-2</v>
      </c>
      <c r="R59">
        <f>IFERROR(VLOOKUP(all_lmics[[Setting]:[Setting]],all_cause_mort[],5,FALSE),0)</f>
        <v>5.8871775999999999E-4</v>
      </c>
      <c r="S59">
        <f>IFERROR(VLOOKUP(all_lmics[[Setting]:[Setting]],all_cause_mort[],6,FALSE),0)</f>
        <v>2.7378192000000002E-4</v>
      </c>
      <c r="T59">
        <f>IFERROR(VLOOKUP(all_lmics[[Setting]:[Setting]],all_cause_mort[],7,FALSE),0)</f>
        <v>5.6684154999999997E-4</v>
      </c>
      <c r="U59">
        <f>IFERROR(VLOOKUP(all_lmics[[Setting]:[Setting]],all_cause_mort[],8,FALSE),0)</f>
        <v>1.5519556E-3</v>
      </c>
      <c r="V59">
        <f>IFERROR(VLOOKUP(all_lmics[[Setting]:[Setting]],all_cause_mort[],9,FALSE),0)</f>
        <v>2.5834923999999999E-3</v>
      </c>
      <c r="W59">
        <f>IFERROR(VLOOKUP(all_lmics[[Setting]:[Setting]],all_cause_mort[],10,FALSE),0)</f>
        <v>3.2180299000000002E-3</v>
      </c>
      <c r="X59">
        <f>IFERROR(VLOOKUP(all_lmics[[Setting]:[Setting]],all_cause_mort[],11,FALSE),0)</f>
        <v>3.3722996999999998E-3</v>
      </c>
      <c r="Y59">
        <f>IFERROR(VLOOKUP(all_lmics[[Setting]:[Setting]],all_cause_mort[],12,FALSE),0)</f>
        <v>3.5340059000000001E-3</v>
      </c>
      <c r="Z59">
        <f>IFERROR(VLOOKUP(all_lmics[[Setting]:[Setting]],all_cause_mort[],13,FALSE),0)</f>
        <v>4.2194041E-3</v>
      </c>
      <c r="AA59">
        <f>IFERROR(VLOOKUP(all_lmics[[Setting]:[Setting]],all_cause_mort[],14,FALSE),0)</f>
        <v>5.3977736999999996E-3</v>
      </c>
      <c r="AB59">
        <f>IFERROR(VLOOKUP(all_lmics[[Setting]:[Setting]],all_cause_mort[],15,FALSE),0)</f>
        <v>7.1218803000000002E-3</v>
      </c>
      <c r="AC59">
        <f>IFERROR(VLOOKUP(all_lmics[[Setting]:[Setting]],all_cause_mort[],16,FALSE),0)</f>
        <v>9.4442546000000002E-3</v>
      </c>
      <c r="AD59">
        <f>IFERROR(VLOOKUP(all_lmics[[Setting]:[Setting]],all_cause_mort[],17,FALSE),0)</f>
        <v>1.2986638999999999E-2</v>
      </c>
      <c r="AE59">
        <f>IFERROR(VLOOKUP(all_lmics[[Setting]:[Setting]],all_cause_mort[],18,FALSE),0)</f>
        <v>1.8722493E-2</v>
      </c>
      <c r="AF59">
        <f>IFERROR(VLOOKUP(all_lmics[[Setting]:[Setting]],all_cause_mort[],19,FALSE),0)</f>
        <v>2.7692788999999999E-2</v>
      </c>
      <c r="AG59">
        <f>IFERROR(VLOOKUP(all_lmics[[Setting]:[Setting]],all_cause_mort[],20,FALSE),0)</f>
        <v>4.4281424999999999E-2</v>
      </c>
      <c r="AH59">
        <f>IFERROR(VLOOKUP(all_lmics[[Setting]:[Setting]],all_cause_mort[],21,FALSE),0)</f>
        <v>7.7043863000000004E-2</v>
      </c>
      <c r="AI59">
        <f>IFERROR(VLOOKUP(all_lmics[[Setting]:[Setting]],all_cause_mort[],22,FALSE),0)</f>
        <v>0.13038569</v>
      </c>
      <c r="AJ59">
        <f>IFERROR(VLOOKUP(all_lmics[[Setting]:[Setting]],all_cause_mort[],23,FALSE),0)</f>
        <v>0.21015863000000001</v>
      </c>
      <c r="AK59">
        <f>IFERROR(VLOOKUP(all_lmics[[Setting]:[Setting]],all_cause_mort[],24,FALSE),0)</f>
        <v>0.32219820999999998</v>
      </c>
      <c r="AL59">
        <f>IFERROR(VLOOKUP(all_lmics[[Setting]:[Setting]],all_cause_mort[],25,FALSE),0)</f>
        <v>0.46135073437579199</v>
      </c>
      <c r="AM59">
        <f>VLOOKUP(all_lmics[[worldbank_region]:[worldbank_region]],Table13[],2,FALSE)</f>
        <v>86.85998699999999</v>
      </c>
      <c r="AN59">
        <f>VLOOKUP(all_lmics[[worldbank_region]:[worldbank_region]],Table13[],3,FALSE)</f>
        <v>86.85998699999999</v>
      </c>
      <c r="AO59">
        <f>VLOOKUP(all_lmics[[worldbank_region]:[worldbank_region]],Table13[],4,FALSE)</f>
        <v>134.58884699999999</v>
      </c>
      <c r="AP59">
        <f>VLOOKUP(all_lmics[[worldbank_region]:[worldbank_region]],Table13[],5,FALSE)</f>
        <v>134.58884699999999</v>
      </c>
      <c r="AQ59">
        <f>VLOOKUP(all_lmics[[worldbank_region]:[worldbank_region]],Table13[],6,FALSE)</f>
        <v>134.58884699999999</v>
      </c>
      <c r="AR59">
        <f>VLOOKUP(all_lmics[[worldbank_region]:[worldbank_region]],Table14[],2,FALSE)</f>
        <v>1.514642</v>
      </c>
      <c r="AS59">
        <f>VLOOKUP(all_lmics[[worldbank_region]:[worldbank_region]],Table14[],3,FALSE)</f>
        <v>2.132142</v>
      </c>
      <c r="AT59">
        <f>VLOOKUP(all_lmics[[worldbank_region]:[worldbank_region]],Table14[],4,FALSE)</f>
        <v>1.5364360000000001</v>
      </c>
      <c r="AU59">
        <f>VLOOKUP(all_lmics[[worldbank_region]:[worldbank_region]],Table14[],5,FALSE)</f>
        <v>2.1539359999999999</v>
      </c>
      <c r="AV59">
        <f>VLOOKUP(all_lmics[[worldbank_region]:[worldbank_region]],Table14[],6,FALSE)</f>
        <v>2.7241879999999998</v>
      </c>
      <c r="AW59">
        <f>IFERROR(VLOOKUP(all_lmics[[Setting]:[Setting]],nFacSBA[],4,FALSE),0)</f>
        <v>0</v>
      </c>
      <c r="AX59">
        <f>VLOOKUP(all_lmics[[worldbank_region]:[worldbank_region]],hbe[],2)</f>
        <v>0.3</v>
      </c>
      <c r="AY59">
        <f>VLOOKUP(all_lmics[[worldbank_region]:[worldbank_region]],hbe[],5)</f>
        <v>0.875</v>
      </c>
      <c r="AZ59">
        <f>VLOOKUP(all_lmics[[worldbank_region]:[worldbank_region]],hbe[],8)</f>
        <v>0.15</v>
      </c>
    </row>
    <row r="60" spans="1:52" x14ac:dyDescent="0.35">
      <c r="A60" s="8" t="s">
        <v>98</v>
      </c>
      <c r="B60" s="10" t="s">
        <v>22</v>
      </c>
      <c r="C60" s="9" t="s">
        <v>21</v>
      </c>
      <c r="D60" s="11" t="s">
        <v>383</v>
      </c>
      <c r="E60">
        <f>VLOOKUP(all_lmics[[Setting]:[Setting]],populations[],9,FALSE)</f>
        <v>107825</v>
      </c>
      <c r="F60">
        <f>VLOOKUP(all_lmics[[Setting]:[Setting]],birthrate[],3,FALSE)</f>
        <v>1.8682999999999998E-2</v>
      </c>
      <c r="G60">
        <f>all_lmics[[#This Row],[2017_population]]*all_lmics[[#This Row],[2016_birthrate]]</f>
        <v>2014.4944749999997</v>
      </c>
      <c r="H60">
        <f>VLOOKUP(all_lmics[[Setting]:[Setting]],birthdose[],4,FALSE)</f>
        <v>0.78</v>
      </c>
      <c r="I60">
        <f>VLOOKUP(all_lmics[[Setting]:[Setting]],fullvax[],4,FALSE)</f>
        <v>0.96</v>
      </c>
      <c r="J60">
        <f>IFERROR(VLOOKUP(all_lmics[[Setting]:[Setting]],prev[],3,FALSE),0)</f>
        <v>0</v>
      </c>
      <c r="K60">
        <f>IFERROR(VLOOKUP(all_lmics[[Setting]:[Setting]],prev[],4,FALSE),0)</f>
        <v>0</v>
      </c>
      <c r="L60">
        <f>IFERROR(VLOOKUP(all_lmics[[Setting]:[Setting]],prev[],5,FALSE),0)</f>
        <v>0</v>
      </c>
      <c r="M60">
        <f>IFERROR(VLOOKUP(all_lmics[[Setting]:[Setting]],prev[],7,FALSE),0)</f>
        <v>0</v>
      </c>
      <c r="N60">
        <f>IFERROR(VLOOKUP(all_lmics[[Setting]:[Setting]],prev[],6,FALSE),0)</f>
        <v>0</v>
      </c>
      <c r="O60">
        <f>IFERROR(VLOOKUP(all_lmics[[Setting]:[Setting]],SBA[],4,FALSE),0)</f>
        <v>0.99299999999999999</v>
      </c>
      <c r="P60">
        <f>IFERROR(VLOOKUP(all_lmics[[Setting]:[Setting]], facility[], 3,FALSE),0)</f>
        <v>0</v>
      </c>
      <c r="Q60">
        <f>IFERROR(VLOOKUP(all_lmics[[Setting]:[Setting]],all_cause_mort[],4,FALSE),0)</f>
        <v>1.5205241E-2</v>
      </c>
      <c r="R60">
        <f>IFERROR(VLOOKUP(all_lmics[[Setting]:[Setting]],all_cause_mort[],5,FALSE),0)</f>
        <v>3.6768591000000002E-4</v>
      </c>
      <c r="S60">
        <f>IFERROR(VLOOKUP(all_lmics[[Setting]:[Setting]],all_cause_mort[],6,FALSE),0)</f>
        <v>3.8862499999999997E-4</v>
      </c>
      <c r="T60">
        <f>IFERROR(VLOOKUP(all_lmics[[Setting]:[Setting]],all_cause_mort[],7,FALSE),0)</f>
        <v>3.6863312E-4</v>
      </c>
      <c r="U60">
        <f>IFERROR(VLOOKUP(all_lmics[[Setting]:[Setting]],all_cause_mort[],8,FALSE),0)</f>
        <v>8.6650633000000005E-4</v>
      </c>
      <c r="V60">
        <f>IFERROR(VLOOKUP(all_lmics[[Setting]:[Setting]],all_cause_mort[],9,FALSE),0)</f>
        <v>1.1788629E-3</v>
      </c>
      <c r="W60">
        <f>IFERROR(VLOOKUP(all_lmics[[Setting]:[Setting]],all_cause_mort[],10,FALSE),0)</f>
        <v>1.2651289E-3</v>
      </c>
      <c r="X60">
        <f>IFERROR(VLOOKUP(all_lmics[[Setting]:[Setting]],all_cause_mort[],11,FALSE),0)</f>
        <v>1.5145988999999999E-3</v>
      </c>
      <c r="Y60">
        <f>IFERROR(VLOOKUP(all_lmics[[Setting]:[Setting]],all_cause_mort[],12,FALSE),0)</f>
        <v>2.0437974000000001E-3</v>
      </c>
      <c r="Z60">
        <f>IFERROR(VLOOKUP(all_lmics[[Setting]:[Setting]],all_cause_mort[],13,FALSE),0)</f>
        <v>2.9697972000000002E-3</v>
      </c>
      <c r="AA60">
        <f>IFERROR(VLOOKUP(all_lmics[[Setting]:[Setting]],all_cause_mort[],14,FALSE),0)</f>
        <v>4.5809277999999997E-3</v>
      </c>
      <c r="AB60">
        <f>IFERROR(VLOOKUP(all_lmics[[Setting]:[Setting]],all_cause_mort[],15,FALSE),0)</f>
        <v>7.0823346999999998E-3</v>
      </c>
      <c r="AC60">
        <f>IFERROR(VLOOKUP(all_lmics[[Setting]:[Setting]],all_cause_mort[],16,FALSE),0)</f>
        <v>1.0943992E-2</v>
      </c>
      <c r="AD60">
        <f>IFERROR(VLOOKUP(all_lmics[[Setting]:[Setting]],all_cause_mort[],17,FALSE),0)</f>
        <v>1.7214912999999998E-2</v>
      </c>
      <c r="AE60">
        <f>IFERROR(VLOOKUP(all_lmics[[Setting]:[Setting]],all_cause_mort[],18,FALSE),0)</f>
        <v>2.7010934E-2</v>
      </c>
      <c r="AF60">
        <f>IFERROR(VLOOKUP(all_lmics[[Setting]:[Setting]],all_cause_mort[],19,FALSE),0)</f>
        <v>4.2469729999999997E-2</v>
      </c>
      <c r="AG60">
        <f>IFERROR(VLOOKUP(all_lmics[[Setting]:[Setting]],all_cause_mort[],20,FALSE),0)</f>
        <v>6.8931205999999995E-2</v>
      </c>
      <c r="AH60">
        <f>IFERROR(VLOOKUP(all_lmics[[Setting]:[Setting]],all_cause_mort[],21,FALSE),0)</f>
        <v>0.11208694</v>
      </c>
      <c r="AI60">
        <f>IFERROR(VLOOKUP(all_lmics[[Setting]:[Setting]],all_cause_mort[],22,FALSE),0)</f>
        <v>0.17842305</v>
      </c>
      <c r="AJ60">
        <f>IFERROR(VLOOKUP(all_lmics[[Setting]:[Setting]],all_cause_mort[],23,FALSE),0)</f>
        <v>0.26956862999999998</v>
      </c>
      <c r="AK60">
        <f>IFERROR(VLOOKUP(all_lmics[[Setting]:[Setting]],all_cause_mort[],24,FALSE),0)</f>
        <v>0.39084704999999997</v>
      </c>
      <c r="AL60">
        <f>IFERROR(VLOOKUP(all_lmics[[Setting]:[Setting]],all_cause_mort[],25,FALSE),0)</f>
        <v>0.53690880233525295</v>
      </c>
      <c r="AM60">
        <f>VLOOKUP(all_lmics[[worldbank_region]:[worldbank_region]],Table13[],2,FALSE)</f>
        <v>86.85998699999999</v>
      </c>
      <c r="AN60">
        <f>VLOOKUP(all_lmics[[worldbank_region]:[worldbank_region]],Table13[],3,FALSE)</f>
        <v>86.85998699999999</v>
      </c>
      <c r="AO60">
        <f>VLOOKUP(all_lmics[[worldbank_region]:[worldbank_region]],Table13[],4,FALSE)</f>
        <v>134.58884699999999</v>
      </c>
      <c r="AP60">
        <f>VLOOKUP(all_lmics[[worldbank_region]:[worldbank_region]],Table13[],5,FALSE)</f>
        <v>134.58884699999999</v>
      </c>
      <c r="AQ60">
        <f>VLOOKUP(all_lmics[[worldbank_region]:[worldbank_region]],Table13[],6,FALSE)</f>
        <v>134.58884699999999</v>
      </c>
      <c r="AR60">
        <f>VLOOKUP(all_lmics[[worldbank_region]:[worldbank_region]],Table14[],2,FALSE)</f>
        <v>1.514642</v>
      </c>
      <c r="AS60">
        <f>VLOOKUP(all_lmics[[worldbank_region]:[worldbank_region]],Table14[],3,FALSE)</f>
        <v>2.132142</v>
      </c>
      <c r="AT60">
        <f>VLOOKUP(all_lmics[[worldbank_region]:[worldbank_region]],Table14[],4,FALSE)</f>
        <v>1.5364360000000001</v>
      </c>
      <c r="AU60">
        <f>VLOOKUP(all_lmics[[worldbank_region]:[worldbank_region]],Table14[],5,FALSE)</f>
        <v>2.1539359999999999</v>
      </c>
      <c r="AV60">
        <f>VLOOKUP(all_lmics[[worldbank_region]:[worldbank_region]],Table14[],6,FALSE)</f>
        <v>2.7241879999999998</v>
      </c>
      <c r="AW60">
        <f>IFERROR(VLOOKUP(all_lmics[[Setting]:[Setting]],nFacSBA[],4,FALSE),0)</f>
        <v>0</v>
      </c>
      <c r="AX60">
        <f>VLOOKUP(all_lmics[[worldbank_region]:[worldbank_region]],hbe[],2)</f>
        <v>0.3</v>
      </c>
      <c r="AY60">
        <f>VLOOKUP(all_lmics[[worldbank_region]:[worldbank_region]],hbe[],5)</f>
        <v>0.875</v>
      </c>
      <c r="AZ60">
        <f>VLOOKUP(all_lmics[[worldbank_region]:[worldbank_region]],hbe[],8)</f>
        <v>0.15</v>
      </c>
    </row>
    <row r="61" spans="1:52" x14ac:dyDescent="0.35">
      <c r="A61" s="8" t="s">
        <v>102</v>
      </c>
      <c r="B61" s="10" t="s">
        <v>22</v>
      </c>
      <c r="C61" s="9" t="s">
        <v>21</v>
      </c>
      <c r="D61" s="11" t="s">
        <v>383</v>
      </c>
      <c r="E61">
        <f>VLOOKUP(all_lmics[[Setting]:[Setting]],populations[],9,FALSE)</f>
        <v>777859</v>
      </c>
      <c r="F61">
        <f>VLOOKUP(all_lmics[[Setting]:[Setting]],birthrate[],3,FALSE)</f>
        <v>2.0576000000000001E-2</v>
      </c>
      <c r="G61">
        <f>all_lmics[[#This Row],[2017_population]]*all_lmics[[#This Row],[2016_birthrate]]</f>
        <v>16005.226784</v>
      </c>
      <c r="H61">
        <f>VLOOKUP(all_lmics[[Setting]:[Setting]],birthdose[],4,FALSE)</f>
        <v>0</v>
      </c>
      <c r="I61">
        <f>VLOOKUP(all_lmics[[Setting]:[Setting]],fullvax[],4,FALSE)</f>
        <v>0.97</v>
      </c>
      <c r="J61">
        <f>IFERROR(VLOOKUP(all_lmics[[Setting]:[Setting]],prev[],3,FALSE),0)</f>
        <v>0</v>
      </c>
      <c r="K61">
        <f>IFERROR(VLOOKUP(all_lmics[[Setting]:[Setting]],prev[],4,FALSE),0)</f>
        <v>0</v>
      </c>
      <c r="L61">
        <f>IFERROR(VLOOKUP(all_lmics[[Setting]:[Setting]],prev[],5,FALSE),0)</f>
        <v>0</v>
      </c>
      <c r="M61">
        <f>IFERROR(VLOOKUP(all_lmics[[Setting]:[Setting]],prev[],7,FALSE),0)</f>
        <v>0</v>
      </c>
      <c r="N61">
        <f>IFERROR(VLOOKUP(all_lmics[[Setting]:[Setting]],prev[],6,FALSE),0)</f>
        <v>0</v>
      </c>
      <c r="O61">
        <f>IFERROR(VLOOKUP(all_lmics[[Setting]:[Setting]],SBA[],4,FALSE),0)</f>
        <v>0.85699999999999998</v>
      </c>
      <c r="P61">
        <f>IFERROR(VLOOKUP(all_lmics[[Setting]:[Setting]], facility[], 3,FALSE),0)</f>
        <v>0.92700000000000005</v>
      </c>
      <c r="Q61">
        <f>IFERROR(VLOOKUP(all_lmics[[Setting]:[Setting]],all_cause_mort[],4,FALSE),0)</f>
        <v>2.7413630000000001E-2</v>
      </c>
      <c r="R61">
        <f>IFERROR(VLOOKUP(all_lmics[[Setting]:[Setting]],all_cause_mort[],5,FALSE),0)</f>
        <v>1.4248764E-3</v>
      </c>
      <c r="S61">
        <f>IFERROR(VLOOKUP(all_lmics[[Setting]:[Setting]],all_cause_mort[],6,FALSE),0)</f>
        <v>9.4790924000000005E-4</v>
      </c>
      <c r="T61">
        <f>IFERROR(VLOOKUP(all_lmics[[Setting]:[Setting]],all_cause_mort[],7,FALSE),0)</f>
        <v>7.7349053999999995E-4</v>
      </c>
      <c r="U61">
        <f>IFERROR(VLOOKUP(all_lmics[[Setting]:[Setting]],all_cause_mort[],8,FALSE),0)</f>
        <v>1.7322463999999999E-3</v>
      </c>
      <c r="V61">
        <f>IFERROR(VLOOKUP(all_lmics[[Setting]:[Setting]],all_cause_mort[],9,FALSE),0)</f>
        <v>2.8326124000000001E-3</v>
      </c>
      <c r="W61">
        <f>IFERROR(VLOOKUP(all_lmics[[Setting]:[Setting]],all_cause_mort[],10,FALSE),0)</f>
        <v>3.5464547999999999E-3</v>
      </c>
      <c r="X61">
        <f>IFERROR(VLOOKUP(all_lmics[[Setting]:[Setting]],all_cause_mort[],11,FALSE),0)</f>
        <v>3.8120421999999999E-3</v>
      </c>
      <c r="Y61">
        <f>IFERROR(VLOOKUP(all_lmics[[Setting]:[Setting]],all_cause_mort[],12,FALSE),0)</f>
        <v>4.4381645999999999E-3</v>
      </c>
      <c r="Z61">
        <f>IFERROR(VLOOKUP(all_lmics[[Setting]:[Setting]],all_cause_mort[],13,FALSE),0)</f>
        <v>5.0727181E-3</v>
      </c>
      <c r="AA61">
        <f>IFERROR(VLOOKUP(all_lmics[[Setting]:[Setting]],all_cause_mort[],14,FALSE),0)</f>
        <v>6.0700357000000003E-3</v>
      </c>
      <c r="AB61">
        <f>IFERROR(VLOOKUP(all_lmics[[Setting]:[Setting]],all_cause_mort[],15,FALSE),0)</f>
        <v>1.1247368000000001E-2</v>
      </c>
      <c r="AC61">
        <f>IFERROR(VLOOKUP(all_lmics[[Setting]:[Setting]],all_cause_mort[],16,FALSE),0)</f>
        <v>1.2933470000000001E-2</v>
      </c>
      <c r="AD61">
        <f>IFERROR(VLOOKUP(all_lmics[[Setting]:[Setting]],all_cause_mort[],17,FALSE),0)</f>
        <v>1.8147331999999999E-2</v>
      </c>
      <c r="AE61">
        <f>IFERROR(VLOOKUP(all_lmics[[Setting]:[Setting]],all_cause_mort[],18,FALSE),0)</f>
        <v>2.4312835000000001E-2</v>
      </c>
      <c r="AF61">
        <f>IFERROR(VLOOKUP(all_lmics[[Setting]:[Setting]],all_cause_mort[],19,FALSE),0)</f>
        <v>3.3364945E-2</v>
      </c>
      <c r="AG61">
        <f>IFERROR(VLOOKUP(all_lmics[[Setting]:[Setting]],all_cause_mort[],20,FALSE),0)</f>
        <v>5.2763767000000003E-2</v>
      </c>
      <c r="AH61">
        <f>IFERROR(VLOOKUP(all_lmics[[Setting]:[Setting]],all_cause_mort[],21,FALSE),0)</f>
        <v>7.0318795000000003E-2</v>
      </c>
      <c r="AI61">
        <f>IFERROR(VLOOKUP(all_lmics[[Setting]:[Setting]],all_cause_mort[],22,FALSE),0)</f>
        <v>9.8649830999999993E-2</v>
      </c>
      <c r="AJ61">
        <f>IFERROR(VLOOKUP(all_lmics[[Setting]:[Setting]],all_cause_mort[],23,FALSE),0)</f>
        <v>0.13457548</v>
      </c>
      <c r="AK61">
        <f>IFERROR(VLOOKUP(all_lmics[[Setting]:[Setting]],all_cause_mort[],24,FALSE),0)</f>
        <v>0.17850548999999999</v>
      </c>
      <c r="AL61">
        <f>IFERROR(VLOOKUP(all_lmics[[Setting]:[Setting]],all_cause_mort[],25,FALSE),0)</f>
        <v>0.24988166229177999</v>
      </c>
      <c r="AM61">
        <f>VLOOKUP(all_lmics[[worldbank_region]:[worldbank_region]],Table13[],2,FALSE)</f>
        <v>86.85998699999999</v>
      </c>
      <c r="AN61">
        <f>VLOOKUP(all_lmics[[worldbank_region]:[worldbank_region]],Table13[],3,FALSE)</f>
        <v>86.85998699999999</v>
      </c>
      <c r="AO61">
        <f>VLOOKUP(all_lmics[[worldbank_region]:[worldbank_region]],Table13[],4,FALSE)</f>
        <v>134.58884699999999</v>
      </c>
      <c r="AP61">
        <f>VLOOKUP(all_lmics[[worldbank_region]:[worldbank_region]],Table13[],5,FALSE)</f>
        <v>134.58884699999999</v>
      </c>
      <c r="AQ61">
        <f>VLOOKUP(all_lmics[[worldbank_region]:[worldbank_region]],Table13[],6,FALSE)</f>
        <v>134.58884699999999</v>
      </c>
      <c r="AR61">
        <f>VLOOKUP(all_lmics[[worldbank_region]:[worldbank_region]],Table14[],2,FALSE)</f>
        <v>1.514642</v>
      </c>
      <c r="AS61">
        <f>VLOOKUP(all_lmics[[worldbank_region]:[worldbank_region]],Table14[],3,FALSE)</f>
        <v>2.132142</v>
      </c>
      <c r="AT61">
        <f>VLOOKUP(all_lmics[[worldbank_region]:[worldbank_region]],Table14[],4,FALSE)</f>
        <v>1.5364360000000001</v>
      </c>
      <c r="AU61">
        <f>VLOOKUP(all_lmics[[worldbank_region]:[worldbank_region]],Table14[],5,FALSE)</f>
        <v>2.1539359999999999</v>
      </c>
      <c r="AV61">
        <f>VLOOKUP(all_lmics[[worldbank_region]:[worldbank_region]],Table14[],6,FALSE)</f>
        <v>2.7241879999999998</v>
      </c>
      <c r="AW61">
        <f>IFERROR(VLOOKUP(all_lmics[[Setting]:[Setting]],nFacSBA[],4,FALSE),0)</f>
        <v>0.3615578527384839</v>
      </c>
      <c r="AX61">
        <f>VLOOKUP(all_lmics[[worldbank_region]:[worldbank_region]],hbe[],2)</f>
        <v>0.3</v>
      </c>
      <c r="AY61">
        <f>VLOOKUP(all_lmics[[worldbank_region]:[worldbank_region]],hbe[],5)</f>
        <v>0.875</v>
      </c>
      <c r="AZ61">
        <f>VLOOKUP(all_lmics[[worldbank_region]:[worldbank_region]],hbe[],8)</f>
        <v>0.15</v>
      </c>
    </row>
    <row r="62" spans="1:52" x14ac:dyDescent="0.35">
      <c r="A62" s="8" t="s">
        <v>104</v>
      </c>
      <c r="B62" s="10" t="s">
        <v>22</v>
      </c>
      <c r="C62" s="9" t="s">
        <v>21</v>
      </c>
      <c r="D62" s="11" t="s">
        <v>383</v>
      </c>
      <c r="E62">
        <f>VLOOKUP(all_lmics[[Setting]:[Setting]],populations[],9,FALSE)</f>
        <v>9265067</v>
      </c>
      <c r="F62">
        <f>VLOOKUP(all_lmics[[Setting]:[Setting]],birthrate[],3,FALSE)</f>
        <v>2.1714999999999998E-2</v>
      </c>
      <c r="G62">
        <f>all_lmics[[#This Row],[2017_population]]*all_lmics[[#This Row],[2016_birthrate]]</f>
        <v>201190.929905</v>
      </c>
      <c r="H62">
        <f>VLOOKUP(all_lmics[[Setting]:[Setting]],birthdose[],4,FALSE)</f>
        <v>0.8</v>
      </c>
      <c r="I62">
        <f>VLOOKUP(all_lmics[[Setting]:[Setting]],fullvax[],4,FALSE)</f>
        <v>0.97</v>
      </c>
      <c r="J62">
        <f>IFERROR(VLOOKUP(all_lmics[[Setting]:[Setting]],prev[],3,FALSE),0)</f>
        <v>0</v>
      </c>
      <c r="K62">
        <f>IFERROR(VLOOKUP(all_lmics[[Setting]:[Setting]],prev[],4,FALSE),0)</f>
        <v>0</v>
      </c>
      <c r="L62">
        <f>IFERROR(VLOOKUP(all_lmics[[Setting]:[Setting]],prev[],5,FALSE),0)</f>
        <v>0</v>
      </c>
      <c r="M62">
        <f>IFERROR(VLOOKUP(all_lmics[[Setting]:[Setting]],prev[],7,FALSE),0)</f>
        <v>0</v>
      </c>
      <c r="N62">
        <f>IFERROR(VLOOKUP(all_lmics[[Setting]:[Setting]],prev[],6,FALSE),0)</f>
        <v>0</v>
      </c>
      <c r="O62">
        <f>IFERROR(VLOOKUP(all_lmics[[Setting]:[Setting]],SBA[],4,FALSE),0)</f>
        <v>0.82799999999999996</v>
      </c>
      <c r="P62">
        <f>IFERROR(VLOOKUP(all_lmics[[Setting]:[Setting]], facility[], 3,FALSE),0)</f>
        <v>0.82700000000000007</v>
      </c>
      <c r="Q62">
        <f>IFERROR(VLOOKUP(all_lmics[[Setting]:[Setting]],all_cause_mort[],4,FALSE),0)</f>
        <v>1.5248711999999999E-2</v>
      </c>
      <c r="R62">
        <f>IFERROR(VLOOKUP(all_lmics[[Setting]:[Setting]],all_cause_mort[],5,FALSE),0)</f>
        <v>1.5983788E-3</v>
      </c>
      <c r="S62">
        <f>IFERROR(VLOOKUP(all_lmics[[Setting]:[Setting]],all_cause_mort[],6,FALSE),0)</f>
        <v>8.6078973000000005E-4</v>
      </c>
      <c r="T62">
        <f>IFERROR(VLOOKUP(all_lmics[[Setting]:[Setting]],all_cause_mort[],7,FALSE),0)</f>
        <v>6.9583274000000004E-4</v>
      </c>
      <c r="U62">
        <f>IFERROR(VLOOKUP(all_lmics[[Setting]:[Setting]],all_cause_mort[],8,FALSE),0)</f>
        <v>1.0000727000000001E-3</v>
      </c>
      <c r="V62">
        <f>IFERROR(VLOOKUP(all_lmics[[Setting]:[Setting]],all_cause_mort[],9,FALSE),0)</f>
        <v>1.4643028000000001E-3</v>
      </c>
      <c r="W62">
        <f>IFERROR(VLOOKUP(all_lmics[[Setting]:[Setting]],all_cause_mort[],10,FALSE),0)</f>
        <v>1.9364807E-3</v>
      </c>
      <c r="X62">
        <f>IFERROR(VLOOKUP(all_lmics[[Setting]:[Setting]],all_cause_mort[],11,FALSE),0)</f>
        <v>2.3865165000000002E-3</v>
      </c>
      <c r="Y62">
        <f>IFERROR(VLOOKUP(all_lmics[[Setting]:[Setting]],all_cause_mort[],12,FALSE),0)</f>
        <v>2.8518337E-3</v>
      </c>
      <c r="Z62">
        <f>IFERROR(VLOOKUP(all_lmics[[Setting]:[Setting]],all_cause_mort[],13,FALSE),0)</f>
        <v>3.4294767000000001E-3</v>
      </c>
      <c r="AA62">
        <f>IFERROR(VLOOKUP(all_lmics[[Setting]:[Setting]],all_cause_mort[],14,FALSE),0)</f>
        <v>4.2675767999999998E-3</v>
      </c>
      <c r="AB62">
        <f>IFERROR(VLOOKUP(all_lmics[[Setting]:[Setting]],all_cause_mort[],15,FALSE),0)</f>
        <v>5.5948941E-3</v>
      </c>
      <c r="AC62">
        <f>IFERROR(VLOOKUP(all_lmics[[Setting]:[Setting]],all_cause_mort[],16,FALSE),0)</f>
        <v>7.7627447E-3</v>
      </c>
      <c r="AD62">
        <f>IFERROR(VLOOKUP(all_lmics[[Setting]:[Setting]],all_cause_mort[],17,FALSE),0)</f>
        <v>1.1327210000000001E-2</v>
      </c>
      <c r="AE62">
        <f>IFERROR(VLOOKUP(all_lmics[[Setting]:[Setting]],all_cause_mort[],18,FALSE),0)</f>
        <v>1.7178609000000001E-2</v>
      </c>
      <c r="AF62">
        <f>IFERROR(VLOOKUP(all_lmics[[Setting]:[Setting]],all_cause_mort[],19,FALSE),0)</f>
        <v>2.6728814E-2</v>
      </c>
      <c r="AG62">
        <f>IFERROR(VLOOKUP(all_lmics[[Setting]:[Setting]],all_cause_mort[],20,FALSE),0)</f>
        <v>4.2176354999999999E-2</v>
      </c>
      <c r="AH62">
        <f>IFERROR(VLOOKUP(all_lmics[[Setting]:[Setting]],all_cause_mort[],21,FALSE),0)</f>
        <v>6.6839543000000001E-2</v>
      </c>
      <c r="AI62">
        <f>IFERROR(VLOOKUP(all_lmics[[Setting]:[Setting]],all_cause_mort[],22,FALSE),0)</f>
        <v>0.10552781</v>
      </c>
      <c r="AJ62">
        <f>IFERROR(VLOOKUP(all_lmics[[Setting]:[Setting]],all_cause_mort[],23,FALSE),0)</f>
        <v>0.16492175000000001</v>
      </c>
      <c r="AK62">
        <f>IFERROR(VLOOKUP(all_lmics[[Setting]:[Setting]],all_cause_mort[],24,FALSE),0)</f>
        <v>0.25998114999999999</v>
      </c>
      <c r="AL62">
        <f>IFERROR(VLOOKUP(all_lmics[[Setting]:[Setting]],all_cause_mort[],25,FALSE),0)</f>
        <v>0.395842106184012</v>
      </c>
      <c r="AM62">
        <f>VLOOKUP(all_lmics[[worldbank_region]:[worldbank_region]],Table13[],2,FALSE)</f>
        <v>86.85998699999999</v>
      </c>
      <c r="AN62">
        <f>VLOOKUP(all_lmics[[worldbank_region]:[worldbank_region]],Table13[],3,FALSE)</f>
        <v>86.85998699999999</v>
      </c>
      <c r="AO62">
        <f>VLOOKUP(all_lmics[[worldbank_region]:[worldbank_region]],Table13[],4,FALSE)</f>
        <v>134.58884699999999</v>
      </c>
      <c r="AP62">
        <f>VLOOKUP(all_lmics[[worldbank_region]:[worldbank_region]],Table13[],5,FALSE)</f>
        <v>134.58884699999999</v>
      </c>
      <c r="AQ62">
        <f>VLOOKUP(all_lmics[[worldbank_region]:[worldbank_region]],Table13[],6,FALSE)</f>
        <v>134.58884699999999</v>
      </c>
      <c r="AR62">
        <f>VLOOKUP(all_lmics[[worldbank_region]:[worldbank_region]],Table14[],2,FALSE)</f>
        <v>1.514642</v>
      </c>
      <c r="AS62">
        <f>VLOOKUP(all_lmics[[worldbank_region]:[worldbank_region]],Table14[],3,FALSE)</f>
        <v>2.132142</v>
      </c>
      <c r="AT62">
        <f>VLOOKUP(all_lmics[[worldbank_region]:[worldbank_region]],Table14[],4,FALSE)</f>
        <v>1.5364360000000001</v>
      </c>
      <c r="AU62">
        <f>VLOOKUP(all_lmics[[worldbank_region]:[worldbank_region]],Table14[],5,FALSE)</f>
        <v>2.1539359999999999</v>
      </c>
      <c r="AV62">
        <f>VLOOKUP(all_lmics[[worldbank_region]:[worldbank_region]],Table14[],6,FALSE)</f>
        <v>2.7241879999999998</v>
      </c>
      <c r="AW62">
        <f>IFERROR(VLOOKUP(all_lmics[[Setting]:[Setting]],nFacSBA[],4,FALSE),0)</f>
        <v>1.4353312406054645E-2</v>
      </c>
      <c r="AX62">
        <f>VLOOKUP(all_lmics[[worldbank_region]:[worldbank_region]],hbe[],2)</f>
        <v>0.3</v>
      </c>
      <c r="AY62">
        <f>VLOOKUP(all_lmics[[worldbank_region]:[worldbank_region]],hbe[],5)</f>
        <v>0.875</v>
      </c>
      <c r="AZ62">
        <f>VLOOKUP(all_lmics[[worldbank_region]:[worldbank_region]],hbe[],8)</f>
        <v>0.15</v>
      </c>
    </row>
    <row r="63" spans="1:52" x14ac:dyDescent="0.35">
      <c r="A63" s="8" t="s">
        <v>115</v>
      </c>
      <c r="B63" s="10" t="s">
        <v>22</v>
      </c>
      <c r="C63" s="9" t="s">
        <v>21</v>
      </c>
      <c r="D63" s="11" t="s">
        <v>383</v>
      </c>
      <c r="E63">
        <f>VLOOKUP(all_lmics[[Setting]:[Setting]],populations[],9,FALSE)</f>
        <v>2890299</v>
      </c>
      <c r="F63">
        <f>VLOOKUP(all_lmics[[Setting]:[Setting]],birthrate[],3,FALSE)</f>
        <v>1.6629000000000001E-2</v>
      </c>
      <c r="G63">
        <f>all_lmics[[#This Row],[2017_population]]*all_lmics[[#This Row],[2016_birthrate]]</f>
        <v>48062.782071000001</v>
      </c>
      <c r="H63">
        <f>VLOOKUP(all_lmics[[Setting]:[Setting]],birthdose[],4,FALSE)</f>
        <v>0</v>
      </c>
      <c r="I63">
        <f>VLOOKUP(all_lmics[[Setting]:[Setting]],fullvax[],4,FALSE)</f>
        <v>0.93</v>
      </c>
      <c r="J63">
        <f>IFERROR(VLOOKUP(all_lmics[[Setting]:[Setting]],prev[],3,FALSE),0)</f>
        <v>0.05</v>
      </c>
      <c r="K63">
        <f>IFERROR(VLOOKUP(all_lmics[[Setting]:[Setting]],prev[],4,FALSE),0)</f>
        <v>2.4E-2</v>
      </c>
      <c r="L63">
        <f>IFERROR(VLOOKUP(all_lmics[[Setting]:[Setting]],prev[],5,FALSE),0)</f>
        <v>5.7000000000000002E-2</v>
      </c>
      <c r="M63">
        <f>IFERROR(VLOOKUP(all_lmics[[Setting]:[Setting]],prev[],7,FALSE),0)</f>
        <v>3.5714285714285713E-3</v>
      </c>
      <c r="N63">
        <f>IFERROR(VLOOKUP(all_lmics[[Setting]:[Setting]],prev[],6,FALSE),0)</f>
        <v>2890299</v>
      </c>
      <c r="O63">
        <f>IFERROR(VLOOKUP(all_lmics[[Setting]:[Setting]],SBA[],4,FALSE),0)</f>
        <v>0.99099999999999999</v>
      </c>
      <c r="P63">
        <f>IFERROR(VLOOKUP(all_lmics[[Setting]:[Setting]], facility[], 3,FALSE),0)</f>
        <v>0.98599999999999999</v>
      </c>
      <c r="Q63">
        <f>IFERROR(VLOOKUP(all_lmics[[Setting]:[Setting]],all_cause_mort[],4,FALSE),0)</f>
        <v>1.1901406E-2</v>
      </c>
      <c r="R63">
        <f>IFERROR(VLOOKUP(all_lmics[[Setting]:[Setting]],all_cause_mort[],5,FALSE),0)</f>
        <v>8.0959482000000004E-4</v>
      </c>
      <c r="S63">
        <f>IFERROR(VLOOKUP(all_lmics[[Setting]:[Setting]],all_cause_mort[],6,FALSE),0)</f>
        <v>3.4340366000000001E-4</v>
      </c>
      <c r="T63">
        <f>IFERROR(VLOOKUP(all_lmics[[Setting]:[Setting]],all_cause_mort[],7,FALSE),0)</f>
        <v>3.274029E-4</v>
      </c>
      <c r="U63">
        <f>IFERROR(VLOOKUP(all_lmics[[Setting]:[Setting]],all_cause_mort[],8,FALSE),0)</f>
        <v>7.9032715000000001E-4</v>
      </c>
      <c r="V63">
        <f>IFERROR(VLOOKUP(all_lmics[[Setting]:[Setting]],all_cause_mort[],9,FALSE),0)</f>
        <v>1.0808790000000001E-3</v>
      </c>
      <c r="W63">
        <f>IFERROR(VLOOKUP(all_lmics[[Setting]:[Setting]],all_cause_mort[],10,FALSE),0)</f>
        <v>1.15127E-3</v>
      </c>
      <c r="X63">
        <f>IFERROR(VLOOKUP(all_lmics[[Setting]:[Setting]],all_cause_mort[],11,FALSE),0)</f>
        <v>1.3782359000000001E-3</v>
      </c>
      <c r="Y63">
        <f>IFERROR(VLOOKUP(all_lmics[[Setting]:[Setting]],all_cause_mort[],12,FALSE),0)</f>
        <v>1.867023E-3</v>
      </c>
      <c r="Z63">
        <f>IFERROR(VLOOKUP(all_lmics[[Setting]:[Setting]],all_cause_mort[],13,FALSE),0)</f>
        <v>2.7348458999999999E-3</v>
      </c>
      <c r="AA63">
        <f>IFERROR(VLOOKUP(all_lmics[[Setting]:[Setting]],all_cause_mort[],14,FALSE),0)</f>
        <v>4.2585543999999996E-3</v>
      </c>
      <c r="AB63">
        <f>IFERROR(VLOOKUP(all_lmics[[Setting]:[Setting]],all_cause_mort[],15,FALSE),0)</f>
        <v>6.6707028999999996E-3</v>
      </c>
      <c r="AC63">
        <f>IFERROR(VLOOKUP(all_lmics[[Setting]:[Setting]],all_cause_mort[],16,FALSE),0)</f>
        <v>1.0353784E-2</v>
      </c>
      <c r="AD63">
        <f>IFERROR(VLOOKUP(all_lmics[[Setting]:[Setting]],all_cause_mort[],17,FALSE),0)</f>
        <v>1.4655764E-2</v>
      </c>
      <c r="AE63">
        <f>IFERROR(VLOOKUP(all_lmics[[Setting]:[Setting]],all_cause_mort[],18,FALSE),0)</f>
        <v>2.1023297E-2</v>
      </c>
      <c r="AF63">
        <f>IFERROR(VLOOKUP(all_lmics[[Setting]:[Setting]],all_cause_mort[],19,FALSE),0)</f>
        <v>3.2577999000000003E-2</v>
      </c>
      <c r="AG63">
        <f>IFERROR(VLOOKUP(all_lmics[[Setting]:[Setting]],all_cause_mort[],20,FALSE),0)</f>
        <v>5.4998089E-2</v>
      </c>
      <c r="AH63">
        <f>IFERROR(VLOOKUP(all_lmics[[Setting]:[Setting]],all_cause_mort[],21,FALSE),0)</f>
        <v>9.1971010000000006E-2</v>
      </c>
      <c r="AI63">
        <f>IFERROR(VLOOKUP(all_lmics[[Setting]:[Setting]],all_cause_mort[],22,FALSE),0)</f>
        <v>0.1500176</v>
      </c>
      <c r="AJ63">
        <f>IFERROR(VLOOKUP(all_lmics[[Setting]:[Setting]],all_cause_mort[],23,FALSE),0)</f>
        <v>0.22883766999999999</v>
      </c>
      <c r="AK63">
        <f>IFERROR(VLOOKUP(all_lmics[[Setting]:[Setting]],all_cause_mort[],24,FALSE),0)</f>
        <v>0.32691923000000001</v>
      </c>
      <c r="AL63">
        <f>IFERROR(VLOOKUP(all_lmics[[Setting]:[Setting]],all_cause_mort[],25,FALSE),0)</f>
        <v>0.43760282572397402</v>
      </c>
      <c r="AM63">
        <f>VLOOKUP(all_lmics[[worldbank_region]:[worldbank_region]],Table13[],2,FALSE)</f>
        <v>86.85998699999999</v>
      </c>
      <c r="AN63">
        <f>VLOOKUP(all_lmics[[worldbank_region]:[worldbank_region]],Table13[],3,FALSE)</f>
        <v>86.85998699999999</v>
      </c>
      <c r="AO63">
        <f>VLOOKUP(all_lmics[[worldbank_region]:[worldbank_region]],Table13[],4,FALSE)</f>
        <v>134.58884699999999</v>
      </c>
      <c r="AP63">
        <f>VLOOKUP(all_lmics[[worldbank_region]:[worldbank_region]],Table13[],5,FALSE)</f>
        <v>134.58884699999999</v>
      </c>
      <c r="AQ63">
        <f>VLOOKUP(all_lmics[[worldbank_region]:[worldbank_region]],Table13[],6,FALSE)</f>
        <v>134.58884699999999</v>
      </c>
      <c r="AR63">
        <f>VLOOKUP(all_lmics[[worldbank_region]:[worldbank_region]],Table14[],2,FALSE)</f>
        <v>1.514642</v>
      </c>
      <c r="AS63">
        <f>VLOOKUP(all_lmics[[worldbank_region]:[worldbank_region]],Table14[],3,FALSE)</f>
        <v>2.132142</v>
      </c>
      <c r="AT63">
        <f>VLOOKUP(all_lmics[[worldbank_region]:[worldbank_region]],Table14[],4,FALSE)</f>
        <v>1.5364360000000001</v>
      </c>
      <c r="AU63">
        <f>VLOOKUP(all_lmics[[worldbank_region]:[worldbank_region]],Table14[],5,FALSE)</f>
        <v>2.1539359999999999</v>
      </c>
      <c r="AV63">
        <f>VLOOKUP(all_lmics[[worldbank_region]:[worldbank_region]],Table14[],6,FALSE)</f>
        <v>2.7241879999999998</v>
      </c>
      <c r="AW63">
        <f>IFERROR(VLOOKUP(all_lmics[[Setting]:[Setting]],nFacSBA[],4,FALSE),0)</f>
        <v>0.42559822696263466</v>
      </c>
      <c r="AX63">
        <f>VLOOKUP(all_lmics[[worldbank_region]:[worldbank_region]],hbe[],2)</f>
        <v>0.3</v>
      </c>
      <c r="AY63">
        <f>VLOOKUP(all_lmics[[worldbank_region]:[worldbank_region]],hbe[],5)</f>
        <v>0.875</v>
      </c>
      <c r="AZ63">
        <f>VLOOKUP(all_lmics[[worldbank_region]:[worldbank_region]],hbe[],8)</f>
        <v>0.15</v>
      </c>
    </row>
    <row r="64" spans="1:52" x14ac:dyDescent="0.35">
      <c r="A64" s="12" t="s">
        <v>140</v>
      </c>
      <c r="B64" s="13" t="s">
        <v>22</v>
      </c>
      <c r="C64" s="15" t="s">
        <v>21</v>
      </c>
      <c r="D64" s="14" t="s">
        <v>383</v>
      </c>
      <c r="E64">
        <f>VLOOKUP(all_lmics[[Setting]:[Setting]],populations[],9,FALSE)</f>
        <v>129163276</v>
      </c>
      <c r="F64">
        <f>VLOOKUP(all_lmics[[Setting]:[Setting]],birthrate[],3,FALSE)</f>
        <v>1.8172999999999998E-2</v>
      </c>
      <c r="G64">
        <f>all_lmics[[#This Row],[2017_population]]*all_lmics[[#This Row],[2016_birthrate]]</f>
        <v>2347284.2147479998</v>
      </c>
      <c r="H64">
        <f>VLOOKUP(all_lmics[[Setting]:[Setting]],birthdose[],4,FALSE)</f>
        <v>0.98</v>
      </c>
      <c r="I64">
        <f>VLOOKUP(all_lmics[[Setting]:[Setting]],fullvax[],4,FALSE)</f>
        <v>0.93</v>
      </c>
      <c r="J64">
        <f>IFERROR(VLOOKUP(all_lmics[[Setting]:[Setting]],prev[],3,FALSE),0)</f>
        <v>1E-3</v>
      </c>
      <c r="K64">
        <f>IFERROR(VLOOKUP(all_lmics[[Setting]:[Setting]],prev[],4,FALSE),0)</f>
        <v>1E-3</v>
      </c>
      <c r="L64">
        <f>IFERROR(VLOOKUP(all_lmics[[Setting]:[Setting]],prev[],5,FALSE),0)</f>
        <v>2E-3</v>
      </c>
      <c r="M64">
        <f>IFERROR(VLOOKUP(all_lmics[[Setting]:[Setting]],prev[],7,FALSE),0)</f>
        <v>5.1020408163265311E-4</v>
      </c>
      <c r="N64">
        <f>IFERROR(VLOOKUP(all_lmics[[Setting]:[Setting]],prev[],6,FALSE),0)</f>
        <v>129163276</v>
      </c>
      <c r="O64">
        <f>IFERROR(VLOOKUP(all_lmics[[Setting]:[Setting]],SBA[],4,FALSE),0)</f>
        <v>0.97699999999999998</v>
      </c>
      <c r="P64">
        <f>IFERROR(VLOOKUP(all_lmics[[Setting]:[Setting]], facility[], 3,FALSE),0)</f>
        <v>0.96900000000000008</v>
      </c>
      <c r="Q64">
        <f>IFERROR(VLOOKUP(all_lmics[[Setting]:[Setting]],all_cause_mort[],4,FALSE),0)</f>
        <v>1.3675331000000001E-2</v>
      </c>
      <c r="R64">
        <f>IFERROR(VLOOKUP(all_lmics[[Setting]:[Setting]],all_cause_mort[],5,FALSE),0)</f>
        <v>5.2116757000000001E-4</v>
      </c>
      <c r="S64">
        <f>IFERROR(VLOOKUP(all_lmics[[Setting]:[Setting]],all_cause_mort[],6,FALSE),0)</f>
        <v>2.5528668999999998E-4</v>
      </c>
      <c r="T64">
        <f>IFERROR(VLOOKUP(all_lmics[[Setting]:[Setting]],all_cause_mort[],7,FALSE),0)</f>
        <v>3.6268306999999997E-4</v>
      </c>
      <c r="U64">
        <f>IFERROR(VLOOKUP(all_lmics[[Setting]:[Setting]],all_cause_mort[],8,FALSE),0)</f>
        <v>7.6787160000000004E-4</v>
      </c>
      <c r="V64">
        <f>IFERROR(VLOOKUP(all_lmics[[Setting]:[Setting]],all_cause_mort[],9,FALSE),0)</f>
        <v>1.2519237000000001E-3</v>
      </c>
      <c r="W64">
        <f>IFERROR(VLOOKUP(all_lmics[[Setting]:[Setting]],all_cause_mort[],10,FALSE),0)</f>
        <v>1.5734901999999999E-3</v>
      </c>
      <c r="X64">
        <f>IFERROR(VLOOKUP(all_lmics[[Setting]:[Setting]],all_cause_mort[],11,FALSE),0)</f>
        <v>1.8138586E-3</v>
      </c>
      <c r="Y64">
        <f>IFERROR(VLOOKUP(all_lmics[[Setting]:[Setting]],all_cause_mort[],12,FALSE),0)</f>
        <v>2.1983553E-3</v>
      </c>
      <c r="Z64">
        <f>IFERROR(VLOOKUP(all_lmics[[Setting]:[Setting]],all_cause_mort[],13,FALSE),0)</f>
        <v>2.9210206000000001E-3</v>
      </c>
      <c r="AA64">
        <f>IFERROR(VLOOKUP(all_lmics[[Setting]:[Setting]],all_cause_mort[],14,FALSE),0)</f>
        <v>4.1629763000000002E-3</v>
      </c>
      <c r="AB64">
        <f>IFERROR(VLOOKUP(all_lmics[[Setting]:[Setting]],all_cause_mort[],15,FALSE),0)</f>
        <v>6.1664082E-3</v>
      </c>
      <c r="AC64">
        <f>IFERROR(VLOOKUP(all_lmics[[Setting]:[Setting]],all_cause_mort[],16,FALSE),0)</f>
        <v>9.2869411999999991E-3</v>
      </c>
      <c r="AD64">
        <f>IFERROR(VLOOKUP(all_lmics[[Setting]:[Setting]],all_cause_mort[],17,FALSE),0)</f>
        <v>1.4052927999999999E-2</v>
      </c>
      <c r="AE64">
        <f>IFERROR(VLOOKUP(all_lmics[[Setting]:[Setting]],all_cause_mort[],18,FALSE),0)</f>
        <v>2.1315153999999999E-2</v>
      </c>
      <c r="AF64">
        <f>IFERROR(VLOOKUP(all_lmics[[Setting]:[Setting]],all_cause_mort[],19,FALSE),0)</f>
        <v>3.2311217000000003E-2</v>
      </c>
      <c r="AG64">
        <f>IFERROR(VLOOKUP(all_lmics[[Setting]:[Setting]],all_cause_mort[],20,FALSE),0)</f>
        <v>4.8808923999999997E-2</v>
      </c>
      <c r="AH64">
        <f>IFERROR(VLOOKUP(all_lmics[[Setting]:[Setting]],all_cause_mort[],21,FALSE),0)</f>
        <v>7.3397570999999995E-2</v>
      </c>
      <c r="AI64">
        <f>IFERROR(VLOOKUP(all_lmics[[Setting]:[Setting]],all_cause_mort[],22,FALSE),0)</f>
        <v>0.11072121</v>
      </c>
      <c r="AJ64">
        <f>IFERROR(VLOOKUP(all_lmics[[Setting]:[Setting]],all_cause_mort[],23,FALSE),0)</f>
        <v>0.16984748</v>
      </c>
      <c r="AK64">
        <f>IFERROR(VLOOKUP(all_lmics[[Setting]:[Setting]],all_cause_mort[],24,FALSE),0)</f>
        <v>0.26417943999999999</v>
      </c>
      <c r="AL64">
        <f>IFERROR(VLOOKUP(all_lmics[[Setting]:[Setting]],all_cause_mort[],25,FALSE),0)</f>
        <v>0.43174158987890598</v>
      </c>
      <c r="AM64">
        <f>VLOOKUP(all_lmics[[worldbank_region]:[worldbank_region]],Table13[],2,FALSE)</f>
        <v>86.85998699999999</v>
      </c>
      <c r="AN64">
        <f>VLOOKUP(all_lmics[[worldbank_region]:[worldbank_region]],Table13[],3,FALSE)</f>
        <v>86.85998699999999</v>
      </c>
      <c r="AO64">
        <f>VLOOKUP(all_lmics[[worldbank_region]:[worldbank_region]],Table13[],4,FALSE)</f>
        <v>134.58884699999999</v>
      </c>
      <c r="AP64">
        <f>VLOOKUP(all_lmics[[worldbank_region]:[worldbank_region]],Table13[],5,FALSE)</f>
        <v>134.58884699999999</v>
      </c>
      <c r="AQ64">
        <f>VLOOKUP(all_lmics[[worldbank_region]:[worldbank_region]],Table13[],6,FALSE)</f>
        <v>134.58884699999999</v>
      </c>
      <c r="AR64">
        <f>VLOOKUP(all_lmics[[worldbank_region]:[worldbank_region]],Table14[],2,FALSE)</f>
        <v>1.514642</v>
      </c>
      <c r="AS64">
        <f>VLOOKUP(all_lmics[[worldbank_region]:[worldbank_region]],Table14[],3,FALSE)</f>
        <v>2.132142</v>
      </c>
      <c r="AT64">
        <f>VLOOKUP(all_lmics[[worldbank_region]:[worldbank_region]],Table14[],4,FALSE)</f>
        <v>1.5364360000000001</v>
      </c>
      <c r="AU64">
        <f>VLOOKUP(all_lmics[[worldbank_region]:[worldbank_region]],Table14[],5,FALSE)</f>
        <v>2.1539359999999999</v>
      </c>
      <c r="AV64">
        <f>VLOOKUP(all_lmics[[worldbank_region]:[worldbank_region]],Table14[],6,FALSE)</f>
        <v>2.7241879999999998</v>
      </c>
      <c r="AW64">
        <f>IFERROR(VLOOKUP(all_lmics[[Setting]:[Setting]],nFacSBA[],4,FALSE),0)</f>
        <v>0</v>
      </c>
      <c r="AX64">
        <f>VLOOKUP(all_lmics[[worldbank_region]:[worldbank_region]],hbe[],2)</f>
        <v>0.3</v>
      </c>
      <c r="AY64">
        <f>VLOOKUP(all_lmics[[worldbank_region]:[worldbank_region]],hbe[],5)</f>
        <v>0.875</v>
      </c>
      <c r="AZ64">
        <f>VLOOKUP(all_lmics[[worldbank_region]:[worldbank_region]],hbe[],8)</f>
        <v>0.15</v>
      </c>
    </row>
    <row r="65" spans="1:52" x14ac:dyDescent="0.35">
      <c r="A65" s="8" t="s">
        <v>161</v>
      </c>
      <c r="B65" s="10" t="s">
        <v>22</v>
      </c>
      <c r="C65" s="45" t="s">
        <v>21</v>
      </c>
      <c r="D65" s="11" t="s">
        <v>383</v>
      </c>
      <c r="E65">
        <f>VLOOKUP(all_lmics[[Setting]:[Setting]],populations[],9,FALSE)</f>
        <v>4098587</v>
      </c>
      <c r="F65">
        <f>VLOOKUP(all_lmics[[Setting]:[Setting]],birthrate[],3,FALSE)</f>
        <v>1.9533000000000002E-2</v>
      </c>
      <c r="G65">
        <f>all_lmics[[#This Row],[2017_population]]*all_lmics[[#This Row],[2016_birthrate]]</f>
        <v>80057.699871000004</v>
      </c>
      <c r="H65">
        <f>VLOOKUP(all_lmics[[Setting]:[Setting]],birthdose[],4,FALSE)</f>
        <v>0.87</v>
      </c>
      <c r="I65">
        <f>VLOOKUP(all_lmics[[Setting]:[Setting]],fullvax[],4,FALSE)</f>
        <v>0.81</v>
      </c>
      <c r="J65">
        <f>IFERROR(VLOOKUP(all_lmics[[Setting]:[Setting]],prev[],3,FALSE),0)</f>
        <v>2.1000000000000001E-2</v>
      </c>
      <c r="K65">
        <f>IFERROR(VLOOKUP(all_lmics[[Setting]:[Setting]],prev[],4,FALSE),0)</f>
        <v>1.9E-2</v>
      </c>
      <c r="L65">
        <f>IFERROR(VLOOKUP(all_lmics[[Setting]:[Setting]],prev[],5,FALSE),0)</f>
        <v>2.3199999999999998E-2</v>
      </c>
      <c r="M65">
        <f>IFERROR(VLOOKUP(all_lmics[[Setting]:[Setting]],prev[],7,FALSE),0)</f>
        <v>1.1224489795918352E-3</v>
      </c>
      <c r="N65">
        <f>IFERROR(VLOOKUP(all_lmics[[Setting]:[Setting]],prev[],6,FALSE),0)</f>
        <v>3643222</v>
      </c>
      <c r="O65">
        <f>IFERROR(VLOOKUP(all_lmics[[Setting]:[Setting]],SBA[],4,FALSE),0)</f>
        <v>0.94599999999999995</v>
      </c>
      <c r="P65">
        <f>IFERROR(VLOOKUP(all_lmics[[Setting]:[Setting]], facility[], 3,FALSE),0)</f>
        <v>0.91200000000000003</v>
      </c>
      <c r="Q65">
        <f>IFERROR(VLOOKUP(all_lmics[[Setting]:[Setting]],all_cause_mort[],4,FALSE),0)</f>
        <v>1.4316863000000001E-2</v>
      </c>
      <c r="R65">
        <f>IFERROR(VLOOKUP(all_lmics[[Setting]:[Setting]],all_cause_mort[],5,FALSE),0)</f>
        <v>1.1168910000000001E-3</v>
      </c>
      <c r="S65">
        <f>IFERROR(VLOOKUP(all_lmics[[Setting]:[Setting]],all_cause_mort[],6,FALSE),0)</f>
        <v>3.0663007E-4</v>
      </c>
      <c r="T65">
        <f>IFERROR(VLOOKUP(all_lmics[[Setting]:[Setting]],all_cause_mort[],7,FALSE),0)</f>
        <v>3.8203605E-4</v>
      </c>
      <c r="U65">
        <f>IFERROR(VLOOKUP(all_lmics[[Setting]:[Setting]],all_cause_mort[],8,FALSE),0)</f>
        <v>9.7342136999999996E-4</v>
      </c>
      <c r="V65">
        <f>IFERROR(VLOOKUP(all_lmics[[Setting]:[Setting]],all_cause_mort[],9,FALSE),0)</f>
        <v>1.6672996999999999E-3</v>
      </c>
      <c r="W65">
        <f>IFERROR(VLOOKUP(all_lmics[[Setting]:[Setting]],all_cause_mort[],10,FALSE),0)</f>
        <v>1.8989256999999999E-3</v>
      </c>
      <c r="X65">
        <f>IFERROR(VLOOKUP(all_lmics[[Setting]:[Setting]],all_cause_mort[],11,FALSE),0)</f>
        <v>1.8455957E-3</v>
      </c>
      <c r="Y65">
        <f>IFERROR(VLOOKUP(all_lmics[[Setting]:[Setting]],all_cause_mort[],12,FALSE),0)</f>
        <v>1.8930301E-3</v>
      </c>
      <c r="Z65">
        <f>IFERROR(VLOOKUP(all_lmics[[Setting]:[Setting]],all_cause_mort[],13,FALSE),0)</f>
        <v>2.2506380000000001E-3</v>
      </c>
      <c r="AA65">
        <f>IFERROR(VLOOKUP(all_lmics[[Setting]:[Setting]],all_cause_mort[],14,FALSE),0)</f>
        <v>3.0129906999999999E-3</v>
      </c>
      <c r="AB65">
        <f>IFERROR(VLOOKUP(all_lmics[[Setting]:[Setting]],all_cause_mort[],15,FALSE),0)</f>
        <v>4.3259865999999998E-3</v>
      </c>
      <c r="AC65">
        <f>IFERROR(VLOOKUP(all_lmics[[Setting]:[Setting]],all_cause_mort[],16,FALSE),0)</f>
        <v>6.4119004E-3</v>
      </c>
      <c r="AD65">
        <f>IFERROR(VLOOKUP(all_lmics[[Setting]:[Setting]],all_cause_mort[],17,FALSE),0)</f>
        <v>9.6462936999999992E-3</v>
      </c>
      <c r="AE65">
        <f>IFERROR(VLOOKUP(all_lmics[[Setting]:[Setting]],all_cause_mort[],18,FALSE),0)</f>
        <v>1.4640630999999999E-2</v>
      </c>
      <c r="AF65">
        <f>IFERROR(VLOOKUP(all_lmics[[Setting]:[Setting]],all_cause_mort[],19,FALSE),0)</f>
        <v>2.2341037000000001E-2</v>
      </c>
      <c r="AG65">
        <f>IFERROR(VLOOKUP(all_lmics[[Setting]:[Setting]],all_cause_mort[],20,FALSE),0)</f>
        <v>3.4147505000000002E-2</v>
      </c>
      <c r="AH65">
        <f>IFERROR(VLOOKUP(all_lmics[[Setting]:[Setting]],all_cause_mort[],21,FALSE),0)</f>
        <v>5.2188312000000001E-2</v>
      </c>
      <c r="AI65">
        <f>IFERROR(VLOOKUP(all_lmics[[Setting]:[Setting]],all_cause_mort[],22,FALSE),0)</f>
        <v>7.9706316999999999E-2</v>
      </c>
      <c r="AJ65">
        <f>IFERROR(VLOOKUP(all_lmics[[Setting]:[Setting]],all_cause_mort[],23,FALSE),0)</f>
        <v>0.12119497999999999</v>
      </c>
      <c r="AK65">
        <f>IFERROR(VLOOKUP(all_lmics[[Setting]:[Setting]],all_cause_mort[],24,FALSE),0)</f>
        <v>0.18664743</v>
      </c>
      <c r="AL65">
        <f>IFERROR(VLOOKUP(all_lmics[[Setting]:[Setting]],all_cause_mort[],25,FALSE),0)</f>
        <v>0.29132941038860299</v>
      </c>
      <c r="AM65">
        <f>VLOOKUP(all_lmics[[worldbank_region]:[worldbank_region]],Table13[],2,FALSE)</f>
        <v>86.85998699999999</v>
      </c>
      <c r="AN65">
        <f>VLOOKUP(all_lmics[[worldbank_region]:[worldbank_region]],Table13[],3,FALSE)</f>
        <v>86.85998699999999</v>
      </c>
      <c r="AO65">
        <f>VLOOKUP(all_lmics[[worldbank_region]:[worldbank_region]],Table13[],4,FALSE)</f>
        <v>134.58884699999999</v>
      </c>
      <c r="AP65">
        <f>VLOOKUP(all_lmics[[worldbank_region]:[worldbank_region]],Table13[],5,FALSE)</f>
        <v>134.58884699999999</v>
      </c>
      <c r="AQ65">
        <f>VLOOKUP(all_lmics[[worldbank_region]:[worldbank_region]],Table13[],6,FALSE)</f>
        <v>134.58884699999999</v>
      </c>
      <c r="AR65">
        <f>VLOOKUP(all_lmics[[worldbank_region]:[worldbank_region]],Table14[],2,FALSE)</f>
        <v>1.514642</v>
      </c>
      <c r="AS65">
        <f>VLOOKUP(all_lmics[[worldbank_region]:[worldbank_region]],Table14[],3,FALSE)</f>
        <v>2.132142</v>
      </c>
      <c r="AT65">
        <f>VLOOKUP(all_lmics[[worldbank_region]:[worldbank_region]],Table14[],4,FALSE)</f>
        <v>1.5364360000000001</v>
      </c>
      <c r="AU65">
        <f>VLOOKUP(all_lmics[[worldbank_region]:[worldbank_region]],Table14[],5,FALSE)</f>
        <v>2.1539359999999999</v>
      </c>
      <c r="AV65">
        <f>VLOOKUP(all_lmics[[worldbank_region]:[worldbank_region]],Table14[],6,FALSE)</f>
        <v>2.7241879999999998</v>
      </c>
      <c r="AW65">
        <f>IFERROR(VLOOKUP(all_lmics[[Setting]:[Setting]],nFacSBA[],4,FALSE),0)</f>
        <v>0</v>
      </c>
      <c r="AX65">
        <f>VLOOKUP(all_lmics[[worldbank_region]:[worldbank_region]],hbe[],2)</f>
        <v>0.3</v>
      </c>
      <c r="AY65">
        <f>VLOOKUP(all_lmics[[worldbank_region]:[worldbank_region]],hbe[],5)</f>
        <v>0.875</v>
      </c>
      <c r="AZ65">
        <f>VLOOKUP(all_lmics[[worldbank_region]:[worldbank_region]],hbe[],8)</f>
        <v>0.15</v>
      </c>
    </row>
    <row r="66" spans="1:52" x14ac:dyDescent="0.35">
      <c r="A66" s="8" t="s">
        <v>163</v>
      </c>
      <c r="B66" s="10" t="s">
        <v>22</v>
      </c>
      <c r="C66" s="45" t="s">
        <v>21</v>
      </c>
      <c r="D66" s="11" t="s">
        <v>383</v>
      </c>
      <c r="E66">
        <f>VLOOKUP(all_lmics[[Setting]:[Setting]],populations[],9,FALSE)</f>
        <v>6811297</v>
      </c>
      <c r="F66">
        <f>VLOOKUP(all_lmics[[Setting]:[Setting]],birthrate[],3,FALSE)</f>
        <v>2.0947E-2</v>
      </c>
      <c r="G66">
        <f>all_lmics[[#This Row],[2017_population]]*all_lmics[[#This Row],[2016_birthrate]]</f>
        <v>142676.23825900001</v>
      </c>
      <c r="H66">
        <f>VLOOKUP(all_lmics[[Setting]:[Setting]],birthdose[],4,FALSE)</f>
        <v>0.52</v>
      </c>
      <c r="I66">
        <f>VLOOKUP(all_lmics[[Setting]:[Setting]],fullvax[],4,FALSE)</f>
        <v>0.91</v>
      </c>
      <c r="J66">
        <f>IFERROR(VLOOKUP(all_lmics[[Setting]:[Setting]],prev[],3,FALSE),0)</f>
        <v>0</v>
      </c>
      <c r="K66">
        <f>IFERROR(VLOOKUP(all_lmics[[Setting]:[Setting]],prev[],4,FALSE),0)</f>
        <v>0</v>
      </c>
      <c r="L66">
        <f>IFERROR(VLOOKUP(all_lmics[[Setting]:[Setting]],prev[],5,FALSE),0)</f>
        <v>0</v>
      </c>
      <c r="M66">
        <f>IFERROR(VLOOKUP(all_lmics[[Setting]:[Setting]],prev[],7,FALSE),0)</f>
        <v>0</v>
      </c>
      <c r="N66">
        <f>IFERROR(VLOOKUP(all_lmics[[Setting]:[Setting]],prev[],6,FALSE),0)</f>
        <v>0</v>
      </c>
      <c r="O66">
        <f>IFERROR(VLOOKUP(all_lmics[[Setting]:[Setting]],SBA[],4,FALSE),0)</f>
        <v>0.95499999999999996</v>
      </c>
      <c r="P66">
        <f>IFERROR(VLOOKUP(all_lmics[[Setting]:[Setting]], facility[], 3,FALSE),0)</f>
        <v>0.93200000000000005</v>
      </c>
      <c r="Q66">
        <f>IFERROR(VLOOKUP(all_lmics[[Setting]:[Setting]],all_cause_mort[],4,FALSE),0)</f>
        <v>1.9355603999999998E-2</v>
      </c>
      <c r="R66">
        <f>IFERROR(VLOOKUP(all_lmics[[Setting]:[Setting]],all_cause_mort[],5,FALSE),0)</f>
        <v>6.2881761999999996E-4</v>
      </c>
      <c r="S66">
        <f>IFERROR(VLOOKUP(all_lmics[[Setting]:[Setting]],all_cause_mort[],6,FALSE),0)</f>
        <v>5.5234958000000001E-4</v>
      </c>
      <c r="T66">
        <f>IFERROR(VLOOKUP(all_lmics[[Setting]:[Setting]],all_cause_mort[],7,FALSE),0)</f>
        <v>4.4948789000000001E-4</v>
      </c>
      <c r="U66">
        <f>IFERROR(VLOOKUP(all_lmics[[Setting]:[Setting]],all_cause_mort[],8,FALSE),0)</f>
        <v>1.0542913000000001E-3</v>
      </c>
      <c r="V66">
        <f>IFERROR(VLOOKUP(all_lmics[[Setting]:[Setting]],all_cause_mort[],9,FALSE),0)</f>
        <v>1.6059035000000001E-3</v>
      </c>
      <c r="W66">
        <f>IFERROR(VLOOKUP(all_lmics[[Setting]:[Setting]],all_cause_mort[],10,FALSE),0)</f>
        <v>1.9587977999999998E-3</v>
      </c>
      <c r="X66">
        <f>IFERROR(VLOOKUP(all_lmics[[Setting]:[Setting]],all_cause_mort[],11,FALSE),0)</f>
        <v>1.9953162000000001E-3</v>
      </c>
      <c r="Y66">
        <f>IFERROR(VLOOKUP(all_lmics[[Setting]:[Setting]],all_cause_mort[],12,FALSE),0)</f>
        <v>2.3646519E-3</v>
      </c>
      <c r="Z66">
        <f>IFERROR(VLOOKUP(all_lmics[[Setting]:[Setting]],all_cause_mort[],13,FALSE),0)</f>
        <v>2.8979647000000001E-3</v>
      </c>
      <c r="AA66">
        <f>IFERROR(VLOOKUP(all_lmics[[Setting]:[Setting]],all_cause_mort[],14,FALSE),0)</f>
        <v>4.2436922000000004E-3</v>
      </c>
      <c r="AB66">
        <f>IFERROR(VLOOKUP(all_lmics[[Setting]:[Setting]],all_cause_mort[],15,FALSE),0)</f>
        <v>6.1885048999999999E-3</v>
      </c>
      <c r="AC66">
        <f>IFERROR(VLOOKUP(all_lmics[[Setting]:[Setting]],all_cause_mort[],16,FALSE),0)</f>
        <v>8.7090715999999999E-3</v>
      </c>
      <c r="AD66">
        <f>IFERROR(VLOOKUP(all_lmics[[Setting]:[Setting]],all_cause_mort[],17,FALSE),0)</f>
        <v>1.3643486E-2</v>
      </c>
      <c r="AE66">
        <f>IFERROR(VLOOKUP(all_lmics[[Setting]:[Setting]],all_cause_mort[],18,FALSE),0)</f>
        <v>2.0194107999999999E-2</v>
      </c>
      <c r="AF66">
        <f>IFERROR(VLOOKUP(all_lmics[[Setting]:[Setting]],all_cause_mort[],19,FALSE),0)</f>
        <v>2.9681827000000001E-2</v>
      </c>
      <c r="AG66">
        <f>IFERROR(VLOOKUP(all_lmics[[Setting]:[Setting]],all_cause_mort[],20,FALSE),0)</f>
        <v>4.2919825000000002E-2</v>
      </c>
      <c r="AH66">
        <f>IFERROR(VLOOKUP(all_lmics[[Setting]:[Setting]],all_cause_mort[],21,FALSE),0)</f>
        <v>8.4247589999999997E-2</v>
      </c>
      <c r="AI66">
        <f>IFERROR(VLOOKUP(all_lmics[[Setting]:[Setting]],all_cause_mort[],22,FALSE),0)</f>
        <v>0.134908</v>
      </c>
      <c r="AJ66">
        <f>IFERROR(VLOOKUP(all_lmics[[Setting]:[Setting]],all_cause_mort[],23,FALSE),0)</f>
        <v>0.20061775000000001</v>
      </c>
      <c r="AK66">
        <f>IFERROR(VLOOKUP(all_lmics[[Setting]:[Setting]],all_cause_mort[],24,FALSE),0)</f>
        <v>0.27725865999999999</v>
      </c>
      <c r="AL66">
        <f>IFERROR(VLOOKUP(all_lmics[[Setting]:[Setting]],all_cause_mort[],25,FALSE),0)</f>
        <v>0.38506899589254601</v>
      </c>
      <c r="AM66">
        <f>VLOOKUP(all_lmics[[worldbank_region]:[worldbank_region]],Table13[],2,FALSE)</f>
        <v>86.85998699999999</v>
      </c>
      <c r="AN66">
        <f>VLOOKUP(all_lmics[[worldbank_region]:[worldbank_region]],Table13[],3,FALSE)</f>
        <v>86.85998699999999</v>
      </c>
      <c r="AO66">
        <f>VLOOKUP(all_lmics[[worldbank_region]:[worldbank_region]],Table13[],4,FALSE)</f>
        <v>134.58884699999999</v>
      </c>
      <c r="AP66">
        <f>VLOOKUP(all_lmics[[worldbank_region]:[worldbank_region]],Table13[],5,FALSE)</f>
        <v>134.58884699999999</v>
      </c>
      <c r="AQ66">
        <f>VLOOKUP(all_lmics[[worldbank_region]:[worldbank_region]],Table13[],6,FALSE)</f>
        <v>134.58884699999999</v>
      </c>
      <c r="AR66">
        <f>VLOOKUP(all_lmics[[worldbank_region]:[worldbank_region]],Table14[],2,FALSE)</f>
        <v>1.514642</v>
      </c>
      <c r="AS66">
        <f>VLOOKUP(all_lmics[[worldbank_region]:[worldbank_region]],Table14[],3,FALSE)</f>
        <v>2.132142</v>
      </c>
      <c r="AT66">
        <f>VLOOKUP(all_lmics[[worldbank_region]:[worldbank_region]],Table14[],4,FALSE)</f>
        <v>1.5364360000000001</v>
      </c>
      <c r="AU66">
        <f>VLOOKUP(all_lmics[[worldbank_region]:[worldbank_region]],Table14[],5,FALSE)</f>
        <v>2.1539359999999999</v>
      </c>
      <c r="AV66">
        <f>VLOOKUP(all_lmics[[worldbank_region]:[worldbank_region]],Table14[],6,FALSE)</f>
        <v>2.7241879999999998</v>
      </c>
      <c r="AW66">
        <f>IFERROR(VLOOKUP(all_lmics[[Setting]:[Setting]],nFacSBA[],4,FALSE),0)</f>
        <v>0</v>
      </c>
      <c r="AX66">
        <f>VLOOKUP(all_lmics[[worldbank_region]:[worldbank_region]],hbe[],2)</f>
        <v>0.3</v>
      </c>
      <c r="AY66">
        <f>VLOOKUP(all_lmics[[worldbank_region]:[worldbank_region]],hbe[],5)</f>
        <v>0.875</v>
      </c>
      <c r="AZ66">
        <f>VLOOKUP(all_lmics[[worldbank_region]:[worldbank_region]],hbe[],8)</f>
        <v>0.15</v>
      </c>
    </row>
    <row r="67" spans="1:52" x14ac:dyDescent="0.35">
      <c r="A67" s="12" t="s">
        <v>174</v>
      </c>
      <c r="B67" s="13" t="s">
        <v>22</v>
      </c>
      <c r="C67" s="46" t="s">
        <v>21</v>
      </c>
      <c r="D67" s="14" t="s">
        <v>383</v>
      </c>
      <c r="E67">
        <f>VLOOKUP(all_lmics[[Setting]:[Setting]],populations[],9,FALSE)</f>
        <v>55345</v>
      </c>
      <c r="F67">
        <f>VLOOKUP(all_lmics[[Setting]:[Setting]],birthrate[],3,FALSE)</f>
        <v>1.32E-2</v>
      </c>
      <c r="G67">
        <f>all_lmics[[#This Row],[2017_population]]*all_lmics[[#This Row],[2016_birthrate]]</f>
        <v>730.55399999999997</v>
      </c>
      <c r="H67">
        <f>VLOOKUP(all_lmics[[Setting]:[Setting]],birthdose[],4,FALSE)</f>
        <v>0.83</v>
      </c>
      <c r="I67">
        <f>VLOOKUP(all_lmics[[Setting]:[Setting]],fullvax[],4,FALSE)</f>
        <v>0.98</v>
      </c>
      <c r="J67">
        <f>IFERROR(VLOOKUP(all_lmics[[Setting]:[Setting]],prev[],3,FALSE),0)</f>
        <v>0</v>
      </c>
      <c r="K67">
        <f>IFERROR(VLOOKUP(all_lmics[[Setting]:[Setting]],prev[],4,FALSE),0)</f>
        <v>0</v>
      </c>
      <c r="L67">
        <f>IFERROR(VLOOKUP(all_lmics[[Setting]:[Setting]],prev[],5,FALSE),0)</f>
        <v>0</v>
      </c>
      <c r="M67">
        <f>IFERROR(VLOOKUP(all_lmics[[Setting]:[Setting]],prev[],7,FALSE),0)</f>
        <v>0</v>
      </c>
      <c r="N67">
        <f>IFERROR(VLOOKUP(all_lmics[[Setting]:[Setting]],prev[],6,FALSE),0)</f>
        <v>0</v>
      </c>
      <c r="O67">
        <f>IFERROR(VLOOKUP(all_lmics[[Setting]:[Setting]],SBA[],4,FALSE),0)</f>
        <v>0.9998999999999999</v>
      </c>
      <c r="P67">
        <f>IFERROR(VLOOKUP(all_lmics[[Setting]:[Setting]], facility[], 3,FALSE),0)</f>
        <v>0</v>
      </c>
      <c r="Q67">
        <f>IFERROR(VLOOKUP(all_lmics[[Setting]:[Setting]],all_cause_mort[],4,FALSE),0)</f>
        <v>0</v>
      </c>
      <c r="R67">
        <f>IFERROR(VLOOKUP(all_lmics[[Setting]:[Setting]],all_cause_mort[],5,FALSE),0)</f>
        <v>0</v>
      </c>
      <c r="S67">
        <f>IFERROR(VLOOKUP(all_lmics[[Setting]:[Setting]],all_cause_mort[],6,FALSE),0)</f>
        <v>0</v>
      </c>
      <c r="T67">
        <f>IFERROR(VLOOKUP(all_lmics[[Setting]:[Setting]],all_cause_mort[],7,FALSE),0)</f>
        <v>0</v>
      </c>
      <c r="U67">
        <f>IFERROR(VLOOKUP(all_lmics[[Setting]:[Setting]],all_cause_mort[],8,FALSE),0)</f>
        <v>0</v>
      </c>
      <c r="V67">
        <f>IFERROR(VLOOKUP(all_lmics[[Setting]:[Setting]],all_cause_mort[],9,FALSE),0)</f>
        <v>0</v>
      </c>
      <c r="W67">
        <f>IFERROR(VLOOKUP(all_lmics[[Setting]:[Setting]],all_cause_mort[],10,FALSE),0)</f>
        <v>0</v>
      </c>
      <c r="X67">
        <f>IFERROR(VLOOKUP(all_lmics[[Setting]:[Setting]],all_cause_mort[],11,FALSE),0)</f>
        <v>0</v>
      </c>
      <c r="Y67">
        <f>IFERROR(VLOOKUP(all_lmics[[Setting]:[Setting]],all_cause_mort[],12,FALSE),0)</f>
        <v>0</v>
      </c>
      <c r="Z67">
        <f>IFERROR(VLOOKUP(all_lmics[[Setting]:[Setting]],all_cause_mort[],13,FALSE),0)</f>
        <v>0</v>
      </c>
      <c r="AA67">
        <f>IFERROR(VLOOKUP(all_lmics[[Setting]:[Setting]],all_cause_mort[],14,FALSE),0)</f>
        <v>0</v>
      </c>
      <c r="AB67">
        <f>IFERROR(VLOOKUP(all_lmics[[Setting]:[Setting]],all_cause_mort[],15,FALSE),0)</f>
        <v>0</v>
      </c>
      <c r="AC67">
        <f>IFERROR(VLOOKUP(all_lmics[[Setting]:[Setting]],all_cause_mort[],16,FALSE),0)</f>
        <v>0</v>
      </c>
      <c r="AD67">
        <f>IFERROR(VLOOKUP(all_lmics[[Setting]:[Setting]],all_cause_mort[],17,FALSE),0)</f>
        <v>0</v>
      </c>
      <c r="AE67">
        <f>IFERROR(VLOOKUP(all_lmics[[Setting]:[Setting]],all_cause_mort[],18,FALSE),0)</f>
        <v>0</v>
      </c>
      <c r="AF67">
        <f>IFERROR(VLOOKUP(all_lmics[[Setting]:[Setting]],all_cause_mort[],19,FALSE),0)</f>
        <v>0</v>
      </c>
      <c r="AG67">
        <f>IFERROR(VLOOKUP(all_lmics[[Setting]:[Setting]],all_cause_mort[],20,FALSE),0)</f>
        <v>0</v>
      </c>
      <c r="AH67">
        <f>IFERROR(VLOOKUP(all_lmics[[Setting]:[Setting]],all_cause_mort[],21,FALSE),0)</f>
        <v>0</v>
      </c>
      <c r="AI67">
        <f>IFERROR(VLOOKUP(all_lmics[[Setting]:[Setting]],all_cause_mort[],22,FALSE),0)</f>
        <v>0</v>
      </c>
      <c r="AJ67">
        <f>IFERROR(VLOOKUP(all_lmics[[Setting]:[Setting]],all_cause_mort[],23,FALSE),0)</f>
        <v>0</v>
      </c>
      <c r="AK67">
        <f>IFERROR(VLOOKUP(all_lmics[[Setting]:[Setting]],all_cause_mort[],24,FALSE),0)</f>
        <v>0</v>
      </c>
      <c r="AL67">
        <f>IFERROR(VLOOKUP(all_lmics[[Setting]:[Setting]],all_cause_mort[],25,FALSE),0)</f>
        <v>0</v>
      </c>
      <c r="AM67">
        <f>VLOOKUP(all_lmics[[worldbank_region]:[worldbank_region]],Table13[],2,FALSE)</f>
        <v>86.85998699999999</v>
      </c>
      <c r="AN67">
        <f>VLOOKUP(all_lmics[[worldbank_region]:[worldbank_region]],Table13[],3,FALSE)</f>
        <v>86.85998699999999</v>
      </c>
      <c r="AO67">
        <f>VLOOKUP(all_lmics[[worldbank_region]:[worldbank_region]],Table13[],4,FALSE)</f>
        <v>134.58884699999999</v>
      </c>
      <c r="AP67">
        <f>VLOOKUP(all_lmics[[worldbank_region]:[worldbank_region]],Table13[],5,FALSE)</f>
        <v>134.58884699999999</v>
      </c>
      <c r="AQ67">
        <f>VLOOKUP(all_lmics[[worldbank_region]:[worldbank_region]],Table13[],6,FALSE)</f>
        <v>134.58884699999999</v>
      </c>
      <c r="AR67">
        <f>VLOOKUP(all_lmics[[worldbank_region]:[worldbank_region]],Table14[],2,FALSE)</f>
        <v>1.514642</v>
      </c>
      <c r="AS67">
        <f>VLOOKUP(all_lmics[[worldbank_region]:[worldbank_region]],Table14[],3,FALSE)</f>
        <v>2.132142</v>
      </c>
      <c r="AT67">
        <f>VLOOKUP(all_lmics[[worldbank_region]:[worldbank_region]],Table14[],4,FALSE)</f>
        <v>1.5364360000000001</v>
      </c>
      <c r="AU67">
        <f>VLOOKUP(all_lmics[[worldbank_region]:[worldbank_region]],Table14[],5,FALSE)</f>
        <v>2.1539359999999999</v>
      </c>
      <c r="AV67">
        <f>VLOOKUP(all_lmics[[worldbank_region]:[worldbank_region]],Table14[],6,FALSE)</f>
        <v>2.7241879999999998</v>
      </c>
      <c r="AW67">
        <f>IFERROR(VLOOKUP(all_lmics[[Setting]:[Setting]],nFacSBA[],4,FALSE),0)</f>
        <v>0</v>
      </c>
      <c r="AX67">
        <f>VLOOKUP(all_lmics[[worldbank_region]:[worldbank_region]],hbe[],2)</f>
        <v>0.3</v>
      </c>
      <c r="AY67">
        <f>VLOOKUP(all_lmics[[worldbank_region]:[worldbank_region]],hbe[],5)</f>
        <v>0.875</v>
      </c>
      <c r="AZ67">
        <f>VLOOKUP(all_lmics[[worldbank_region]:[worldbank_region]],hbe[],8)</f>
        <v>0.15</v>
      </c>
    </row>
    <row r="68" spans="1:52" x14ac:dyDescent="0.35">
      <c r="A68" s="8" t="s">
        <v>175</v>
      </c>
      <c r="B68" s="10" t="s">
        <v>22</v>
      </c>
      <c r="C68" s="45" t="s">
        <v>21</v>
      </c>
      <c r="D68" s="11" t="s">
        <v>383</v>
      </c>
      <c r="E68">
        <f>VLOOKUP(all_lmics[[Setting]:[Setting]],populations[],9,FALSE)</f>
        <v>178844</v>
      </c>
      <c r="F68">
        <f>VLOOKUP(all_lmics[[Setting]:[Setting]],birthrate[],3,FALSE)</f>
        <v>1.2108000000000001E-2</v>
      </c>
      <c r="G68">
        <f>all_lmics[[#This Row],[2017_population]]*all_lmics[[#This Row],[2016_birthrate]]</f>
        <v>2165.4431520000003</v>
      </c>
      <c r="H68">
        <f>VLOOKUP(all_lmics[[Setting]:[Setting]],birthdose[],4,FALSE)</f>
        <v>0</v>
      </c>
      <c r="I68">
        <f>VLOOKUP(all_lmics[[Setting]:[Setting]],fullvax[],4,FALSE)</f>
        <v>0.8</v>
      </c>
      <c r="J68">
        <f>IFERROR(VLOOKUP(all_lmics[[Setting]:[Setting]],prev[],3,FALSE),0)</f>
        <v>0</v>
      </c>
      <c r="K68">
        <f>IFERROR(VLOOKUP(all_lmics[[Setting]:[Setting]],prev[],4,FALSE),0)</f>
        <v>0</v>
      </c>
      <c r="L68">
        <f>IFERROR(VLOOKUP(all_lmics[[Setting]:[Setting]],prev[],5,FALSE),0)</f>
        <v>0</v>
      </c>
      <c r="M68">
        <f>IFERROR(VLOOKUP(all_lmics[[Setting]:[Setting]],prev[],7,FALSE),0)</f>
        <v>0</v>
      </c>
      <c r="N68">
        <f>IFERROR(VLOOKUP(all_lmics[[Setting]:[Setting]],prev[],6,FALSE),0)</f>
        <v>0</v>
      </c>
      <c r="O68">
        <f>IFERROR(VLOOKUP(all_lmics[[Setting]:[Setting]],SBA[],4,FALSE),0)</f>
        <v>0.98699999999999999</v>
      </c>
      <c r="P68">
        <f>IFERROR(VLOOKUP(all_lmics[[Setting]:[Setting]], facility[], 3,FALSE),0)</f>
        <v>0.9998999999999999</v>
      </c>
      <c r="Q68">
        <f>IFERROR(VLOOKUP(all_lmics[[Setting]:[Setting]],all_cause_mort[],4,FALSE),0)</f>
        <v>1.2635176E-2</v>
      </c>
      <c r="R68">
        <f>IFERROR(VLOOKUP(all_lmics[[Setting]:[Setting]],all_cause_mort[],5,FALSE),0)</f>
        <v>9.2521200000000002E-4</v>
      </c>
      <c r="S68">
        <f>IFERROR(VLOOKUP(all_lmics[[Setting]:[Setting]],all_cause_mort[],6,FALSE),0)</f>
        <v>3.3770734999999998E-4</v>
      </c>
      <c r="T68">
        <f>IFERROR(VLOOKUP(all_lmics[[Setting]:[Setting]],all_cause_mort[],7,FALSE),0)</f>
        <v>3.1369895E-4</v>
      </c>
      <c r="U68">
        <f>IFERROR(VLOOKUP(all_lmics[[Setting]:[Setting]],all_cause_mort[],8,FALSE),0)</f>
        <v>7.4183444E-4</v>
      </c>
      <c r="V68">
        <f>IFERROR(VLOOKUP(all_lmics[[Setting]:[Setting]],all_cause_mort[],9,FALSE),0)</f>
        <v>1.0129577999999999E-3</v>
      </c>
      <c r="W68">
        <f>IFERROR(VLOOKUP(all_lmics[[Setting]:[Setting]],all_cause_mort[],10,FALSE),0)</f>
        <v>1.0756056999999999E-3</v>
      </c>
      <c r="X68">
        <f>IFERROR(VLOOKUP(all_lmics[[Setting]:[Setting]],all_cause_mort[],11,FALSE),0)</f>
        <v>1.2922591000000001E-3</v>
      </c>
      <c r="Y68">
        <f>IFERROR(VLOOKUP(all_lmics[[Setting]:[Setting]],all_cause_mort[],12,FALSE),0)</f>
        <v>1.7795374E-3</v>
      </c>
      <c r="Z68">
        <f>IFERROR(VLOOKUP(all_lmics[[Setting]:[Setting]],all_cause_mort[],13,FALSE),0)</f>
        <v>2.6343921999999998E-3</v>
      </c>
      <c r="AA68">
        <f>IFERROR(VLOOKUP(all_lmics[[Setting]:[Setting]],all_cause_mort[],14,FALSE),0)</f>
        <v>4.1353350000000004E-3</v>
      </c>
      <c r="AB68">
        <f>IFERROR(VLOOKUP(all_lmics[[Setting]:[Setting]],all_cause_mort[],15,FALSE),0)</f>
        <v>6.5300319000000003E-3</v>
      </c>
      <c r="AC68">
        <f>IFERROR(VLOOKUP(all_lmics[[Setting]:[Setting]],all_cause_mort[],16,FALSE),0)</f>
        <v>1.0217173E-2</v>
      </c>
      <c r="AD68">
        <f>IFERROR(VLOOKUP(all_lmics[[Setting]:[Setting]],all_cause_mort[],17,FALSE),0)</f>
        <v>1.2982967E-2</v>
      </c>
      <c r="AE68">
        <f>IFERROR(VLOOKUP(all_lmics[[Setting]:[Setting]],all_cause_mort[],18,FALSE),0)</f>
        <v>1.6715843000000001E-2</v>
      </c>
      <c r="AF68">
        <f>IFERROR(VLOOKUP(all_lmics[[Setting]:[Setting]],all_cause_mort[],19,FALSE),0)</f>
        <v>2.4874704000000001E-2</v>
      </c>
      <c r="AG68">
        <f>IFERROR(VLOOKUP(all_lmics[[Setting]:[Setting]],all_cause_mort[],20,FALSE),0)</f>
        <v>4.3315355E-2</v>
      </c>
      <c r="AH68">
        <f>IFERROR(VLOOKUP(all_lmics[[Setting]:[Setting]],all_cause_mort[],21,FALSE),0)</f>
        <v>7.3372701999999998E-2</v>
      </c>
      <c r="AI68">
        <f>IFERROR(VLOOKUP(all_lmics[[Setting]:[Setting]],all_cause_mort[],22,FALSE),0)</f>
        <v>0.12041904</v>
      </c>
      <c r="AJ68">
        <f>IFERROR(VLOOKUP(all_lmics[[Setting]:[Setting]],all_cause_mort[],23,FALSE),0)</f>
        <v>0.18248128</v>
      </c>
      <c r="AK68">
        <f>IFERROR(VLOOKUP(all_lmics[[Setting]:[Setting]],all_cause_mort[],24,FALSE),0)</f>
        <v>0.25413714999999998</v>
      </c>
      <c r="AL68">
        <f>IFERROR(VLOOKUP(all_lmics[[Setting]:[Setting]],all_cause_mort[],25,FALSE),0)</f>
        <v>0.33605463656934498</v>
      </c>
      <c r="AM68">
        <f>VLOOKUP(all_lmics[[worldbank_region]:[worldbank_region]],Table13[],2,FALSE)</f>
        <v>86.85998699999999</v>
      </c>
      <c r="AN68">
        <f>VLOOKUP(all_lmics[[worldbank_region]:[worldbank_region]],Table13[],3,FALSE)</f>
        <v>86.85998699999999</v>
      </c>
      <c r="AO68">
        <f>VLOOKUP(all_lmics[[worldbank_region]:[worldbank_region]],Table13[],4,FALSE)</f>
        <v>134.58884699999999</v>
      </c>
      <c r="AP68">
        <f>VLOOKUP(all_lmics[[worldbank_region]:[worldbank_region]],Table13[],5,FALSE)</f>
        <v>134.58884699999999</v>
      </c>
      <c r="AQ68">
        <f>VLOOKUP(all_lmics[[worldbank_region]:[worldbank_region]],Table13[],6,FALSE)</f>
        <v>134.58884699999999</v>
      </c>
      <c r="AR68">
        <f>VLOOKUP(all_lmics[[worldbank_region]:[worldbank_region]],Table14[],2,FALSE)</f>
        <v>1.514642</v>
      </c>
      <c r="AS68">
        <f>VLOOKUP(all_lmics[[worldbank_region]:[worldbank_region]],Table14[],3,FALSE)</f>
        <v>2.132142</v>
      </c>
      <c r="AT68">
        <f>VLOOKUP(all_lmics[[worldbank_region]:[worldbank_region]],Table14[],4,FALSE)</f>
        <v>1.5364360000000001</v>
      </c>
      <c r="AU68">
        <f>VLOOKUP(all_lmics[[worldbank_region]:[worldbank_region]],Table14[],5,FALSE)</f>
        <v>2.1539359999999999</v>
      </c>
      <c r="AV68">
        <f>VLOOKUP(all_lmics[[worldbank_region]:[worldbank_region]],Table14[],6,FALSE)</f>
        <v>2.7241879999999998</v>
      </c>
      <c r="AW68">
        <f>IFERROR(VLOOKUP(all_lmics[[Setting]:[Setting]],nFacSBA[],4,FALSE),0)</f>
        <v>0</v>
      </c>
      <c r="AX68">
        <f>VLOOKUP(all_lmics[[worldbank_region]:[worldbank_region]],hbe[],2)</f>
        <v>0.3</v>
      </c>
      <c r="AY68">
        <f>VLOOKUP(all_lmics[[worldbank_region]:[worldbank_region]],hbe[],5)</f>
        <v>0.875</v>
      </c>
      <c r="AZ68">
        <f>VLOOKUP(all_lmics[[worldbank_region]:[worldbank_region]],hbe[],8)</f>
        <v>0.15</v>
      </c>
    </row>
    <row r="69" spans="1:52" x14ac:dyDescent="0.35">
      <c r="A69" s="12" t="s">
        <v>176</v>
      </c>
      <c r="B69" s="13" t="s">
        <v>22</v>
      </c>
      <c r="C69" s="46" t="s">
        <v>21</v>
      </c>
      <c r="D69" s="14" t="s">
        <v>383</v>
      </c>
      <c r="E69">
        <f>VLOOKUP(all_lmics[[Setting]:[Setting]],populations[],9,FALSE)</f>
        <v>109897</v>
      </c>
      <c r="F69">
        <f>VLOOKUP(all_lmics[[Setting]:[Setting]],birthrate[],3,FALSE)</f>
        <v>1.5507E-2</v>
      </c>
      <c r="G69">
        <f>all_lmics[[#This Row],[2017_population]]*all_lmics[[#This Row],[2016_birthrate]]</f>
        <v>1704.172779</v>
      </c>
      <c r="H69">
        <f>VLOOKUP(all_lmics[[Setting]:[Setting]],birthdose[],4,FALSE)</f>
        <v>0.3</v>
      </c>
      <c r="I69">
        <f>VLOOKUP(all_lmics[[Setting]:[Setting]],fullvax[],4,FALSE)</f>
        <v>0.99</v>
      </c>
      <c r="J69">
        <f>IFERROR(VLOOKUP(all_lmics[[Setting]:[Setting]],prev[],3,FALSE),0)</f>
        <v>0</v>
      </c>
      <c r="K69">
        <f>IFERROR(VLOOKUP(all_lmics[[Setting]:[Setting]],prev[],4,FALSE),0)</f>
        <v>0</v>
      </c>
      <c r="L69">
        <f>IFERROR(VLOOKUP(all_lmics[[Setting]:[Setting]],prev[],5,FALSE),0)</f>
        <v>0</v>
      </c>
      <c r="M69">
        <f>IFERROR(VLOOKUP(all_lmics[[Setting]:[Setting]],prev[],7,FALSE),0)</f>
        <v>0</v>
      </c>
      <c r="N69">
        <f>IFERROR(VLOOKUP(all_lmics[[Setting]:[Setting]],prev[],6,FALSE),0)</f>
        <v>0</v>
      </c>
      <c r="O69">
        <f>IFERROR(VLOOKUP(all_lmics[[Setting]:[Setting]],SBA[],4,FALSE),0)</f>
        <v>0.99</v>
      </c>
      <c r="P69">
        <f>IFERROR(VLOOKUP(all_lmics[[Setting]:[Setting]], facility[], 3,FALSE),0)</f>
        <v>0</v>
      </c>
      <c r="Q69">
        <f>IFERROR(VLOOKUP(all_lmics[[Setting]:[Setting]],all_cause_mort[],4,FALSE),0)</f>
        <v>1.4862032000000001E-2</v>
      </c>
      <c r="R69">
        <f>IFERROR(VLOOKUP(all_lmics[[Setting]:[Setting]],all_cause_mort[],5,FALSE),0)</f>
        <v>3.404956E-4</v>
      </c>
      <c r="S69">
        <f>IFERROR(VLOOKUP(all_lmics[[Setting]:[Setting]],all_cause_mort[],6,FALSE),0)</f>
        <v>4.2683378999999999E-4</v>
      </c>
      <c r="T69">
        <f>IFERROR(VLOOKUP(all_lmics[[Setting]:[Setting]],all_cause_mort[],7,FALSE),0)</f>
        <v>4.1188520999999999E-4</v>
      </c>
      <c r="U69">
        <f>IFERROR(VLOOKUP(all_lmics[[Setting]:[Setting]],all_cause_mort[],8,FALSE),0)</f>
        <v>1.0006774999999999E-3</v>
      </c>
      <c r="V69">
        <f>IFERROR(VLOOKUP(all_lmics[[Setting]:[Setting]],all_cause_mort[],9,FALSE),0)</f>
        <v>1.4096149000000001E-3</v>
      </c>
      <c r="W69">
        <f>IFERROR(VLOOKUP(all_lmics[[Setting]:[Setting]],all_cause_mort[],10,FALSE),0)</f>
        <v>1.536681E-3</v>
      </c>
      <c r="X69">
        <f>IFERROR(VLOOKUP(all_lmics[[Setting]:[Setting]],all_cause_mort[],11,FALSE),0)</f>
        <v>1.8326064E-3</v>
      </c>
      <c r="Y69">
        <f>IFERROR(VLOOKUP(all_lmics[[Setting]:[Setting]],all_cause_mort[],12,FALSE),0)</f>
        <v>2.4444193999999999E-3</v>
      </c>
      <c r="Z69">
        <f>IFERROR(VLOOKUP(all_lmics[[Setting]:[Setting]],all_cause_mort[],13,FALSE),0)</f>
        <v>3.5001016E-3</v>
      </c>
      <c r="AA69">
        <f>IFERROR(VLOOKUP(all_lmics[[Setting]:[Setting]],all_cause_mort[],14,FALSE),0)</f>
        <v>5.2736989000000001E-3</v>
      </c>
      <c r="AB69">
        <f>IFERROR(VLOOKUP(all_lmics[[Setting]:[Setting]],all_cause_mort[],15,FALSE),0)</f>
        <v>7.9972917000000008E-3</v>
      </c>
      <c r="AC69">
        <f>IFERROR(VLOOKUP(all_lmics[[Setting]:[Setting]],all_cause_mort[],16,FALSE),0)</f>
        <v>1.2145157E-2</v>
      </c>
      <c r="AD69">
        <f>IFERROR(VLOOKUP(all_lmics[[Setting]:[Setting]],all_cause_mort[],17,FALSE),0)</f>
        <v>1.7280294000000002E-2</v>
      </c>
      <c r="AE69">
        <f>IFERROR(VLOOKUP(all_lmics[[Setting]:[Setting]],all_cause_mort[],18,FALSE),0)</f>
        <v>2.4563299E-2</v>
      </c>
      <c r="AF69">
        <f>IFERROR(VLOOKUP(all_lmics[[Setting]:[Setting]],all_cause_mort[],19,FALSE),0)</f>
        <v>3.7452007000000002E-2</v>
      </c>
      <c r="AG69">
        <f>IFERROR(VLOOKUP(all_lmics[[Setting]:[Setting]],all_cause_mort[],20,FALSE),0)</f>
        <v>6.1087258999999998E-2</v>
      </c>
      <c r="AH69">
        <f>IFERROR(VLOOKUP(all_lmics[[Setting]:[Setting]],all_cause_mort[],21,FALSE),0)</f>
        <v>9.9393161999999993E-2</v>
      </c>
      <c r="AI69">
        <f>IFERROR(VLOOKUP(all_lmics[[Setting]:[Setting]],all_cause_mort[],22,FALSE),0)</f>
        <v>0.15928957999999999</v>
      </c>
      <c r="AJ69">
        <f>IFERROR(VLOOKUP(all_lmics[[Setting]:[Setting]],all_cause_mort[],23,FALSE),0)</f>
        <v>0.24279701000000001</v>
      </c>
      <c r="AK69">
        <f>IFERROR(VLOOKUP(all_lmics[[Setting]:[Setting]],all_cause_mort[],24,FALSE),0)</f>
        <v>0.35271546999999998</v>
      </c>
      <c r="AL69">
        <f>IFERROR(VLOOKUP(all_lmics[[Setting]:[Setting]],all_cause_mort[],25,FALSE),0)</f>
        <v>0.48479397637666799</v>
      </c>
      <c r="AM69">
        <f>VLOOKUP(all_lmics[[worldbank_region]:[worldbank_region]],Table13[],2,FALSE)</f>
        <v>86.85998699999999</v>
      </c>
      <c r="AN69">
        <f>VLOOKUP(all_lmics[[worldbank_region]:[worldbank_region]],Table13[],3,FALSE)</f>
        <v>86.85998699999999</v>
      </c>
      <c r="AO69">
        <f>VLOOKUP(all_lmics[[worldbank_region]:[worldbank_region]],Table13[],4,FALSE)</f>
        <v>134.58884699999999</v>
      </c>
      <c r="AP69">
        <f>VLOOKUP(all_lmics[[worldbank_region]:[worldbank_region]],Table13[],5,FALSE)</f>
        <v>134.58884699999999</v>
      </c>
      <c r="AQ69">
        <f>VLOOKUP(all_lmics[[worldbank_region]:[worldbank_region]],Table13[],6,FALSE)</f>
        <v>134.58884699999999</v>
      </c>
      <c r="AR69">
        <f>VLOOKUP(all_lmics[[worldbank_region]:[worldbank_region]],Table14[],2,FALSE)</f>
        <v>1.514642</v>
      </c>
      <c r="AS69">
        <f>VLOOKUP(all_lmics[[worldbank_region]:[worldbank_region]],Table14[],3,FALSE)</f>
        <v>2.132142</v>
      </c>
      <c r="AT69">
        <f>VLOOKUP(all_lmics[[worldbank_region]:[worldbank_region]],Table14[],4,FALSE)</f>
        <v>1.5364360000000001</v>
      </c>
      <c r="AU69">
        <f>VLOOKUP(all_lmics[[worldbank_region]:[worldbank_region]],Table14[],5,FALSE)</f>
        <v>2.1539359999999999</v>
      </c>
      <c r="AV69">
        <f>VLOOKUP(all_lmics[[worldbank_region]:[worldbank_region]],Table14[],6,FALSE)</f>
        <v>2.7241879999999998</v>
      </c>
      <c r="AW69">
        <f>IFERROR(VLOOKUP(all_lmics[[Setting]:[Setting]],nFacSBA[],4,FALSE),0)</f>
        <v>0</v>
      </c>
      <c r="AX69">
        <f>VLOOKUP(all_lmics[[worldbank_region]:[worldbank_region]],hbe[],2)</f>
        <v>0.3</v>
      </c>
      <c r="AY69">
        <f>VLOOKUP(all_lmics[[worldbank_region]:[worldbank_region]],hbe[],5)</f>
        <v>0.875</v>
      </c>
      <c r="AZ69">
        <f>VLOOKUP(all_lmics[[worldbank_region]:[worldbank_region]],hbe[],8)</f>
        <v>0.15</v>
      </c>
    </row>
    <row r="70" spans="1:52" x14ac:dyDescent="0.35">
      <c r="A70" s="8" t="s">
        <v>195</v>
      </c>
      <c r="B70" s="10" t="s">
        <v>22</v>
      </c>
      <c r="C70" s="45" t="s">
        <v>21</v>
      </c>
      <c r="D70" s="11" t="s">
        <v>383</v>
      </c>
      <c r="E70">
        <f>VLOOKUP(all_lmics[[Setting]:[Setting]],populations[],9,FALSE)</f>
        <v>563402</v>
      </c>
      <c r="F70">
        <f>VLOOKUP(all_lmics[[Setting]:[Setting]],birthrate[],3,FALSE)</f>
        <v>1.8216E-2</v>
      </c>
      <c r="G70">
        <f>all_lmics[[#This Row],[2017_population]]*all_lmics[[#This Row],[2016_birthrate]]</f>
        <v>10262.930832</v>
      </c>
      <c r="H70">
        <f>VLOOKUP(all_lmics[[Setting]:[Setting]],birthdose[],4,FALSE)</f>
        <v>0.8</v>
      </c>
      <c r="I70">
        <f>VLOOKUP(all_lmics[[Setting]:[Setting]],fullvax[],4,FALSE)</f>
        <v>0.81</v>
      </c>
      <c r="J70">
        <f>IFERROR(VLOOKUP(all_lmics[[Setting]:[Setting]],prev[],3,FALSE),0)</f>
        <v>3.9100000000000003E-2</v>
      </c>
      <c r="K70">
        <f>IFERROR(VLOOKUP(all_lmics[[Setting]:[Setting]],prev[],4,FALSE),0)</f>
        <v>2.9700000000000001E-2</v>
      </c>
      <c r="L70">
        <f>IFERROR(VLOOKUP(all_lmics[[Setting]:[Setting]],prev[],5,FALSE),0)</f>
        <v>5.1400000000000001E-2</v>
      </c>
      <c r="M70">
        <f>IFERROR(VLOOKUP(all_lmics[[Setting]:[Setting]],prev[],7,FALSE),0)</f>
        <v>6.2755102040816316E-3</v>
      </c>
      <c r="N70">
        <f>IFERROR(VLOOKUP(all_lmics[[Setting]:[Setting]],prev[],6,FALSE),0)</f>
        <v>526103</v>
      </c>
      <c r="O70">
        <f>IFERROR(VLOOKUP(all_lmics[[Setting]:[Setting]],SBA[],4,FALSE),0)</f>
        <v>0.8</v>
      </c>
      <c r="P70">
        <f>IFERROR(VLOOKUP(all_lmics[[Setting]:[Setting]], facility[], 3,FALSE),0)</f>
        <v>0.92299999999999993</v>
      </c>
      <c r="Q70">
        <f>IFERROR(VLOOKUP(all_lmics[[Setting]:[Setting]],all_cause_mort[],4,FALSE),0)</f>
        <v>1.7777304000000001E-2</v>
      </c>
      <c r="R70">
        <f>IFERROR(VLOOKUP(all_lmics[[Setting]:[Setting]],all_cause_mort[],5,FALSE),0)</f>
        <v>5.2781243000000002E-4</v>
      </c>
      <c r="S70">
        <f>IFERROR(VLOOKUP(all_lmics[[Setting]:[Setting]],all_cause_mort[],6,FALSE),0)</f>
        <v>5.5168294999999995E-4</v>
      </c>
      <c r="T70">
        <f>IFERROR(VLOOKUP(all_lmics[[Setting]:[Setting]],all_cause_mort[],7,FALSE),0)</f>
        <v>3.1566464E-4</v>
      </c>
      <c r="U70">
        <f>IFERROR(VLOOKUP(all_lmics[[Setting]:[Setting]],all_cause_mort[],8,FALSE),0)</f>
        <v>5.7592972999999999E-4</v>
      </c>
      <c r="V70">
        <f>IFERROR(VLOOKUP(all_lmics[[Setting]:[Setting]],all_cause_mort[],9,FALSE),0)</f>
        <v>1.1778171999999999E-3</v>
      </c>
      <c r="W70">
        <f>IFERROR(VLOOKUP(all_lmics[[Setting]:[Setting]],all_cause_mort[],10,FALSE),0)</f>
        <v>1.9046491E-3</v>
      </c>
      <c r="X70">
        <f>IFERROR(VLOOKUP(all_lmics[[Setting]:[Setting]],all_cause_mort[],11,FALSE),0)</f>
        <v>2.5845357E-3</v>
      </c>
      <c r="Y70">
        <f>IFERROR(VLOOKUP(all_lmics[[Setting]:[Setting]],all_cause_mort[],12,FALSE),0)</f>
        <v>3.2410093000000001E-3</v>
      </c>
      <c r="Z70">
        <f>IFERROR(VLOOKUP(all_lmics[[Setting]:[Setting]],all_cause_mort[],13,FALSE),0)</f>
        <v>3.9719279E-3</v>
      </c>
      <c r="AA70">
        <f>IFERROR(VLOOKUP(all_lmics[[Setting]:[Setting]],all_cause_mort[],14,FALSE),0)</f>
        <v>5.1181836999999999E-3</v>
      </c>
      <c r="AB70">
        <f>IFERROR(VLOOKUP(all_lmics[[Setting]:[Setting]],all_cause_mort[],15,FALSE),0)</f>
        <v>7.4558296E-3</v>
      </c>
      <c r="AC70">
        <f>IFERROR(VLOOKUP(all_lmics[[Setting]:[Setting]],all_cause_mort[],16,FALSE),0)</f>
        <v>1.1667092E-2</v>
      </c>
      <c r="AD70">
        <f>IFERROR(VLOOKUP(all_lmics[[Setting]:[Setting]],all_cause_mort[],17,FALSE),0)</f>
        <v>1.8290562999999999E-2</v>
      </c>
      <c r="AE70">
        <f>IFERROR(VLOOKUP(all_lmics[[Setting]:[Setting]],all_cause_mort[],18,FALSE),0)</f>
        <v>2.8251730999999999E-2</v>
      </c>
      <c r="AF70">
        <f>IFERROR(VLOOKUP(all_lmics[[Setting]:[Setting]],all_cause_mort[],19,FALSE),0)</f>
        <v>4.3296299000000003E-2</v>
      </c>
      <c r="AG70">
        <f>IFERROR(VLOOKUP(all_lmics[[Setting]:[Setting]],all_cause_mort[],20,FALSE),0)</f>
        <v>6.6042428E-2</v>
      </c>
      <c r="AH70">
        <f>IFERROR(VLOOKUP(all_lmics[[Setting]:[Setting]],all_cause_mort[],21,FALSE),0)</f>
        <v>0.10010595</v>
      </c>
      <c r="AI70">
        <f>IFERROR(VLOOKUP(all_lmics[[Setting]:[Setting]],all_cause_mort[],22,FALSE),0)</f>
        <v>0.14854708999999999</v>
      </c>
      <c r="AJ70">
        <f>IFERROR(VLOOKUP(all_lmics[[Setting]:[Setting]],all_cause_mort[],23,FALSE),0)</f>
        <v>0.21396841</v>
      </c>
      <c r="AK70">
        <f>IFERROR(VLOOKUP(all_lmics[[Setting]:[Setting]],all_cause_mort[],24,FALSE),0)</f>
        <v>0.29570102999999998</v>
      </c>
      <c r="AL70">
        <f>IFERROR(VLOOKUP(all_lmics[[Setting]:[Setting]],all_cause_mort[],25,FALSE),0)</f>
        <v>0.40853488197468102</v>
      </c>
      <c r="AM70">
        <f>VLOOKUP(all_lmics[[worldbank_region]:[worldbank_region]],Table13[],2,FALSE)</f>
        <v>86.85998699999999</v>
      </c>
      <c r="AN70">
        <f>VLOOKUP(all_lmics[[worldbank_region]:[worldbank_region]],Table13[],3,FALSE)</f>
        <v>86.85998699999999</v>
      </c>
      <c r="AO70">
        <f>VLOOKUP(all_lmics[[worldbank_region]:[worldbank_region]],Table13[],4,FALSE)</f>
        <v>134.58884699999999</v>
      </c>
      <c r="AP70">
        <f>VLOOKUP(all_lmics[[worldbank_region]:[worldbank_region]],Table13[],5,FALSE)</f>
        <v>134.58884699999999</v>
      </c>
      <c r="AQ70">
        <f>VLOOKUP(all_lmics[[worldbank_region]:[worldbank_region]],Table13[],6,FALSE)</f>
        <v>134.58884699999999</v>
      </c>
      <c r="AR70">
        <f>VLOOKUP(all_lmics[[worldbank_region]:[worldbank_region]],Table14[],2,FALSE)</f>
        <v>1.514642</v>
      </c>
      <c r="AS70">
        <f>VLOOKUP(all_lmics[[worldbank_region]:[worldbank_region]],Table14[],3,FALSE)</f>
        <v>2.132142</v>
      </c>
      <c r="AT70">
        <f>VLOOKUP(all_lmics[[worldbank_region]:[worldbank_region]],Table14[],4,FALSE)</f>
        <v>1.5364360000000001</v>
      </c>
      <c r="AU70">
        <f>VLOOKUP(all_lmics[[worldbank_region]:[worldbank_region]],Table14[],5,FALSE)</f>
        <v>2.1539359999999999</v>
      </c>
      <c r="AV70">
        <f>VLOOKUP(all_lmics[[worldbank_region]:[worldbank_region]],Table14[],6,FALSE)</f>
        <v>2.7241879999999998</v>
      </c>
      <c r="AW70">
        <f>IFERROR(VLOOKUP(all_lmics[[Setting]:[Setting]],nFacSBA[],4,FALSE),0)</f>
        <v>0.57676644532060584</v>
      </c>
      <c r="AX70">
        <f>VLOOKUP(all_lmics[[worldbank_region]:[worldbank_region]],hbe[],2)</f>
        <v>0.3</v>
      </c>
      <c r="AY70">
        <f>VLOOKUP(all_lmics[[worldbank_region]:[worldbank_region]],hbe[],5)</f>
        <v>0.875</v>
      </c>
      <c r="AZ70">
        <f>VLOOKUP(all_lmics[[worldbank_region]:[worldbank_region]],hbe[],8)</f>
        <v>0.15</v>
      </c>
    </row>
    <row r="71" spans="1:52" x14ac:dyDescent="0.35">
      <c r="A71" s="12" t="s">
        <v>206</v>
      </c>
      <c r="B71" s="13" t="s">
        <v>22</v>
      </c>
      <c r="C71" s="46" t="s">
        <v>21</v>
      </c>
      <c r="D71" s="14" t="s">
        <v>383</v>
      </c>
      <c r="E71">
        <f>VLOOKUP(all_lmics[[Setting]:[Setting]],populations[],9,FALSE)</f>
        <v>1369125</v>
      </c>
      <c r="F71">
        <f>VLOOKUP(all_lmics[[Setting]:[Setting]],birthrate[],3,FALSE)</f>
        <v>1.3608E-2</v>
      </c>
      <c r="G71">
        <f>all_lmics[[#This Row],[2017_population]]*all_lmics[[#This Row],[2016_birthrate]]</f>
        <v>18631.053</v>
      </c>
      <c r="H71">
        <f>VLOOKUP(all_lmics[[Setting]:[Setting]],birthdose[],4,FALSE)</f>
        <v>0</v>
      </c>
      <c r="I71">
        <f>VLOOKUP(all_lmics[[Setting]:[Setting]],fullvax[],4,FALSE)</f>
        <v>0.89</v>
      </c>
      <c r="J71">
        <f>IFERROR(VLOOKUP(all_lmics[[Setting]:[Setting]],prev[],3,FALSE),0)</f>
        <v>0</v>
      </c>
      <c r="K71">
        <f>IFERROR(VLOOKUP(all_lmics[[Setting]:[Setting]],prev[],4,FALSE),0)</f>
        <v>0</v>
      </c>
      <c r="L71">
        <f>IFERROR(VLOOKUP(all_lmics[[Setting]:[Setting]],prev[],5,FALSE),0)</f>
        <v>0</v>
      </c>
      <c r="M71">
        <f>IFERROR(VLOOKUP(all_lmics[[Setting]:[Setting]],prev[],7,FALSE),0)</f>
        <v>0</v>
      </c>
      <c r="N71">
        <f>IFERROR(VLOOKUP(all_lmics[[Setting]:[Setting]],prev[],6,FALSE),0)</f>
        <v>0</v>
      </c>
      <c r="O71">
        <f>IFERROR(VLOOKUP(all_lmics[[Setting]:[Setting]],SBA[],4,FALSE),0)</f>
        <v>0.9998999999999999</v>
      </c>
      <c r="P71">
        <f>IFERROR(VLOOKUP(all_lmics[[Setting]:[Setting]], facility[], 3,FALSE),0)</f>
        <v>0.97900000000000009</v>
      </c>
      <c r="Q71">
        <f>IFERROR(VLOOKUP(all_lmics[[Setting]:[Setting]],all_cause_mort[],4,FALSE),0)</f>
        <v>2.2422760999999999E-2</v>
      </c>
      <c r="R71">
        <f>IFERROR(VLOOKUP(all_lmics[[Setting]:[Setting]],all_cause_mort[],5,FALSE),0)</f>
        <v>1.0076786999999999E-3</v>
      </c>
      <c r="S71">
        <f>IFERROR(VLOOKUP(all_lmics[[Setting]:[Setting]],all_cause_mort[],6,FALSE),0)</f>
        <v>4.7437484999999997E-4</v>
      </c>
      <c r="T71">
        <f>IFERROR(VLOOKUP(all_lmics[[Setting]:[Setting]],all_cause_mort[],7,FALSE),0)</f>
        <v>4.0728085000000001E-4</v>
      </c>
      <c r="U71">
        <f>IFERROR(VLOOKUP(all_lmics[[Setting]:[Setting]],all_cause_mort[],8,FALSE),0)</f>
        <v>8.5422959E-4</v>
      </c>
      <c r="V71">
        <f>IFERROR(VLOOKUP(all_lmics[[Setting]:[Setting]],all_cause_mort[],9,FALSE),0)</f>
        <v>1.1384832999999999E-3</v>
      </c>
      <c r="W71">
        <f>IFERROR(VLOOKUP(all_lmics[[Setting]:[Setting]],all_cause_mort[],10,FALSE),0)</f>
        <v>1.2087580999999999E-3</v>
      </c>
      <c r="X71">
        <f>IFERROR(VLOOKUP(all_lmics[[Setting]:[Setting]],all_cause_mort[],11,FALSE),0)</f>
        <v>1.4488840999999999E-3</v>
      </c>
      <c r="Y71">
        <f>IFERROR(VLOOKUP(all_lmics[[Setting]:[Setting]],all_cause_mort[],12,FALSE),0)</f>
        <v>1.9764108999999999E-3</v>
      </c>
      <c r="Z71">
        <f>IFERROR(VLOOKUP(all_lmics[[Setting]:[Setting]],all_cause_mort[],13,FALSE),0)</f>
        <v>2.8892074000000001E-3</v>
      </c>
      <c r="AA71">
        <f>IFERROR(VLOOKUP(all_lmics[[Setting]:[Setting]],all_cause_mort[],14,FALSE),0)</f>
        <v>4.4974782999999997E-3</v>
      </c>
      <c r="AB71">
        <f>IFERROR(VLOOKUP(all_lmics[[Setting]:[Setting]],all_cause_mort[],15,FALSE),0)</f>
        <v>7.0594359000000001E-3</v>
      </c>
      <c r="AC71">
        <f>IFERROR(VLOOKUP(all_lmics[[Setting]:[Setting]],all_cause_mort[],16,FALSE),0)</f>
        <v>1.1120982E-2</v>
      </c>
      <c r="AD71">
        <f>IFERROR(VLOOKUP(all_lmics[[Setting]:[Setting]],all_cause_mort[],17,FALSE),0)</f>
        <v>1.5268308E-2</v>
      </c>
      <c r="AE71">
        <f>IFERROR(VLOOKUP(all_lmics[[Setting]:[Setting]],all_cause_mort[],18,FALSE),0)</f>
        <v>2.0908439000000001E-2</v>
      </c>
      <c r="AF71">
        <f>IFERROR(VLOOKUP(all_lmics[[Setting]:[Setting]],all_cause_mort[],19,FALSE),0)</f>
        <v>3.1839046000000003E-2</v>
      </c>
      <c r="AG71">
        <f>IFERROR(VLOOKUP(all_lmics[[Setting]:[Setting]],all_cause_mort[],20,FALSE),0)</f>
        <v>5.3989796E-2</v>
      </c>
      <c r="AH71">
        <f>IFERROR(VLOOKUP(all_lmics[[Setting]:[Setting]],all_cause_mort[],21,FALSE),0)</f>
        <v>8.8641632999999997E-2</v>
      </c>
      <c r="AI71">
        <f>IFERROR(VLOOKUP(all_lmics[[Setting]:[Setting]],all_cause_mort[],22,FALSE),0)</f>
        <v>0.14111916999999999</v>
      </c>
      <c r="AJ71">
        <f>IFERROR(VLOOKUP(all_lmics[[Setting]:[Setting]],all_cause_mort[],23,FALSE),0)</f>
        <v>0.21149846999999999</v>
      </c>
      <c r="AK71">
        <f>IFERROR(VLOOKUP(all_lmics[[Setting]:[Setting]],all_cause_mort[],24,FALSE),0)</f>
        <v>0.30194914</v>
      </c>
      <c r="AL71">
        <f>IFERROR(VLOOKUP(all_lmics[[Setting]:[Setting]],all_cause_mort[],25,FALSE),0)</f>
        <v>0.41138789151322802</v>
      </c>
      <c r="AM71">
        <f>VLOOKUP(all_lmics[[worldbank_region]:[worldbank_region]],Table13[],2,FALSE)</f>
        <v>86.85998699999999</v>
      </c>
      <c r="AN71">
        <f>VLOOKUP(all_lmics[[worldbank_region]:[worldbank_region]],Table13[],3,FALSE)</f>
        <v>86.85998699999999</v>
      </c>
      <c r="AO71">
        <f>VLOOKUP(all_lmics[[worldbank_region]:[worldbank_region]],Table13[],4,FALSE)</f>
        <v>134.58884699999999</v>
      </c>
      <c r="AP71">
        <f>VLOOKUP(all_lmics[[worldbank_region]:[worldbank_region]],Table13[],5,FALSE)</f>
        <v>134.58884699999999</v>
      </c>
      <c r="AQ71">
        <f>VLOOKUP(all_lmics[[worldbank_region]:[worldbank_region]],Table13[],6,FALSE)</f>
        <v>134.58884699999999</v>
      </c>
      <c r="AR71">
        <f>VLOOKUP(all_lmics[[worldbank_region]:[worldbank_region]],Table14[],2,FALSE)</f>
        <v>1.514642</v>
      </c>
      <c r="AS71">
        <f>VLOOKUP(all_lmics[[worldbank_region]:[worldbank_region]],Table14[],3,FALSE)</f>
        <v>2.132142</v>
      </c>
      <c r="AT71">
        <f>VLOOKUP(all_lmics[[worldbank_region]:[worldbank_region]],Table14[],4,FALSE)</f>
        <v>1.5364360000000001</v>
      </c>
      <c r="AU71">
        <f>VLOOKUP(all_lmics[[worldbank_region]:[worldbank_region]],Table14[],5,FALSE)</f>
        <v>2.1539359999999999</v>
      </c>
      <c r="AV71">
        <f>VLOOKUP(all_lmics[[worldbank_region]:[worldbank_region]],Table14[],6,FALSE)</f>
        <v>2.7241879999999998</v>
      </c>
      <c r="AW71">
        <f>IFERROR(VLOOKUP(all_lmics[[Setting]:[Setting]],nFacSBA[],4,FALSE),0)</f>
        <v>0</v>
      </c>
      <c r="AX71">
        <f>VLOOKUP(all_lmics[[worldbank_region]:[worldbank_region]],hbe[],2)</f>
        <v>0.3</v>
      </c>
      <c r="AY71">
        <f>VLOOKUP(all_lmics[[worldbank_region]:[worldbank_region]],hbe[],5)</f>
        <v>0.875</v>
      </c>
      <c r="AZ71">
        <f>VLOOKUP(all_lmics[[worldbank_region]:[worldbank_region]],hbe[],8)</f>
        <v>0.15</v>
      </c>
    </row>
    <row r="72" spans="1:52" x14ac:dyDescent="0.35">
      <c r="A72" s="8" t="s">
        <v>217</v>
      </c>
      <c r="B72" s="10" t="s">
        <v>22</v>
      </c>
      <c r="C72" s="45" t="s">
        <v>21</v>
      </c>
      <c r="D72" s="11" t="s">
        <v>383</v>
      </c>
      <c r="E72">
        <f>VLOOKUP(all_lmics[[Setting]:[Setting]],populations[],9,FALSE)</f>
        <v>3456750</v>
      </c>
      <c r="F72">
        <f>VLOOKUP(all_lmics[[Setting]:[Setting]],birthrate[],3,FALSE)</f>
        <v>1.4034000000000001E-2</v>
      </c>
      <c r="G72">
        <f>all_lmics[[#This Row],[2017_population]]*all_lmics[[#This Row],[2016_birthrate]]</f>
        <v>48512.029500000004</v>
      </c>
      <c r="H72">
        <f>VLOOKUP(all_lmics[[Setting]:[Setting]],birthdose[],4,FALSE)</f>
        <v>0</v>
      </c>
      <c r="I72">
        <f>VLOOKUP(all_lmics[[Setting]:[Setting]],fullvax[],4,FALSE)</f>
        <v>0.95</v>
      </c>
      <c r="J72">
        <f>IFERROR(VLOOKUP(all_lmics[[Setting]:[Setting]],prev[],3,FALSE),0)</f>
        <v>0</v>
      </c>
      <c r="K72">
        <f>IFERROR(VLOOKUP(all_lmics[[Setting]:[Setting]],prev[],4,FALSE),0)</f>
        <v>0</v>
      </c>
      <c r="L72">
        <f>IFERROR(VLOOKUP(all_lmics[[Setting]:[Setting]],prev[],5,FALSE),0)</f>
        <v>0</v>
      </c>
      <c r="M72">
        <f>IFERROR(VLOOKUP(all_lmics[[Setting]:[Setting]],prev[],7,FALSE),0)</f>
        <v>0</v>
      </c>
      <c r="N72">
        <f>IFERROR(VLOOKUP(all_lmics[[Setting]:[Setting]],prev[],6,FALSE),0)</f>
        <v>0</v>
      </c>
      <c r="O72">
        <f>IFERROR(VLOOKUP(all_lmics[[Setting]:[Setting]],SBA[],4,FALSE),0)</f>
        <v>0.99900000000000011</v>
      </c>
      <c r="P72">
        <f>IFERROR(VLOOKUP(all_lmics[[Setting]:[Setting]], facility[], 3,FALSE),0)</f>
        <v>0.995</v>
      </c>
      <c r="Q72">
        <f>IFERROR(VLOOKUP(all_lmics[[Setting]:[Setting]],all_cause_mort[],4,FALSE),0)</f>
        <v>8.7716728999999993E-3</v>
      </c>
      <c r="R72">
        <f>IFERROR(VLOOKUP(all_lmics[[Setting]:[Setting]],all_cause_mort[],5,FALSE),0)</f>
        <v>4.1619661000000003E-4</v>
      </c>
      <c r="S72">
        <f>IFERROR(VLOOKUP(all_lmics[[Setting]:[Setting]],all_cause_mort[],6,FALSE),0)</f>
        <v>2.0511039999999999E-4</v>
      </c>
      <c r="T72">
        <f>IFERROR(VLOOKUP(all_lmics[[Setting]:[Setting]],all_cause_mort[],7,FALSE),0)</f>
        <v>2.3066524999999999E-4</v>
      </c>
      <c r="U72">
        <f>IFERROR(VLOOKUP(all_lmics[[Setting]:[Setting]],all_cause_mort[],8,FALSE),0)</f>
        <v>6.0393458000000005E-4</v>
      </c>
      <c r="V72">
        <f>IFERROR(VLOOKUP(all_lmics[[Setting]:[Setting]],all_cause_mort[],9,FALSE),0)</f>
        <v>8.3242649000000004E-4</v>
      </c>
      <c r="W72">
        <f>IFERROR(VLOOKUP(all_lmics[[Setting]:[Setting]],all_cause_mort[],10,FALSE),0)</f>
        <v>9.9058468999999993E-4</v>
      </c>
      <c r="X72">
        <f>IFERROR(VLOOKUP(all_lmics[[Setting]:[Setting]],all_cause_mort[],11,FALSE),0)</f>
        <v>1.1377201999999999E-3</v>
      </c>
      <c r="Y72">
        <f>IFERROR(VLOOKUP(all_lmics[[Setting]:[Setting]],all_cause_mort[],12,FALSE),0)</f>
        <v>1.4291614999999999E-3</v>
      </c>
      <c r="Z72">
        <f>IFERROR(VLOOKUP(all_lmics[[Setting]:[Setting]],all_cause_mort[],13,FALSE),0)</f>
        <v>2.2225538000000002E-3</v>
      </c>
      <c r="AA72">
        <f>IFERROR(VLOOKUP(all_lmics[[Setting]:[Setting]],all_cause_mort[],14,FALSE),0)</f>
        <v>3.2744535999999999E-3</v>
      </c>
      <c r="AB72">
        <f>IFERROR(VLOOKUP(all_lmics[[Setting]:[Setting]],all_cause_mort[],15,FALSE),0)</f>
        <v>4.8694804E-3</v>
      </c>
      <c r="AC72">
        <f>IFERROR(VLOOKUP(all_lmics[[Setting]:[Setting]],all_cause_mort[],16,FALSE),0)</f>
        <v>7.6171991000000003E-3</v>
      </c>
      <c r="AD72">
        <f>IFERROR(VLOOKUP(all_lmics[[Setting]:[Setting]],all_cause_mort[],17,FALSE),0)</f>
        <v>1.2025032E-2</v>
      </c>
      <c r="AE72">
        <f>IFERROR(VLOOKUP(all_lmics[[Setting]:[Setting]],all_cause_mort[],18,FALSE),0)</f>
        <v>1.8833107000000002E-2</v>
      </c>
      <c r="AF72">
        <f>IFERROR(VLOOKUP(all_lmics[[Setting]:[Setting]],all_cause_mort[],19,FALSE),0)</f>
        <v>2.8683631000000001E-2</v>
      </c>
      <c r="AG72">
        <f>IFERROR(VLOOKUP(all_lmics[[Setting]:[Setting]],all_cause_mort[],20,FALSE),0)</f>
        <v>4.3755345000000001E-2</v>
      </c>
      <c r="AH72">
        <f>IFERROR(VLOOKUP(all_lmics[[Setting]:[Setting]],all_cause_mort[],21,FALSE),0)</f>
        <v>6.6130916999999997E-2</v>
      </c>
      <c r="AI72">
        <f>IFERROR(VLOOKUP(all_lmics[[Setting]:[Setting]],all_cause_mort[],22,FALSE),0)</f>
        <v>9.7759797999999995E-2</v>
      </c>
      <c r="AJ72">
        <f>IFERROR(VLOOKUP(all_lmics[[Setting]:[Setting]],all_cause_mort[],23,FALSE),0)</f>
        <v>0.14280829</v>
      </c>
      <c r="AK72">
        <f>IFERROR(VLOOKUP(all_lmics[[Setting]:[Setting]],all_cause_mort[],24,FALSE),0)</f>
        <v>0.20500702000000001</v>
      </c>
      <c r="AL72">
        <f>IFERROR(VLOOKUP(all_lmics[[Setting]:[Setting]],all_cause_mort[],25,FALSE),0)</f>
        <v>0.31089530417203798</v>
      </c>
      <c r="AM72">
        <f>VLOOKUP(all_lmics[[worldbank_region]:[worldbank_region]],Table13[],2,FALSE)</f>
        <v>86.85998699999999</v>
      </c>
      <c r="AN72">
        <f>VLOOKUP(all_lmics[[worldbank_region]:[worldbank_region]],Table13[],3,FALSE)</f>
        <v>86.85998699999999</v>
      </c>
      <c r="AO72">
        <f>VLOOKUP(all_lmics[[worldbank_region]:[worldbank_region]],Table13[],4,FALSE)</f>
        <v>134.58884699999999</v>
      </c>
      <c r="AP72">
        <f>VLOOKUP(all_lmics[[worldbank_region]:[worldbank_region]],Table13[],5,FALSE)</f>
        <v>134.58884699999999</v>
      </c>
      <c r="AQ72">
        <f>VLOOKUP(all_lmics[[worldbank_region]:[worldbank_region]],Table13[],6,FALSE)</f>
        <v>134.58884699999999</v>
      </c>
      <c r="AR72">
        <f>VLOOKUP(all_lmics[[worldbank_region]:[worldbank_region]],Table14[],2,FALSE)</f>
        <v>1.514642</v>
      </c>
      <c r="AS72">
        <f>VLOOKUP(all_lmics[[worldbank_region]:[worldbank_region]],Table14[],3,FALSE)</f>
        <v>2.132142</v>
      </c>
      <c r="AT72">
        <f>VLOOKUP(all_lmics[[worldbank_region]:[worldbank_region]],Table14[],4,FALSE)</f>
        <v>1.5364360000000001</v>
      </c>
      <c r="AU72">
        <f>VLOOKUP(all_lmics[[worldbank_region]:[worldbank_region]],Table14[],5,FALSE)</f>
        <v>2.1539359999999999</v>
      </c>
      <c r="AV72">
        <f>VLOOKUP(all_lmics[[worldbank_region]:[worldbank_region]],Table14[],6,FALSE)</f>
        <v>2.7241879999999998</v>
      </c>
      <c r="AW72">
        <f>IFERROR(VLOOKUP(all_lmics[[Setting]:[Setting]],nFacSBA[],4,FALSE),0)</f>
        <v>0</v>
      </c>
      <c r="AX72">
        <f>VLOOKUP(all_lmics[[worldbank_region]:[worldbank_region]],hbe[],2)</f>
        <v>0.3</v>
      </c>
      <c r="AY72">
        <f>VLOOKUP(all_lmics[[worldbank_region]:[worldbank_region]],hbe[],5)</f>
        <v>0.875</v>
      </c>
      <c r="AZ72">
        <f>VLOOKUP(all_lmics[[worldbank_region]:[worldbank_region]],hbe[],8)</f>
        <v>0.15</v>
      </c>
    </row>
    <row r="73" spans="1:52" x14ac:dyDescent="0.35">
      <c r="A73" s="12" t="s">
        <v>220</v>
      </c>
      <c r="B73" s="13" t="s">
        <v>22</v>
      </c>
      <c r="C73" s="46" t="s">
        <v>21</v>
      </c>
      <c r="D73" s="14" t="s">
        <v>383</v>
      </c>
      <c r="E73">
        <f>VLOOKUP(all_lmics[[Setting]:[Setting]],populations[],9,FALSE)</f>
        <v>31977065</v>
      </c>
      <c r="F73">
        <f>VLOOKUP(all_lmics[[Setting]:[Setting]],birthrate[],3,FALSE)</f>
        <v>1.9030000000000002E-2</v>
      </c>
      <c r="G73">
        <f>all_lmics[[#This Row],[2017_population]]*all_lmics[[#This Row],[2016_birthrate]]</f>
        <v>608523.54695000011</v>
      </c>
      <c r="H73">
        <f>VLOOKUP(all_lmics[[Setting]:[Setting]],birthdose[],4,FALSE)</f>
        <v>0.56000000000000005</v>
      </c>
      <c r="I73">
        <f>VLOOKUP(all_lmics[[Setting]:[Setting]],fullvax[],4,FALSE)</f>
        <v>0.84</v>
      </c>
      <c r="J73">
        <f>IFERROR(VLOOKUP(all_lmics[[Setting]:[Setting]],prev[],3,FALSE),0)</f>
        <v>1.2E-2</v>
      </c>
      <c r="K73">
        <f>IFERROR(VLOOKUP(all_lmics[[Setting]:[Setting]],prev[],4,FALSE),0)</f>
        <v>1.0999999999999999E-2</v>
      </c>
      <c r="L73">
        <f>IFERROR(VLOOKUP(all_lmics[[Setting]:[Setting]],prev[],5,FALSE),0)</f>
        <v>1.7999999999999999E-2</v>
      </c>
      <c r="M73">
        <f>IFERROR(VLOOKUP(all_lmics[[Setting]:[Setting]],prev[],7,FALSE),0)</f>
        <v>3.0612244897959178E-3</v>
      </c>
      <c r="N73">
        <f>IFERROR(VLOOKUP(all_lmics[[Setting]:[Setting]],prev[],6,FALSE),0)</f>
        <v>31977065</v>
      </c>
      <c r="O73">
        <f>IFERROR(VLOOKUP(all_lmics[[Setting]:[Setting]],SBA[],4,FALSE),0)</f>
        <v>0.96200000000000008</v>
      </c>
      <c r="P73">
        <f>IFERROR(VLOOKUP(all_lmics[[Setting]:[Setting]], facility[], 3,FALSE),0)</f>
        <v>0.98939999999999995</v>
      </c>
      <c r="Q73">
        <f>IFERROR(VLOOKUP(all_lmics[[Setting]:[Setting]],all_cause_mort[],4,FALSE),0)</f>
        <v>2.6294669999999999E-2</v>
      </c>
      <c r="R73">
        <f>IFERROR(VLOOKUP(all_lmics[[Setting]:[Setting]],all_cause_mort[],5,FALSE),0)</f>
        <v>1.3265407E-3</v>
      </c>
      <c r="S73">
        <f>IFERROR(VLOOKUP(all_lmics[[Setting]:[Setting]],all_cause_mort[],6,FALSE),0)</f>
        <v>2.4088156000000001E-4</v>
      </c>
      <c r="T73">
        <f>IFERROR(VLOOKUP(all_lmics[[Setting]:[Setting]],all_cause_mort[],7,FALSE),0)</f>
        <v>3.4739594E-4</v>
      </c>
      <c r="U73">
        <f>IFERROR(VLOOKUP(all_lmics[[Setting]:[Setting]],all_cause_mort[],8,FALSE),0)</f>
        <v>1.4227375E-3</v>
      </c>
      <c r="V73">
        <f>IFERROR(VLOOKUP(all_lmics[[Setting]:[Setting]],all_cause_mort[],9,FALSE),0)</f>
        <v>2.2151191999999998E-3</v>
      </c>
      <c r="W73">
        <f>IFERROR(VLOOKUP(all_lmics[[Setting]:[Setting]],all_cause_mort[],10,FALSE),0)</f>
        <v>2.1772561999999999E-3</v>
      </c>
      <c r="X73">
        <f>IFERROR(VLOOKUP(all_lmics[[Setting]:[Setting]],all_cause_mort[],11,FALSE),0)</f>
        <v>2.1400044000000002E-3</v>
      </c>
      <c r="Y73">
        <f>IFERROR(VLOOKUP(all_lmics[[Setting]:[Setting]],all_cause_mort[],12,FALSE),0)</f>
        <v>2.1075536000000001E-3</v>
      </c>
      <c r="Z73">
        <f>IFERROR(VLOOKUP(all_lmics[[Setting]:[Setting]],all_cause_mort[],13,FALSE),0)</f>
        <v>2.6658009000000002E-3</v>
      </c>
      <c r="AA73">
        <f>IFERROR(VLOOKUP(all_lmics[[Setting]:[Setting]],all_cause_mort[],14,FALSE),0)</f>
        <v>3.9784727999999997E-3</v>
      </c>
      <c r="AB73">
        <f>IFERROR(VLOOKUP(all_lmics[[Setting]:[Setting]],all_cause_mort[],15,FALSE),0)</f>
        <v>6.4176331000000003E-3</v>
      </c>
      <c r="AC73">
        <f>IFERROR(VLOOKUP(all_lmics[[Setting]:[Setting]],all_cause_mort[],16,FALSE),0)</f>
        <v>9.7934004000000009E-3</v>
      </c>
      <c r="AD73">
        <f>IFERROR(VLOOKUP(all_lmics[[Setting]:[Setting]],all_cause_mort[],17,FALSE),0)</f>
        <v>1.5443426999999999E-2</v>
      </c>
      <c r="AE73">
        <f>IFERROR(VLOOKUP(all_lmics[[Setting]:[Setting]],all_cause_mort[],18,FALSE),0)</f>
        <v>2.6125928999999999E-2</v>
      </c>
      <c r="AF73">
        <f>IFERROR(VLOOKUP(all_lmics[[Setting]:[Setting]],all_cause_mort[],19,FALSE),0)</f>
        <v>3.9912073999999999E-2</v>
      </c>
      <c r="AG73">
        <f>IFERROR(VLOOKUP(all_lmics[[Setting]:[Setting]],all_cause_mort[],20,FALSE),0)</f>
        <v>5.9995859999999998E-2</v>
      </c>
      <c r="AH73">
        <f>IFERROR(VLOOKUP(all_lmics[[Setting]:[Setting]],all_cause_mort[],21,FALSE),0)</f>
        <v>7.9088839999999994E-2</v>
      </c>
      <c r="AI73">
        <f>IFERROR(VLOOKUP(all_lmics[[Setting]:[Setting]],all_cause_mort[],22,FALSE),0)</f>
        <v>0.12158436</v>
      </c>
      <c r="AJ73">
        <f>IFERROR(VLOOKUP(all_lmics[[Setting]:[Setting]],all_cause_mort[],23,FALSE),0)</f>
        <v>0.16291785</v>
      </c>
      <c r="AK73">
        <f>IFERROR(VLOOKUP(all_lmics[[Setting]:[Setting]],all_cause_mort[],24,FALSE),0)</f>
        <v>0.24855374999999999</v>
      </c>
      <c r="AL73">
        <f>IFERROR(VLOOKUP(all_lmics[[Setting]:[Setting]],all_cause_mort[],25,FALSE),0)</f>
        <v>0.37050096509943897</v>
      </c>
      <c r="AM73">
        <f>VLOOKUP(all_lmics[[worldbank_region]:[worldbank_region]],Table13[],2,FALSE)</f>
        <v>86.85998699999999</v>
      </c>
      <c r="AN73">
        <f>VLOOKUP(all_lmics[[worldbank_region]:[worldbank_region]],Table13[],3,FALSE)</f>
        <v>86.85998699999999</v>
      </c>
      <c r="AO73">
        <f>VLOOKUP(all_lmics[[worldbank_region]:[worldbank_region]],Table13[],4,FALSE)</f>
        <v>134.58884699999999</v>
      </c>
      <c r="AP73">
        <f>VLOOKUP(all_lmics[[worldbank_region]:[worldbank_region]],Table13[],5,FALSE)</f>
        <v>134.58884699999999</v>
      </c>
      <c r="AQ73">
        <f>VLOOKUP(all_lmics[[worldbank_region]:[worldbank_region]],Table13[],6,FALSE)</f>
        <v>134.58884699999999</v>
      </c>
      <c r="AR73">
        <f>VLOOKUP(all_lmics[[worldbank_region]:[worldbank_region]],Table14[],2,FALSE)</f>
        <v>1.514642</v>
      </c>
      <c r="AS73">
        <f>VLOOKUP(all_lmics[[worldbank_region]:[worldbank_region]],Table14[],3,FALSE)</f>
        <v>2.132142</v>
      </c>
      <c r="AT73">
        <f>VLOOKUP(all_lmics[[worldbank_region]:[worldbank_region]],Table14[],4,FALSE)</f>
        <v>1.5364360000000001</v>
      </c>
      <c r="AU73">
        <f>VLOOKUP(all_lmics[[worldbank_region]:[worldbank_region]],Table14[],5,FALSE)</f>
        <v>2.1539359999999999</v>
      </c>
      <c r="AV73">
        <f>VLOOKUP(all_lmics[[worldbank_region]:[worldbank_region]],Table14[],6,FALSE)</f>
        <v>2.7241879999999998</v>
      </c>
      <c r="AW73">
        <f>IFERROR(VLOOKUP(all_lmics[[Setting]:[Setting]],nFacSBA[],4,FALSE),0)</f>
        <v>0</v>
      </c>
      <c r="AX73">
        <f>VLOOKUP(all_lmics[[worldbank_region]:[worldbank_region]],hbe[],2)</f>
        <v>0.3</v>
      </c>
      <c r="AY73">
        <f>VLOOKUP(all_lmics[[worldbank_region]:[worldbank_region]],hbe[],5)</f>
        <v>0.875</v>
      </c>
      <c r="AZ73">
        <f>VLOOKUP(all_lmics[[worldbank_region]:[worldbank_region]],hbe[],8)</f>
        <v>0.15</v>
      </c>
    </row>
    <row r="74" spans="1:52" x14ac:dyDescent="0.35">
      <c r="A74" s="8" t="s">
        <v>45</v>
      </c>
      <c r="B74" s="10" t="s">
        <v>46</v>
      </c>
      <c r="C74" s="45" t="s">
        <v>21</v>
      </c>
      <c r="D74" s="11" t="s">
        <v>383</v>
      </c>
      <c r="E74">
        <f>VLOOKUP(all_lmics[[Setting]:[Setting]],populations[],9,FALSE)</f>
        <v>11051600</v>
      </c>
      <c r="F74">
        <f>VLOOKUP(all_lmics[[Setting]:[Setting]],birthrate[],3,FALSE)</f>
        <v>2.3251999999999998E-2</v>
      </c>
      <c r="G74">
        <f>all_lmics[[#This Row],[2017_population]]*all_lmics[[#This Row],[2016_birthrate]]</f>
        <v>256971.80319999999</v>
      </c>
      <c r="H74">
        <f>VLOOKUP(all_lmics[[Setting]:[Setting]],birthdose[],4,FALSE)</f>
        <v>0</v>
      </c>
      <c r="I74">
        <f>VLOOKUP(all_lmics[[Setting]:[Setting]],fullvax[],4,FALSE)</f>
        <v>0.83</v>
      </c>
      <c r="J74">
        <f>IFERROR(VLOOKUP(all_lmics[[Setting]:[Setting]],prev[],3,FALSE),0)</f>
        <v>0</v>
      </c>
      <c r="K74">
        <f>IFERROR(VLOOKUP(all_lmics[[Setting]:[Setting]],prev[],4,FALSE),0)</f>
        <v>0</v>
      </c>
      <c r="L74">
        <f>IFERROR(VLOOKUP(all_lmics[[Setting]:[Setting]],prev[],5,FALSE),0)</f>
        <v>0</v>
      </c>
      <c r="M74">
        <f>IFERROR(VLOOKUP(all_lmics[[Setting]:[Setting]],prev[],7,FALSE),0)</f>
        <v>0</v>
      </c>
      <c r="N74">
        <f>IFERROR(VLOOKUP(all_lmics[[Setting]:[Setting]],prev[],6,FALSE),0)</f>
        <v>0</v>
      </c>
      <c r="O74">
        <f>IFERROR(VLOOKUP(all_lmics[[Setting]:[Setting]],SBA[],4,FALSE),0)</f>
        <v>0.89800000000000002</v>
      </c>
      <c r="P74">
        <f>IFERROR(VLOOKUP(all_lmics[[Setting]:[Setting]], facility[], 3,FALSE),0)</f>
        <v>0.70799999999999996</v>
      </c>
      <c r="Q74">
        <f>IFERROR(VLOOKUP(all_lmics[[Setting]:[Setting]],all_cause_mort[],4,FALSE),0)</f>
        <v>3.0494327000000002E-2</v>
      </c>
      <c r="R74">
        <f>IFERROR(VLOOKUP(all_lmics[[Setting]:[Setting]],all_cause_mort[],5,FALSE),0)</f>
        <v>4.9574212999999997E-3</v>
      </c>
      <c r="S74">
        <f>IFERROR(VLOOKUP(all_lmics[[Setting]:[Setting]],all_cause_mort[],6,FALSE),0)</f>
        <v>1.3715053E-3</v>
      </c>
      <c r="T74">
        <f>IFERROR(VLOOKUP(all_lmics[[Setting]:[Setting]],all_cause_mort[],7,FALSE),0)</f>
        <v>8.0304199000000005E-4</v>
      </c>
      <c r="U74">
        <f>IFERROR(VLOOKUP(all_lmics[[Setting]:[Setting]],all_cause_mort[],8,FALSE),0)</f>
        <v>1.5961051E-3</v>
      </c>
      <c r="V74">
        <f>IFERROR(VLOOKUP(all_lmics[[Setting]:[Setting]],all_cause_mort[],9,FALSE),0)</f>
        <v>2.2286659000000002E-3</v>
      </c>
      <c r="W74">
        <f>IFERROR(VLOOKUP(all_lmics[[Setting]:[Setting]],all_cause_mort[],10,FALSE),0)</f>
        <v>2.3948724999999999E-3</v>
      </c>
      <c r="X74">
        <f>IFERROR(VLOOKUP(all_lmics[[Setting]:[Setting]],all_cause_mort[],11,FALSE),0)</f>
        <v>2.7196274999999998E-3</v>
      </c>
      <c r="Y74">
        <f>IFERROR(VLOOKUP(all_lmics[[Setting]:[Setting]],all_cause_mort[],12,FALSE),0)</f>
        <v>3.4333978999999998E-3</v>
      </c>
      <c r="Z74">
        <f>IFERROR(VLOOKUP(all_lmics[[Setting]:[Setting]],all_cause_mort[],13,FALSE),0)</f>
        <v>4.0616999999999997E-3</v>
      </c>
      <c r="AA74">
        <f>IFERROR(VLOOKUP(all_lmics[[Setting]:[Setting]],all_cause_mort[],14,FALSE),0)</f>
        <v>5.5174385999999997E-3</v>
      </c>
      <c r="AB74">
        <f>IFERROR(VLOOKUP(all_lmics[[Setting]:[Setting]],all_cause_mort[],15,FALSE),0)</f>
        <v>7.4974181000000001E-3</v>
      </c>
      <c r="AC74">
        <f>IFERROR(VLOOKUP(all_lmics[[Setting]:[Setting]],all_cause_mort[],16,FALSE),0)</f>
        <v>1.0604571E-2</v>
      </c>
      <c r="AD74">
        <f>IFERROR(VLOOKUP(all_lmics[[Setting]:[Setting]],all_cause_mort[],17,FALSE),0)</f>
        <v>1.5851634999999999E-2</v>
      </c>
      <c r="AE74">
        <f>IFERROR(VLOOKUP(all_lmics[[Setting]:[Setting]],all_cause_mort[],18,FALSE),0)</f>
        <v>2.1262792999999999E-2</v>
      </c>
      <c r="AF74">
        <f>IFERROR(VLOOKUP(all_lmics[[Setting]:[Setting]],all_cause_mort[],19,FALSE),0)</f>
        <v>2.8003045000000001E-2</v>
      </c>
      <c r="AG74">
        <f>IFERROR(VLOOKUP(all_lmics[[Setting]:[Setting]],all_cause_mort[],20,FALSE),0)</f>
        <v>4.1498825000000003E-2</v>
      </c>
      <c r="AH74">
        <f>IFERROR(VLOOKUP(all_lmics[[Setting]:[Setting]],all_cause_mort[],21,FALSE),0)</f>
        <v>6.1500072000000003E-2</v>
      </c>
      <c r="AI74">
        <f>IFERROR(VLOOKUP(all_lmics[[Setting]:[Setting]],all_cause_mort[],22,FALSE),0)</f>
        <v>9.2607406000000003E-2</v>
      </c>
      <c r="AJ74">
        <f>IFERROR(VLOOKUP(all_lmics[[Setting]:[Setting]],all_cause_mort[],23,FALSE),0)</f>
        <v>0.13594039999999999</v>
      </c>
      <c r="AK74">
        <f>IFERROR(VLOOKUP(all_lmics[[Setting]:[Setting]],all_cause_mort[],24,FALSE),0)</f>
        <v>0.18903618999999999</v>
      </c>
      <c r="AL74">
        <f>IFERROR(VLOOKUP(all_lmics[[Setting]:[Setting]],all_cause_mort[],25,FALSE),0)</f>
        <v>0.27503186725487899</v>
      </c>
      <c r="AM74">
        <f>VLOOKUP(all_lmics[[worldbank_region]:[worldbank_region]],Table13[],2,FALSE)</f>
        <v>86.85998699999999</v>
      </c>
      <c r="AN74">
        <f>VLOOKUP(all_lmics[[worldbank_region]:[worldbank_region]],Table13[],3,FALSE)</f>
        <v>86.85998699999999</v>
      </c>
      <c r="AO74">
        <f>VLOOKUP(all_lmics[[worldbank_region]:[worldbank_region]],Table13[],4,FALSE)</f>
        <v>134.58884699999999</v>
      </c>
      <c r="AP74">
        <f>VLOOKUP(all_lmics[[worldbank_region]:[worldbank_region]],Table13[],5,FALSE)</f>
        <v>134.58884699999999</v>
      </c>
      <c r="AQ74">
        <f>VLOOKUP(all_lmics[[worldbank_region]:[worldbank_region]],Table13[],6,FALSE)</f>
        <v>134.58884699999999</v>
      </c>
      <c r="AR74">
        <f>VLOOKUP(all_lmics[[worldbank_region]:[worldbank_region]],Table14[],2,FALSE)</f>
        <v>1.514642</v>
      </c>
      <c r="AS74">
        <f>VLOOKUP(all_lmics[[worldbank_region]:[worldbank_region]],Table14[],3,FALSE)</f>
        <v>2.132142</v>
      </c>
      <c r="AT74">
        <f>VLOOKUP(all_lmics[[worldbank_region]:[worldbank_region]],Table14[],4,FALSE)</f>
        <v>1.5364360000000001</v>
      </c>
      <c r="AU74">
        <f>VLOOKUP(all_lmics[[worldbank_region]:[worldbank_region]],Table14[],5,FALSE)</f>
        <v>2.1539359999999999</v>
      </c>
      <c r="AV74">
        <f>VLOOKUP(all_lmics[[worldbank_region]:[worldbank_region]],Table14[],6,FALSE)</f>
        <v>2.7241879999999998</v>
      </c>
      <c r="AW74">
        <f>IFERROR(VLOOKUP(all_lmics[[Setting]:[Setting]],nFacSBA[],4,FALSE),0)</f>
        <v>0</v>
      </c>
      <c r="AX74">
        <f>VLOOKUP(all_lmics[[worldbank_region]:[worldbank_region]],hbe[],2)</f>
        <v>0.3</v>
      </c>
      <c r="AY74">
        <f>VLOOKUP(all_lmics[[worldbank_region]:[worldbank_region]],hbe[],5)</f>
        <v>0.875</v>
      </c>
      <c r="AZ74">
        <f>VLOOKUP(all_lmics[[worldbank_region]:[worldbank_region]],hbe[],8)</f>
        <v>0.15</v>
      </c>
    </row>
    <row r="75" spans="1:52" x14ac:dyDescent="0.35">
      <c r="A75" s="8" t="s">
        <v>82</v>
      </c>
      <c r="B75" s="10" t="s">
        <v>46</v>
      </c>
      <c r="C75" s="45" t="s">
        <v>21</v>
      </c>
      <c r="D75" s="11" t="s">
        <v>383</v>
      </c>
      <c r="E75">
        <f>VLOOKUP(all_lmics[[Setting]:[Setting]],populations[],9,FALSE)</f>
        <v>16624858</v>
      </c>
      <c r="F75">
        <f>VLOOKUP(all_lmics[[Setting]:[Setting]],birthrate[],3,FALSE)</f>
        <v>2.0175000000000002E-2</v>
      </c>
      <c r="G75">
        <f>all_lmics[[#This Row],[2017_population]]*all_lmics[[#This Row],[2016_birthrate]]</f>
        <v>335406.51015000005</v>
      </c>
      <c r="H75">
        <f>VLOOKUP(all_lmics[[Setting]:[Setting]],birthdose[],4,FALSE)</f>
        <v>0.75</v>
      </c>
      <c r="I75">
        <f>VLOOKUP(all_lmics[[Setting]:[Setting]],fullvax[],4,FALSE)</f>
        <v>0.84</v>
      </c>
      <c r="J75">
        <f>IFERROR(VLOOKUP(all_lmics[[Setting]:[Setting]],prev[],3,FALSE),0)</f>
        <v>0.02</v>
      </c>
      <c r="K75">
        <f>IFERROR(VLOOKUP(all_lmics[[Setting]:[Setting]],prev[],4,FALSE),0)</f>
        <v>1.0800000000000001E-2</v>
      </c>
      <c r="L75">
        <f>IFERROR(VLOOKUP(all_lmics[[Setting]:[Setting]],prev[],5,FALSE),0)</f>
        <v>3.6799999999999999E-2</v>
      </c>
      <c r="M75">
        <f>IFERROR(VLOOKUP(all_lmics[[Setting]:[Setting]],prev[],7,FALSE),0)</f>
        <v>8.5714285714285719E-3</v>
      </c>
      <c r="N75">
        <f>IFERROR(VLOOKUP(all_lmics[[Setting]:[Setting]],prev[],6,FALSE),0)</f>
        <v>14934690</v>
      </c>
      <c r="O75">
        <f>IFERROR(VLOOKUP(all_lmics[[Setting]:[Setting]],SBA[],4,FALSE),0)</f>
        <v>0.96700000000000008</v>
      </c>
      <c r="P75">
        <f>IFERROR(VLOOKUP(all_lmics[[Setting]:[Setting]], facility[], 3,FALSE),0)</f>
        <v>0.93299999999999994</v>
      </c>
      <c r="Q75">
        <f>IFERROR(VLOOKUP(all_lmics[[Setting]:[Setting]],all_cause_mort[],4,FALSE),0)</f>
        <v>1.3775282E-2</v>
      </c>
      <c r="R75">
        <f>IFERROR(VLOOKUP(all_lmics[[Setting]:[Setting]],all_cause_mort[],5,FALSE),0)</f>
        <v>6.8882877999999997E-4</v>
      </c>
      <c r="S75">
        <f>IFERROR(VLOOKUP(all_lmics[[Setting]:[Setting]],all_cause_mort[],6,FALSE),0)</f>
        <v>3.9409112000000001E-4</v>
      </c>
      <c r="T75">
        <f>IFERROR(VLOOKUP(all_lmics[[Setting]:[Setting]],all_cause_mort[],7,FALSE),0)</f>
        <v>4.9583221999999997E-4</v>
      </c>
      <c r="U75">
        <f>IFERROR(VLOOKUP(all_lmics[[Setting]:[Setting]],all_cause_mort[],8,FALSE),0)</f>
        <v>1.0316606E-3</v>
      </c>
      <c r="V75">
        <f>IFERROR(VLOOKUP(all_lmics[[Setting]:[Setting]],all_cause_mort[],9,FALSE),0)</f>
        <v>1.6283602E-3</v>
      </c>
      <c r="W75">
        <f>IFERROR(VLOOKUP(all_lmics[[Setting]:[Setting]],all_cause_mort[],10,FALSE),0)</f>
        <v>1.9603557999999998E-3</v>
      </c>
      <c r="X75">
        <f>IFERROR(VLOOKUP(all_lmics[[Setting]:[Setting]],all_cause_mort[],11,FALSE),0)</f>
        <v>2.0346000000000001E-3</v>
      </c>
      <c r="Y75">
        <f>IFERROR(VLOOKUP(all_lmics[[Setting]:[Setting]],all_cause_mort[],12,FALSE),0)</f>
        <v>2.1799733000000001E-3</v>
      </c>
      <c r="Z75">
        <f>IFERROR(VLOOKUP(all_lmics[[Setting]:[Setting]],all_cause_mort[],13,FALSE),0)</f>
        <v>2.7285374000000002E-3</v>
      </c>
      <c r="AA75">
        <f>IFERROR(VLOOKUP(all_lmics[[Setting]:[Setting]],all_cause_mort[],14,FALSE),0)</f>
        <v>3.4792985999999998E-3</v>
      </c>
      <c r="AB75">
        <f>IFERROR(VLOOKUP(all_lmics[[Setting]:[Setting]],all_cause_mort[],15,FALSE),0)</f>
        <v>5.0904938999999996E-3</v>
      </c>
      <c r="AC75">
        <f>IFERROR(VLOOKUP(all_lmics[[Setting]:[Setting]],all_cause_mort[],16,FALSE),0)</f>
        <v>6.9715895E-3</v>
      </c>
      <c r="AD75">
        <f>IFERROR(VLOOKUP(all_lmics[[Setting]:[Setting]],all_cause_mort[],17,FALSE),0)</f>
        <v>1.0213406E-2</v>
      </c>
      <c r="AE75">
        <f>IFERROR(VLOOKUP(all_lmics[[Setting]:[Setting]],all_cause_mort[],18,FALSE),0)</f>
        <v>1.4456917E-2</v>
      </c>
      <c r="AF75">
        <f>IFERROR(VLOOKUP(all_lmics[[Setting]:[Setting]],all_cause_mort[],19,FALSE),0)</f>
        <v>2.4101674E-2</v>
      </c>
      <c r="AG75">
        <f>IFERROR(VLOOKUP(all_lmics[[Setting]:[Setting]],all_cause_mort[],20,FALSE),0)</f>
        <v>3.9995255E-2</v>
      </c>
      <c r="AH75">
        <f>IFERROR(VLOOKUP(all_lmics[[Setting]:[Setting]],all_cause_mort[],21,FALSE),0)</f>
        <v>6.4706444000000002E-2</v>
      </c>
      <c r="AI75">
        <f>IFERROR(VLOOKUP(all_lmics[[Setting]:[Setting]],all_cause_mort[],22,FALSE),0)</f>
        <v>0.10866683000000001</v>
      </c>
      <c r="AJ75">
        <f>IFERROR(VLOOKUP(all_lmics[[Setting]:[Setting]],all_cause_mort[],23,FALSE),0)</f>
        <v>0.15347426</v>
      </c>
      <c r="AK75">
        <f>IFERROR(VLOOKUP(all_lmics[[Setting]:[Setting]],all_cause_mort[],24,FALSE),0)</f>
        <v>0.23074488000000001</v>
      </c>
      <c r="AL75">
        <f>IFERROR(VLOOKUP(all_lmics[[Setting]:[Setting]],all_cause_mort[],25,FALSE),0)</f>
        <v>0.31541480737523098</v>
      </c>
      <c r="AM75">
        <f>VLOOKUP(all_lmics[[worldbank_region]:[worldbank_region]],Table13[],2,FALSE)</f>
        <v>86.85998699999999</v>
      </c>
      <c r="AN75">
        <f>VLOOKUP(all_lmics[[worldbank_region]:[worldbank_region]],Table13[],3,FALSE)</f>
        <v>86.85998699999999</v>
      </c>
      <c r="AO75">
        <f>VLOOKUP(all_lmics[[worldbank_region]:[worldbank_region]],Table13[],4,FALSE)</f>
        <v>134.58884699999999</v>
      </c>
      <c r="AP75">
        <f>VLOOKUP(all_lmics[[worldbank_region]:[worldbank_region]],Table13[],5,FALSE)</f>
        <v>134.58884699999999</v>
      </c>
      <c r="AQ75">
        <f>VLOOKUP(all_lmics[[worldbank_region]:[worldbank_region]],Table13[],6,FALSE)</f>
        <v>134.58884699999999</v>
      </c>
      <c r="AR75">
        <f>VLOOKUP(all_lmics[[worldbank_region]:[worldbank_region]],Table14[],2,FALSE)</f>
        <v>1.514642</v>
      </c>
      <c r="AS75">
        <f>VLOOKUP(all_lmics[[worldbank_region]:[worldbank_region]],Table14[],3,FALSE)</f>
        <v>2.132142</v>
      </c>
      <c r="AT75">
        <f>VLOOKUP(all_lmics[[worldbank_region]:[worldbank_region]],Table14[],4,FALSE)</f>
        <v>1.5364360000000001</v>
      </c>
      <c r="AU75">
        <f>VLOOKUP(all_lmics[[worldbank_region]:[worldbank_region]],Table14[],5,FALSE)</f>
        <v>2.1539359999999999</v>
      </c>
      <c r="AV75">
        <f>VLOOKUP(all_lmics[[worldbank_region]:[worldbank_region]],Table14[],6,FALSE)</f>
        <v>2.7241879999999998</v>
      </c>
      <c r="AW75">
        <f>IFERROR(VLOOKUP(all_lmics[[Setting]:[Setting]],nFacSBA[],4,FALSE),0)</f>
        <v>0</v>
      </c>
      <c r="AX75">
        <f>VLOOKUP(all_lmics[[worldbank_region]:[worldbank_region]],hbe[],2)</f>
        <v>0.3</v>
      </c>
      <c r="AY75">
        <f>VLOOKUP(all_lmics[[worldbank_region]:[worldbank_region]],hbe[],5)</f>
        <v>0.875</v>
      </c>
      <c r="AZ75">
        <f>VLOOKUP(all_lmics[[worldbank_region]:[worldbank_region]],hbe[],8)</f>
        <v>0.15</v>
      </c>
    </row>
    <row r="76" spans="1:52" x14ac:dyDescent="0.35">
      <c r="A76" s="12" t="s">
        <v>99</v>
      </c>
      <c r="B76" s="13" t="s">
        <v>46</v>
      </c>
      <c r="C76" s="46" t="s">
        <v>21</v>
      </c>
      <c r="D76" s="14" t="s">
        <v>383</v>
      </c>
      <c r="E76">
        <f>VLOOKUP(all_lmics[[Setting]:[Setting]],populations[],9,FALSE)</f>
        <v>16913503</v>
      </c>
      <c r="F76">
        <f>VLOOKUP(all_lmics[[Setting]:[Setting]],birthrate[],3,FALSE)</f>
        <v>2.5273E-2</v>
      </c>
      <c r="G76">
        <f>all_lmics[[#This Row],[2017_population]]*all_lmics[[#This Row],[2016_birthrate]]</f>
        <v>427454.96131899999</v>
      </c>
      <c r="H76">
        <f>VLOOKUP(all_lmics[[Setting]:[Setting]],birthdose[],4,FALSE)</f>
        <v>0.45</v>
      </c>
      <c r="I76">
        <f>VLOOKUP(all_lmics[[Setting]:[Setting]],fullvax[],4,FALSE)</f>
        <v>0.82</v>
      </c>
      <c r="J76">
        <f>IFERROR(VLOOKUP(all_lmics[[Setting]:[Setting]],prev[],3,FALSE),0)</f>
        <v>6.0000000000000001E-3</v>
      </c>
      <c r="K76">
        <f>IFERROR(VLOOKUP(all_lmics[[Setting]:[Setting]],prev[],4,FALSE),0)</f>
        <v>4.0000000000000001E-3</v>
      </c>
      <c r="L76">
        <f>IFERROR(VLOOKUP(all_lmics[[Setting]:[Setting]],prev[],5,FALSE),0)</f>
        <v>7.0000000000000001E-3</v>
      </c>
      <c r="M76">
        <f>IFERROR(VLOOKUP(all_lmics[[Setting]:[Setting]],prev[],7,FALSE),0)</f>
        <v>5.1020408163265311E-4</v>
      </c>
      <c r="N76">
        <f>IFERROR(VLOOKUP(all_lmics[[Setting]:[Setting]],prev[],6,FALSE),0)</f>
        <v>16913503</v>
      </c>
      <c r="O76">
        <f>IFERROR(VLOOKUP(all_lmics[[Setting]:[Setting]],SBA[],4,FALSE),0)</f>
        <v>0.65500000000000003</v>
      </c>
      <c r="P76">
        <f>IFERROR(VLOOKUP(all_lmics[[Setting]:[Setting]], facility[], 3,FALSE),0)</f>
        <v>0.65</v>
      </c>
      <c r="Q76">
        <f>IFERROR(VLOOKUP(all_lmics[[Setting]:[Setting]],all_cause_mort[],4,FALSE),0)</f>
        <v>2.1100568E-2</v>
      </c>
      <c r="R76">
        <f>IFERROR(VLOOKUP(all_lmics[[Setting]:[Setting]],all_cause_mort[],5,FALSE),0)</f>
        <v>1.3732325E-3</v>
      </c>
      <c r="S76">
        <f>IFERROR(VLOOKUP(all_lmics[[Setting]:[Setting]],all_cause_mort[],6,FALSE),0)</f>
        <v>3.6281135E-4</v>
      </c>
      <c r="T76">
        <f>IFERROR(VLOOKUP(all_lmics[[Setting]:[Setting]],all_cause_mort[],7,FALSE),0)</f>
        <v>5.2198914000000003E-4</v>
      </c>
      <c r="U76">
        <f>IFERROR(VLOOKUP(all_lmics[[Setting]:[Setting]],all_cause_mort[],8,FALSE),0)</f>
        <v>1.1124119000000001E-3</v>
      </c>
      <c r="V76">
        <f>IFERROR(VLOOKUP(all_lmics[[Setting]:[Setting]],all_cause_mort[],9,FALSE),0)</f>
        <v>1.9088193000000001E-3</v>
      </c>
      <c r="W76">
        <f>IFERROR(VLOOKUP(all_lmics[[Setting]:[Setting]],all_cause_mort[],10,FALSE),0)</f>
        <v>2.538434E-3</v>
      </c>
      <c r="X76">
        <f>IFERROR(VLOOKUP(all_lmics[[Setting]:[Setting]],all_cause_mort[],11,FALSE),0)</f>
        <v>2.9316845000000001E-3</v>
      </c>
      <c r="Y76">
        <f>IFERROR(VLOOKUP(all_lmics[[Setting]:[Setting]],all_cause_mort[],12,FALSE),0)</f>
        <v>3.2341980999999998E-3</v>
      </c>
      <c r="Z76">
        <f>IFERROR(VLOOKUP(all_lmics[[Setting]:[Setting]],all_cause_mort[],13,FALSE),0)</f>
        <v>3.6759391000000001E-3</v>
      </c>
      <c r="AA76">
        <f>IFERROR(VLOOKUP(all_lmics[[Setting]:[Setting]],all_cause_mort[],14,FALSE),0)</f>
        <v>4.4906216000000004E-3</v>
      </c>
      <c r="AB76">
        <f>IFERROR(VLOOKUP(all_lmics[[Setting]:[Setting]],all_cause_mort[],15,FALSE),0)</f>
        <v>5.9246328999999999E-3</v>
      </c>
      <c r="AC76">
        <f>IFERROR(VLOOKUP(all_lmics[[Setting]:[Setting]],all_cause_mort[],16,FALSE),0)</f>
        <v>8.2837807999999995E-3</v>
      </c>
      <c r="AD76">
        <f>IFERROR(VLOOKUP(all_lmics[[Setting]:[Setting]],all_cause_mort[],17,FALSE),0)</f>
        <v>1.212647E-2</v>
      </c>
      <c r="AE76">
        <f>IFERROR(VLOOKUP(all_lmics[[Setting]:[Setting]],all_cause_mort[],18,FALSE),0)</f>
        <v>1.6524727999999999E-2</v>
      </c>
      <c r="AF76">
        <f>IFERROR(VLOOKUP(all_lmics[[Setting]:[Setting]],all_cause_mort[],19,FALSE),0)</f>
        <v>2.4212213E-2</v>
      </c>
      <c r="AG76">
        <f>IFERROR(VLOOKUP(all_lmics[[Setting]:[Setting]],all_cause_mort[],20,FALSE),0)</f>
        <v>4.2012334999999998E-2</v>
      </c>
      <c r="AH76">
        <f>IFERROR(VLOOKUP(all_lmics[[Setting]:[Setting]],all_cause_mort[],21,FALSE),0)</f>
        <v>7.3881663E-2</v>
      </c>
      <c r="AI76">
        <f>IFERROR(VLOOKUP(all_lmics[[Setting]:[Setting]],all_cause_mort[],22,FALSE),0)</f>
        <v>0.12279305</v>
      </c>
      <c r="AJ76">
        <f>IFERROR(VLOOKUP(all_lmics[[Setting]:[Setting]],all_cause_mort[],23,FALSE),0)</f>
        <v>0.19308275</v>
      </c>
      <c r="AK76">
        <f>IFERROR(VLOOKUP(all_lmics[[Setting]:[Setting]],all_cause_mort[],24,FALSE),0)</f>
        <v>0.28359353999999998</v>
      </c>
      <c r="AL76">
        <f>IFERROR(VLOOKUP(all_lmics[[Setting]:[Setting]],all_cause_mort[],25,FALSE),0)</f>
        <v>0.399514749385396</v>
      </c>
      <c r="AM76">
        <f>VLOOKUP(all_lmics[[worldbank_region]:[worldbank_region]],Table13[],2,FALSE)</f>
        <v>86.85998699999999</v>
      </c>
      <c r="AN76">
        <f>VLOOKUP(all_lmics[[worldbank_region]:[worldbank_region]],Table13[],3,FALSE)</f>
        <v>86.85998699999999</v>
      </c>
      <c r="AO76">
        <f>VLOOKUP(all_lmics[[worldbank_region]:[worldbank_region]],Table13[],4,FALSE)</f>
        <v>134.58884699999999</v>
      </c>
      <c r="AP76">
        <f>VLOOKUP(all_lmics[[worldbank_region]:[worldbank_region]],Table13[],5,FALSE)</f>
        <v>134.58884699999999</v>
      </c>
      <c r="AQ76">
        <f>VLOOKUP(all_lmics[[worldbank_region]:[worldbank_region]],Table13[],6,FALSE)</f>
        <v>134.58884699999999</v>
      </c>
      <c r="AR76">
        <f>VLOOKUP(all_lmics[[worldbank_region]:[worldbank_region]],Table14[],2,FALSE)</f>
        <v>1.514642</v>
      </c>
      <c r="AS76">
        <f>VLOOKUP(all_lmics[[worldbank_region]:[worldbank_region]],Table14[],3,FALSE)</f>
        <v>2.132142</v>
      </c>
      <c r="AT76">
        <f>VLOOKUP(all_lmics[[worldbank_region]:[worldbank_region]],Table14[],4,FALSE)</f>
        <v>1.5364360000000001</v>
      </c>
      <c r="AU76">
        <f>VLOOKUP(all_lmics[[worldbank_region]:[worldbank_region]],Table14[],5,FALSE)</f>
        <v>2.1539359999999999</v>
      </c>
      <c r="AV76">
        <f>VLOOKUP(all_lmics[[worldbank_region]:[worldbank_region]],Table14[],6,FALSE)</f>
        <v>2.7241879999999998</v>
      </c>
      <c r="AW76">
        <f>IFERROR(VLOOKUP(all_lmics[[Setting]:[Setting]],nFacSBA[],4,FALSE),0)</f>
        <v>1.0107783587950853E-2</v>
      </c>
      <c r="AX76">
        <f>VLOOKUP(all_lmics[[worldbank_region]:[worldbank_region]],hbe[],2)</f>
        <v>0.3</v>
      </c>
      <c r="AY76">
        <f>VLOOKUP(all_lmics[[worldbank_region]:[worldbank_region]],hbe[],5)</f>
        <v>0.875</v>
      </c>
      <c r="AZ76">
        <f>VLOOKUP(all_lmics[[worldbank_region]:[worldbank_region]],hbe[],8)</f>
        <v>0.15</v>
      </c>
    </row>
    <row r="77" spans="1:52" x14ac:dyDescent="0.35">
      <c r="A77" s="12" t="s">
        <v>103</v>
      </c>
      <c r="B77" s="13" t="s">
        <v>46</v>
      </c>
      <c r="C77" s="46" t="s">
        <v>21</v>
      </c>
      <c r="D77" s="14" t="s">
        <v>383</v>
      </c>
      <c r="E77">
        <f>VLOOKUP(all_lmics[[Setting]:[Setting]],populations[],9,FALSE)</f>
        <v>10981229</v>
      </c>
      <c r="F77">
        <f>VLOOKUP(all_lmics[[Setting]:[Setting]],birthrate[],3,FALSE)</f>
        <v>2.4178999999999999E-2</v>
      </c>
      <c r="G77">
        <f>all_lmics[[#This Row],[2017_population]]*all_lmics[[#This Row],[2016_birthrate]]</f>
        <v>265515.13599099999</v>
      </c>
      <c r="H77">
        <f>VLOOKUP(all_lmics[[Setting]:[Setting]],birthdose[],4,FALSE)</f>
        <v>0</v>
      </c>
      <c r="I77">
        <f>VLOOKUP(all_lmics[[Setting]:[Setting]],fullvax[],4,FALSE)</f>
        <v>0.57999999999999996</v>
      </c>
      <c r="J77">
        <f>IFERROR(VLOOKUP(all_lmics[[Setting]:[Setting]],prev[],3,FALSE),0)</f>
        <v>2.9000000000000001E-2</v>
      </c>
      <c r="K77">
        <f>IFERROR(VLOOKUP(all_lmics[[Setting]:[Setting]],prev[],4,FALSE),0)</f>
        <v>2.7E-2</v>
      </c>
      <c r="L77">
        <f>IFERROR(VLOOKUP(all_lmics[[Setting]:[Setting]],prev[],5,FALSE),0)</f>
        <v>4.1000000000000002E-2</v>
      </c>
      <c r="M77">
        <f>IFERROR(VLOOKUP(all_lmics[[Setting]:[Setting]],prev[],7,FALSE),0)</f>
        <v>6.1224489795918373E-3</v>
      </c>
      <c r="N77">
        <f>IFERROR(VLOOKUP(all_lmics[[Setting]:[Setting]],prev[],6,FALSE),0)</f>
        <v>10981229</v>
      </c>
      <c r="O77">
        <f>IFERROR(VLOOKUP(all_lmics[[Setting]:[Setting]],SBA[],4,FALSE),0)</f>
        <v>0.41700000000000004</v>
      </c>
      <c r="P77">
        <f>IFERROR(VLOOKUP(all_lmics[[Setting]:[Setting]], facility[], 3,FALSE),0)</f>
        <v>0.39399999999999996</v>
      </c>
      <c r="Q77">
        <f>IFERROR(VLOOKUP(all_lmics[[Setting]:[Setting]],all_cause_mort[],4,FALSE),0)</f>
        <v>5.6774908999999998E-2</v>
      </c>
      <c r="R77">
        <f>IFERROR(VLOOKUP(all_lmics[[Setting]:[Setting]],all_cause_mort[],5,FALSE),0)</f>
        <v>7.1964120999999997E-3</v>
      </c>
      <c r="S77">
        <f>IFERROR(VLOOKUP(all_lmics[[Setting]:[Setting]],all_cause_mort[],6,FALSE),0)</f>
        <v>2.5306183000000002E-3</v>
      </c>
      <c r="T77">
        <f>IFERROR(VLOOKUP(all_lmics[[Setting]:[Setting]],all_cause_mort[],7,FALSE),0)</f>
        <v>2.0568750000000001E-3</v>
      </c>
      <c r="U77">
        <f>IFERROR(VLOOKUP(all_lmics[[Setting]:[Setting]],all_cause_mort[],8,FALSE),0)</f>
        <v>2.5477549E-3</v>
      </c>
      <c r="V77">
        <f>IFERROR(VLOOKUP(all_lmics[[Setting]:[Setting]],all_cause_mort[],9,FALSE),0)</f>
        <v>3.2243889999999998E-3</v>
      </c>
      <c r="W77">
        <f>IFERROR(VLOOKUP(all_lmics[[Setting]:[Setting]],all_cause_mort[],10,FALSE),0)</f>
        <v>3.8356634000000001E-3</v>
      </c>
      <c r="X77">
        <f>IFERROR(VLOOKUP(all_lmics[[Setting]:[Setting]],all_cause_mort[],11,FALSE),0)</f>
        <v>4.3651660000000002E-3</v>
      </c>
      <c r="Y77">
        <f>IFERROR(VLOOKUP(all_lmics[[Setting]:[Setting]],all_cause_mort[],12,FALSE),0)</f>
        <v>4.9048896999999998E-3</v>
      </c>
      <c r="Z77">
        <f>IFERROR(VLOOKUP(all_lmics[[Setting]:[Setting]],all_cause_mort[],13,FALSE),0)</f>
        <v>5.6239169000000004E-3</v>
      </c>
      <c r="AA77">
        <f>IFERROR(VLOOKUP(all_lmics[[Setting]:[Setting]],all_cause_mort[],14,FALSE),0)</f>
        <v>6.7778452999999999E-3</v>
      </c>
      <c r="AB77">
        <f>IFERROR(VLOOKUP(all_lmics[[Setting]:[Setting]],all_cause_mort[],15,FALSE),0)</f>
        <v>8.7553010999999997E-3</v>
      </c>
      <c r="AC77">
        <f>IFERROR(VLOOKUP(all_lmics[[Setting]:[Setting]],all_cause_mort[],16,FALSE),0)</f>
        <v>1.215079E-2</v>
      </c>
      <c r="AD77">
        <f>IFERROR(VLOOKUP(all_lmics[[Setting]:[Setting]],all_cause_mort[],17,FALSE),0)</f>
        <v>1.7918570000000002E-2</v>
      </c>
      <c r="AE77">
        <f>IFERROR(VLOOKUP(all_lmics[[Setting]:[Setting]],all_cause_mort[],18,FALSE),0)</f>
        <v>2.7544185999999998E-2</v>
      </c>
      <c r="AF77">
        <f>IFERROR(VLOOKUP(all_lmics[[Setting]:[Setting]],all_cause_mort[],19,FALSE),0)</f>
        <v>4.3530928000000003E-2</v>
      </c>
      <c r="AG77">
        <f>IFERROR(VLOOKUP(all_lmics[[Setting]:[Setting]],all_cause_mort[],20,FALSE),0)</f>
        <v>6.9595433999999998E-2</v>
      </c>
      <c r="AH77">
        <f>IFERROR(VLOOKUP(all_lmics[[Setting]:[Setting]],all_cause_mort[],21,FALSE),0)</f>
        <v>0.10346187</v>
      </c>
      <c r="AI77">
        <f>IFERROR(VLOOKUP(all_lmics[[Setting]:[Setting]],all_cause_mort[],22,FALSE),0)</f>
        <v>0.14747545000000001</v>
      </c>
      <c r="AJ77">
        <f>IFERROR(VLOOKUP(all_lmics[[Setting]:[Setting]],all_cause_mort[],23,FALSE),0)</f>
        <v>0.20074083000000001</v>
      </c>
      <c r="AK77">
        <f>IFERROR(VLOOKUP(all_lmics[[Setting]:[Setting]],all_cause_mort[],24,FALSE),0)</f>
        <v>0.26157830999999998</v>
      </c>
      <c r="AL77">
        <f>IFERROR(VLOOKUP(all_lmics[[Setting]:[Setting]],all_cause_mort[],25,FALSE),0)</f>
        <v>0.34493656237187797</v>
      </c>
      <c r="AM77">
        <f>VLOOKUP(all_lmics[[worldbank_region]:[worldbank_region]],Table13[],2,FALSE)</f>
        <v>86.85998699999999</v>
      </c>
      <c r="AN77">
        <f>VLOOKUP(all_lmics[[worldbank_region]:[worldbank_region]],Table13[],3,FALSE)</f>
        <v>86.85998699999999</v>
      </c>
      <c r="AO77">
        <f>VLOOKUP(all_lmics[[worldbank_region]:[worldbank_region]],Table13[],4,FALSE)</f>
        <v>134.58884699999999</v>
      </c>
      <c r="AP77">
        <f>VLOOKUP(all_lmics[[worldbank_region]:[worldbank_region]],Table13[],5,FALSE)</f>
        <v>134.58884699999999</v>
      </c>
      <c r="AQ77">
        <f>VLOOKUP(all_lmics[[worldbank_region]:[worldbank_region]],Table13[],6,FALSE)</f>
        <v>134.58884699999999</v>
      </c>
      <c r="AR77">
        <f>VLOOKUP(all_lmics[[worldbank_region]:[worldbank_region]],Table14[],2,FALSE)</f>
        <v>1.514642</v>
      </c>
      <c r="AS77">
        <f>VLOOKUP(all_lmics[[worldbank_region]:[worldbank_region]],Table14[],3,FALSE)</f>
        <v>2.132142</v>
      </c>
      <c r="AT77">
        <f>VLOOKUP(all_lmics[[worldbank_region]:[worldbank_region]],Table14[],4,FALSE)</f>
        <v>1.5364360000000001</v>
      </c>
      <c r="AU77">
        <f>VLOOKUP(all_lmics[[worldbank_region]:[worldbank_region]],Table14[],5,FALSE)</f>
        <v>2.1539359999999999</v>
      </c>
      <c r="AV77">
        <f>VLOOKUP(all_lmics[[worldbank_region]:[worldbank_region]],Table14[],6,FALSE)</f>
        <v>2.7241879999999998</v>
      </c>
      <c r="AW77">
        <f>IFERROR(VLOOKUP(all_lmics[[Setting]:[Setting]],nFacSBA[],4,FALSE),0)</f>
        <v>2.9643513876982344E-2</v>
      </c>
      <c r="AX77">
        <f>VLOOKUP(all_lmics[[worldbank_region]:[worldbank_region]],hbe[],2)</f>
        <v>0.3</v>
      </c>
      <c r="AY77">
        <f>VLOOKUP(all_lmics[[worldbank_region]:[worldbank_region]],hbe[],5)</f>
        <v>0.875</v>
      </c>
      <c r="AZ77">
        <f>VLOOKUP(all_lmics[[worldbank_region]:[worldbank_region]],hbe[],8)</f>
        <v>0.15</v>
      </c>
    </row>
    <row r="78" spans="1:52" x14ac:dyDescent="0.35">
      <c r="A78" s="8" t="s">
        <v>153</v>
      </c>
      <c r="B78" s="10" t="s">
        <v>46</v>
      </c>
      <c r="C78" s="45" t="s">
        <v>21</v>
      </c>
      <c r="D78" s="11" t="s">
        <v>383</v>
      </c>
      <c r="E78">
        <f>VLOOKUP(all_lmics[[Setting]:[Setting]],populations[],9,FALSE)</f>
        <v>6217581</v>
      </c>
      <c r="F78">
        <f>VLOOKUP(all_lmics[[Setting]:[Setting]],birthrate[],3,FALSE)</f>
        <v>1.9511000000000001E-2</v>
      </c>
      <c r="G78">
        <f>all_lmics[[#This Row],[2017_population]]*all_lmics[[#This Row],[2016_birthrate]]</f>
        <v>121311.222891</v>
      </c>
      <c r="H78">
        <f>VLOOKUP(all_lmics[[Setting]:[Setting]],birthdose[],4,FALSE)</f>
        <v>0</v>
      </c>
      <c r="I78">
        <f>VLOOKUP(all_lmics[[Setting]:[Setting]],fullvax[],4,FALSE)</f>
        <v>0.98</v>
      </c>
      <c r="J78">
        <f>IFERROR(VLOOKUP(all_lmics[[Setting]:[Setting]],prev[],3,FALSE),0)</f>
        <v>8.0000000000000002E-3</v>
      </c>
      <c r="K78">
        <f>IFERROR(VLOOKUP(all_lmics[[Setting]:[Setting]],prev[],4,FALSE),0)</f>
        <v>4.0000000000000001E-3</v>
      </c>
      <c r="L78">
        <f>IFERROR(VLOOKUP(all_lmics[[Setting]:[Setting]],prev[],5,FALSE),0)</f>
        <v>8.9999999999999993E-3</v>
      </c>
      <c r="M78">
        <f>IFERROR(VLOOKUP(all_lmics[[Setting]:[Setting]],prev[],7,FALSE),0)</f>
        <v>5.1020408163265267E-4</v>
      </c>
      <c r="N78">
        <f>IFERROR(VLOOKUP(all_lmics[[Setting]:[Setting]],prev[],6,FALSE),0)</f>
        <v>6217581</v>
      </c>
      <c r="O78">
        <f>IFERROR(VLOOKUP(all_lmics[[Setting]:[Setting]],SBA[],4,FALSE),0)</f>
        <v>0.88</v>
      </c>
      <c r="P78">
        <f>IFERROR(VLOOKUP(all_lmics[[Setting]:[Setting]], facility[], 3,FALSE),0)</f>
        <v>0.71</v>
      </c>
      <c r="Q78">
        <f>IFERROR(VLOOKUP(all_lmics[[Setting]:[Setting]],all_cause_mort[],4,FALSE),0)</f>
        <v>1.7042821E-2</v>
      </c>
      <c r="R78">
        <f>IFERROR(VLOOKUP(all_lmics[[Setting]:[Setting]],all_cause_mort[],5,FALSE),0)</f>
        <v>8.8338659999999999E-4</v>
      </c>
      <c r="S78">
        <f>IFERROR(VLOOKUP(all_lmics[[Setting]:[Setting]],all_cause_mort[],6,FALSE),0)</f>
        <v>4.6150675000000002E-4</v>
      </c>
      <c r="T78">
        <f>IFERROR(VLOOKUP(all_lmics[[Setting]:[Setting]],all_cause_mort[],7,FALSE),0)</f>
        <v>4.6118101999999999E-4</v>
      </c>
      <c r="U78">
        <f>IFERROR(VLOOKUP(all_lmics[[Setting]:[Setting]],all_cause_mort[],8,FALSE),0)</f>
        <v>1.1341954999999999E-3</v>
      </c>
      <c r="V78">
        <f>IFERROR(VLOOKUP(all_lmics[[Setting]:[Setting]],all_cause_mort[],9,FALSE),0)</f>
        <v>1.5131984E-3</v>
      </c>
      <c r="W78">
        <f>IFERROR(VLOOKUP(all_lmics[[Setting]:[Setting]],all_cause_mort[],10,FALSE),0)</f>
        <v>1.7766008E-3</v>
      </c>
      <c r="X78">
        <f>IFERROR(VLOOKUP(all_lmics[[Setting]:[Setting]],all_cause_mort[],11,FALSE),0)</f>
        <v>2.1383892000000002E-3</v>
      </c>
      <c r="Y78">
        <f>IFERROR(VLOOKUP(all_lmics[[Setting]:[Setting]],all_cause_mort[],12,FALSE),0)</f>
        <v>2.7168524999999998E-3</v>
      </c>
      <c r="Z78">
        <f>IFERROR(VLOOKUP(all_lmics[[Setting]:[Setting]],all_cause_mort[],13,FALSE),0)</f>
        <v>3.4635730000000002E-3</v>
      </c>
      <c r="AA78">
        <f>IFERROR(VLOOKUP(all_lmics[[Setting]:[Setting]],all_cause_mort[],14,FALSE),0)</f>
        <v>4.5667345999999996E-3</v>
      </c>
      <c r="AB78">
        <f>IFERROR(VLOOKUP(all_lmics[[Setting]:[Setting]],all_cause_mort[],15,FALSE),0)</f>
        <v>6.4528666999999996E-3</v>
      </c>
      <c r="AC78">
        <f>IFERROR(VLOOKUP(all_lmics[[Setting]:[Setting]],all_cause_mort[],16,FALSE),0)</f>
        <v>9.2405486000000005E-3</v>
      </c>
      <c r="AD78">
        <f>IFERROR(VLOOKUP(all_lmics[[Setting]:[Setting]],all_cause_mort[],17,FALSE),0)</f>
        <v>1.3440168000000001E-2</v>
      </c>
      <c r="AE78">
        <f>IFERROR(VLOOKUP(all_lmics[[Setting]:[Setting]],all_cause_mort[],18,FALSE),0)</f>
        <v>1.9926938000000002E-2</v>
      </c>
      <c r="AF78">
        <f>IFERROR(VLOOKUP(all_lmics[[Setting]:[Setting]],all_cause_mort[],19,FALSE),0)</f>
        <v>2.9473168000000001E-2</v>
      </c>
      <c r="AG78">
        <f>IFERROR(VLOOKUP(all_lmics[[Setting]:[Setting]],all_cause_mort[],20,FALSE),0)</f>
        <v>4.4702077999999999E-2</v>
      </c>
      <c r="AH78">
        <f>IFERROR(VLOOKUP(all_lmics[[Setting]:[Setting]],all_cause_mort[],21,FALSE),0)</f>
        <v>7.8409147999999998E-2</v>
      </c>
      <c r="AI78">
        <f>IFERROR(VLOOKUP(all_lmics[[Setting]:[Setting]],all_cause_mort[],22,FALSE),0)</f>
        <v>0.12177716</v>
      </c>
      <c r="AJ78">
        <f>IFERROR(VLOOKUP(all_lmics[[Setting]:[Setting]],all_cause_mort[],23,FALSE),0)</f>
        <v>0.18044484</v>
      </c>
      <c r="AK78">
        <f>IFERROR(VLOOKUP(all_lmics[[Setting]:[Setting]],all_cause_mort[],24,FALSE),0)</f>
        <v>0.24915957999999999</v>
      </c>
      <c r="AL78">
        <f>IFERROR(VLOOKUP(all_lmics[[Setting]:[Setting]],all_cause_mort[],25,FALSE),0)</f>
        <v>0.35221857726870798</v>
      </c>
      <c r="AM78">
        <f>VLOOKUP(all_lmics[[worldbank_region]:[worldbank_region]],Table13[],2,FALSE)</f>
        <v>86.85998699999999</v>
      </c>
      <c r="AN78">
        <f>VLOOKUP(all_lmics[[worldbank_region]:[worldbank_region]],Table13[],3,FALSE)</f>
        <v>86.85998699999999</v>
      </c>
      <c r="AO78">
        <f>VLOOKUP(all_lmics[[worldbank_region]:[worldbank_region]],Table13[],4,FALSE)</f>
        <v>134.58884699999999</v>
      </c>
      <c r="AP78">
        <f>VLOOKUP(all_lmics[[worldbank_region]:[worldbank_region]],Table13[],5,FALSE)</f>
        <v>134.58884699999999</v>
      </c>
      <c r="AQ78">
        <f>VLOOKUP(all_lmics[[worldbank_region]:[worldbank_region]],Table13[],6,FALSE)</f>
        <v>134.58884699999999</v>
      </c>
      <c r="AR78">
        <f>VLOOKUP(all_lmics[[worldbank_region]:[worldbank_region]],Table14[],2,FALSE)</f>
        <v>1.514642</v>
      </c>
      <c r="AS78">
        <f>VLOOKUP(all_lmics[[worldbank_region]:[worldbank_region]],Table14[],3,FALSE)</f>
        <v>2.132142</v>
      </c>
      <c r="AT78">
        <f>VLOOKUP(all_lmics[[worldbank_region]:[worldbank_region]],Table14[],4,FALSE)</f>
        <v>1.5364360000000001</v>
      </c>
      <c r="AU78">
        <f>VLOOKUP(all_lmics[[worldbank_region]:[worldbank_region]],Table14[],5,FALSE)</f>
        <v>2.1539359999999999</v>
      </c>
      <c r="AV78">
        <f>VLOOKUP(all_lmics[[worldbank_region]:[worldbank_region]],Table14[],6,FALSE)</f>
        <v>2.7241879999999998</v>
      </c>
      <c r="AW78">
        <f>IFERROR(VLOOKUP(all_lmics[[Setting]:[Setting]],nFacSBA[],4,FALSE),0)</f>
        <v>0</v>
      </c>
      <c r="AX78">
        <f>VLOOKUP(all_lmics[[worldbank_region]:[worldbank_region]],hbe[],2)</f>
        <v>0.3</v>
      </c>
      <c r="AY78">
        <f>VLOOKUP(all_lmics[[worldbank_region]:[worldbank_region]],hbe[],5)</f>
        <v>0.875</v>
      </c>
      <c r="AZ78">
        <f>VLOOKUP(all_lmics[[worldbank_region]:[worldbank_region]],hbe[],8)</f>
        <v>0.15</v>
      </c>
    </row>
    <row r="79" spans="1:52" x14ac:dyDescent="0.35">
      <c r="A79" s="12" t="s">
        <v>164</v>
      </c>
      <c r="B79" s="13" t="s">
        <v>46</v>
      </c>
      <c r="C79" s="46" t="s">
        <v>21</v>
      </c>
      <c r="D79" s="14" t="s">
        <v>383</v>
      </c>
      <c r="E79">
        <f>VLOOKUP(all_lmics[[Setting]:[Setting]],populations[],9,FALSE)</f>
        <v>32165485</v>
      </c>
      <c r="F79">
        <f>VLOOKUP(all_lmics[[Setting]:[Setting]],birthrate[],3,FALSE)</f>
        <v>1.9281E-2</v>
      </c>
      <c r="G79">
        <f>all_lmics[[#This Row],[2017_population]]*all_lmics[[#This Row],[2016_birthrate]]</f>
        <v>620182.71628499997</v>
      </c>
      <c r="H79">
        <f>VLOOKUP(all_lmics[[Setting]:[Setting]],birthdose[],4,FALSE)</f>
        <v>0.75</v>
      </c>
      <c r="I79">
        <f>VLOOKUP(all_lmics[[Setting]:[Setting]],fullvax[],4,FALSE)</f>
        <v>0.83</v>
      </c>
      <c r="J79">
        <f>IFERROR(VLOOKUP(all_lmics[[Setting]:[Setting]],prev[],3,FALSE),0)</f>
        <v>3.0000000000000001E-3</v>
      </c>
      <c r="K79">
        <f>IFERROR(VLOOKUP(all_lmics[[Setting]:[Setting]],prev[],4,FALSE),0)</f>
        <v>3.0000000000000001E-3</v>
      </c>
      <c r="L79">
        <f>IFERROR(VLOOKUP(all_lmics[[Setting]:[Setting]],prev[],5,FALSE),0)</f>
        <v>4.0000000000000001E-3</v>
      </c>
      <c r="M79">
        <f>IFERROR(VLOOKUP(all_lmics[[Setting]:[Setting]],prev[],7,FALSE),0)</f>
        <v>5.1020408163265311E-4</v>
      </c>
      <c r="N79">
        <f>IFERROR(VLOOKUP(all_lmics[[Setting]:[Setting]],prev[],6,FALSE),0)</f>
        <v>32165485</v>
      </c>
      <c r="O79">
        <f>IFERROR(VLOOKUP(all_lmics[[Setting]:[Setting]],SBA[],4,FALSE),0)</f>
        <v>0.92400000000000004</v>
      </c>
      <c r="P79">
        <f>IFERROR(VLOOKUP(all_lmics[[Setting]:[Setting]], facility[], 3,FALSE),0)</f>
        <v>0.91</v>
      </c>
      <c r="Q79">
        <f>IFERROR(VLOOKUP(all_lmics[[Setting]:[Setting]],all_cause_mort[],4,FALSE),0)</f>
        <v>1.2939015999999999E-2</v>
      </c>
      <c r="R79">
        <f>IFERROR(VLOOKUP(all_lmics[[Setting]:[Setting]],all_cause_mort[],5,FALSE),0)</f>
        <v>8.7709691999999996E-4</v>
      </c>
      <c r="S79">
        <f>IFERROR(VLOOKUP(all_lmics[[Setting]:[Setting]],all_cause_mort[],6,FALSE),0)</f>
        <v>4.9556572000000005E-4</v>
      </c>
      <c r="T79">
        <f>IFERROR(VLOOKUP(all_lmics[[Setting]:[Setting]],all_cause_mort[],7,FALSE),0)</f>
        <v>3.3616119999999998E-4</v>
      </c>
      <c r="U79">
        <f>IFERROR(VLOOKUP(all_lmics[[Setting]:[Setting]],all_cause_mort[],8,FALSE),0)</f>
        <v>7.9592344000000001E-4</v>
      </c>
      <c r="V79">
        <f>IFERROR(VLOOKUP(all_lmics[[Setting]:[Setting]],all_cause_mort[],9,FALSE),0)</f>
        <v>1.1835925E-3</v>
      </c>
      <c r="W79">
        <f>IFERROR(VLOOKUP(all_lmics[[Setting]:[Setting]],all_cause_mort[],10,FALSE),0)</f>
        <v>1.5371274E-3</v>
      </c>
      <c r="X79">
        <f>IFERROR(VLOOKUP(all_lmics[[Setting]:[Setting]],all_cause_mort[],11,FALSE),0)</f>
        <v>1.6903962999999999E-3</v>
      </c>
      <c r="Y79">
        <f>IFERROR(VLOOKUP(all_lmics[[Setting]:[Setting]],all_cause_mort[],12,FALSE),0)</f>
        <v>2.0229324E-3</v>
      </c>
      <c r="Z79">
        <f>IFERROR(VLOOKUP(all_lmics[[Setting]:[Setting]],all_cause_mort[],13,FALSE),0)</f>
        <v>2.5814811000000001E-3</v>
      </c>
      <c r="AA79">
        <f>IFERROR(VLOOKUP(all_lmics[[Setting]:[Setting]],all_cause_mort[],14,FALSE),0)</f>
        <v>3.4505136999999999E-3</v>
      </c>
      <c r="AB79">
        <f>IFERROR(VLOOKUP(all_lmics[[Setting]:[Setting]],all_cause_mort[],15,FALSE),0)</f>
        <v>4.8137229000000002E-3</v>
      </c>
      <c r="AC79">
        <f>IFERROR(VLOOKUP(all_lmics[[Setting]:[Setting]],all_cause_mort[],16,FALSE),0)</f>
        <v>6.9027120999999997E-3</v>
      </c>
      <c r="AD79">
        <f>IFERROR(VLOOKUP(all_lmics[[Setting]:[Setting]],all_cause_mort[],17,FALSE),0)</f>
        <v>1.0495192E-2</v>
      </c>
      <c r="AE79">
        <f>IFERROR(VLOOKUP(all_lmics[[Setting]:[Setting]],all_cause_mort[],18,FALSE),0)</f>
        <v>1.5838555000000001E-2</v>
      </c>
      <c r="AF79">
        <f>IFERROR(VLOOKUP(all_lmics[[Setting]:[Setting]],all_cause_mort[],19,FALSE),0)</f>
        <v>2.7426079999999999E-2</v>
      </c>
      <c r="AG79">
        <f>IFERROR(VLOOKUP(all_lmics[[Setting]:[Setting]],all_cause_mort[],20,FALSE),0)</f>
        <v>4.4070781000000003E-2</v>
      </c>
      <c r="AH79">
        <f>IFERROR(VLOOKUP(all_lmics[[Setting]:[Setting]],all_cause_mort[],21,FALSE),0)</f>
        <v>7.3844919999999994E-2</v>
      </c>
      <c r="AI79">
        <f>IFERROR(VLOOKUP(all_lmics[[Setting]:[Setting]],all_cause_mort[],22,FALSE),0)</f>
        <v>0.12225401</v>
      </c>
      <c r="AJ79">
        <f>IFERROR(VLOOKUP(all_lmics[[Setting]:[Setting]],all_cause_mort[],23,FALSE),0)</f>
        <v>0.18637312</v>
      </c>
      <c r="AK79">
        <f>IFERROR(VLOOKUP(all_lmics[[Setting]:[Setting]],all_cause_mort[],24,FALSE),0)</f>
        <v>0.26399128999999999</v>
      </c>
      <c r="AL79">
        <f>IFERROR(VLOOKUP(all_lmics[[Setting]:[Setting]],all_cause_mort[],25,FALSE),0)</f>
        <v>0.37807237681475703</v>
      </c>
      <c r="AM79">
        <f>VLOOKUP(all_lmics[[worldbank_region]:[worldbank_region]],Table13[],2,FALSE)</f>
        <v>86.85998699999999</v>
      </c>
      <c r="AN79">
        <f>VLOOKUP(all_lmics[[worldbank_region]:[worldbank_region]],Table13[],3,FALSE)</f>
        <v>86.85998699999999</v>
      </c>
      <c r="AO79">
        <f>VLOOKUP(all_lmics[[worldbank_region]:[worldbank_region]],Table13[],4,FALSE)</f>
        <v>134.58884699999999</v>
      </c>
      <c r="AP79">
        <f>VLOOKUP(all_lmics[[worldbank_region]:[worldbank_region]],Table13[],5,FALSE)</f>
        <v>134.58884699999999</v>
      </c>
      <c r="AQ79">
        <f>VLOOKUP(all_lmics[[worldbank_region]:[worldbank_region]],Table13[],6,FALSE)</f>
        <v>134.58884699999999</v>
      </c>
      <c r="AR79">
        <f>VLOOKUP(all_lmics[[worldbank_region]:[worldbank_region]],Table14[],2,FALSE)</f>
        <v>1.514642</v>
      </c>
      <c r="AS79">
        <f>VLOOKUP(all_lmics[[worldbank_region]:[worldbank_region]],Table14[],3,FALSE)</f>
        <v>2.132142</v>
      </c>
      <c r="AT79">
        <f>VLOOKUP(all_lmics[[worldbank_region]:[worldbank_region]],Table14[],4,FALSE)</f>
        <v>1.5364360000000001</v>
      </c>
      <c r="AU79">
        <f>VLOOKUP(all_lmics[[worldbank_region]:[worldbank_region]],Table14[],5,FALSE)</f>
        <v>2.1539359999999999</v>
      </c>
      <c r="AV79">
        <f>VLOOKUP(all_lmics[[worldbank_region]:[worldbank_region]],Table14[],6,FALSE)</f>
        <v>2.7241879999999998</v>
      </c>
      <c r="AW79">
        <f>IFERROR(VLOOKUP(all_lmics[[Setting]:[Setting]],nFacSBA[],4,FALSE),0)</f>
        <v>0.18261387062666498</v>
      </c>
      <c r="AX79">
        <f>VLOOKUP(all_lmics[[worldbank_region]:[worldbank_region]],hbe[],2)</f>
        <v>0.3</v>
      </c>
      <c r="AY79">
        <f>VLOOKUP(all_lmics[[worldbank_region]:[worldbank_region]],hbe[],5)</f>
        <v>0.875</v>
      </c>
      <c r="AZ79">
        <f>VLOOKUP(all_lmics[[worldbank_region]:[worldbank_region]],hbe[],8)</f>
        <v>0.15</v>
      </c>
    </row>
    <row r="80" spans="1:52" x14ac:dyDescent="0.35">
      <c r="A80" s="8" t="s">
        <v>32</v>
      </c>
      <c r="B80" s="10" t="s">
        <v>33</v>
      </c>
      <c r="C80" s="45" t="s">
        <v>5</v>
      </c>
      <c r="D80" s="11" t="s">
        <v>7</v>
      </c>
      <c r="E80">
        <f>VLOOKUP(all_lmics[[Setting]:[Setting]],populations[],9,FALSE)</f>
        <v>1492584</v>
      </c>
      <c r="F80">
        <f>VLOOKUP(all_lmics[[Setting]:[Setting]],birthrate[],3,FALSE)</f>
        <v>1.4762000000000001E-2</v>
      </c>
      <c r="G80">
        <f>all_lmics[[#This Row],[2017_population]]*all_lmics[[#This Row],[2016_birthrate]]</f>
        <v>22033.525008000001</v>
      </c>
      <c r="H80">
        <f>VLOOKUP(all_lmics[[Setting]:[Setting]],birthdose[],4,FALSE)</f>
        <v>0.99</v>
      </c>
      <c r="I80">
        <f>VLOOKUP(all_lmics[[Setting]:[Setting]],fullvax[],4,FALSE)</f>
        <v>0.98</v>
      </c>
      <c r="J80">
        <f>IFERROR(VLOOKUP(all_lmics[[Setting]:[Setting]],prev[],3,FALSE),0)</f>
        <v>0.01</v>
      </c>
      <c r="K80">
        <f>IFERROR(VLOOKUP(all_lmics[[Setting]:[Setting]],prev[],4,FALSE),0)</f>
        <v>6.0000000000000001E-3</v>
      </c>
      <c r="L80">
        <f>IFERROR(VLOOKUP(all_lmics[[Setting]:[Setting]],prev[],5,FALSE),0)</f>
        <v>1.0999999999999999E-2</v>
      </c>
      <c r="M80">
        <f>IFERROR(VLOOKUP(all_lmics[[Setting]:[Setting]],prev[],7,FALSE),0)</f>
        <v>5.1020408163265267E-4</v>
      </c>
      <c r="N80">
        <f>IFERROR(VLOOKUP(all_lmics[[Setting]:[Setting]],prev[],6,FALSE),0)</f>
        <v>1492584</v>
      </c>
      <c r="O80">
        <f>IFERROR(VLOOKUP(all_lmics[[Setting]:[Setting]],SBA[],4,FALSE),0)</f>
        <v>0.997</v>
      </c>
      <c r="P80">
        <f>IFERROR(VLOOKUP(all_lmics[[Setting]:[Setting]], facility[], 3,FALSE),0)</f>
        <v>0.97499999999999998</v>
      </c>
      <c r="Q80">
        <f>IFERROR(VLOOKUP(all_lmics[[Setting]:[Setting]],all_cause_mort[],4,FALSE),0)</f>
        <v>5.9573313000000003E-3</v>
      </c>
      <c r="R80">
        <f>IFERROR(VLOOKUP(all_lmics[[Setting]:[Setting]],all_cause_mort[],5,FALSE),0)</f>
        <v>4.1705639999999999E-4</v>
      </c>
      <c r="S80">
        <f>IFERROR(VLOOKUP(all_lmics[[Setting]:[Setting]],all_cause_mort[],6,FALSE),0)</f>
        <v>1.8959477E-4</v>
      </c>
      <c r="T80">
        <f>IFERROR(VLOOKUP(all_lmics[[Setting]:[Setting]],all_cause_mort[],7,FALSE),0)</f>
        <v>1.7063376E-4</v>
      </c>
      <c r="U80">
        <f>IFERROR(VLOOKUP(all_lmics[[Setting]:[Setting]],all_cause_mort[],8,FALSE),0)</f>
        <v>4.0767456E-4</v>
      </c>
      <c r="V80">
        <f>IFERROR(VLOOKUP(all_lmics[[Setting]:[Setting]],all_cause_mort[],9,FALSE),0)</f>
        <v>5.1060430999999996E-4</v>
      </c>
      <c r="W80">
        <f>IFERROR(VLOOKUP(all_lmics[[Setting]:[Setting]],all_cause_mort[],10,FALSE),0)</f>
        <v>5.0177434000000002E-4</v>
      </c>
      <c r="X80">
        <f>IFERROR(VLOOKUP(all_lmics[[Setting]:[Setting]],all_cause_mort[],11,FALSE),0)</f>
        <v>5.8834423000000003E-4</v>
      </c>
      <c r="Y80">
        <f>IFERROR(VLOOKUP(all_lmics[[Setting]:[Setting]],all_cause_mort[],12,FALSE),0)</f>
        <v>7.0266035000000004E-4</v>
      </c>
      <c r="Z80">
        <f>IFERROR(VLOOKUP(all_lmics[[Setting]:[Setting]],all_cause_mort[],13,FALSE),0)</f>
        <v>1.056066E-3</v>
      </c>
      <c r="AA80">
        <f>IFERROR(VLOOKUP(all_lmics[[Setting]:[Setting]],all_cause_mort[],14,FALSE),0)</f>
        <v>1.6606265000000001E-3</v>
      </c>
      <c r="AB80">
        <f>IFERROR(VLOOKUP(all_lmics[[Setting]:[Setting]],all_cause_mort[],15,FALSE),0)</f>
        <v>2.6860878E-3</v>
      </c>
      <c r="AC80">
        <f>IFERROR(VLOOKUP(all_lmics[[Setting]:[Setting]],all_cause_mort[],16,FALSE),0)</f>
        <v>5.7750494999999997E-3</v>
      </c>
      <c r="AD80">
        <f>IFERROR(VLOOKUP(all_lmics[[Setting]:[Setting]],all_cause_mort[],17,FALSE),0)</f>
        <v>1.1337244E-2</v>
      </c>
      <c r="AE80">
        <f>IFERROR(VLOOKUP(all_lmics[[Setting]:[Setting]],all_cause_mort[],18,FALSE),0)</f>
        <v>2.0982132000000001E-2</v>
      </c>
      <c r="AF80">
        <f>IFERROR(VLOOKUP(all_lmics[[Setting]:[Setting]],all_cause_mort[],19,FALSE),0)</f>
        <v>3.6393970999999997E-2</v>
      </c>
      <c r="AG80">
        <f>IFERROR(VLOOKUP(all_lmics[[Setting]:[Setting]],all_cause_mort[],20,FALSE),0)</f>
        <v>6.3547267000000004E-2</v>
      </c>
      <c r="AH80">
        <f>IFERROR(VLOOKUP(all_lmics[[Setting]:[Setting]],all_cause_mort[],21,FALSE),0)</f>
        <v>0.10533360999999999</v>
      </c>
      <c r="AI80">
        <f>IFERROR(VLOOKUP(all_lmics[[Setting]:[Setting]],all_cause_mort[],22,FALSE),0)</f>
        <v>0.16577965</v>
      </c>
      <c r="AJ80">
        <f>IFERROR(VLOOKUP(all_lmics[[Setting]:[Setting]],all_cause_mort[],23,FALSE),0)</f>
        <v>0.24436367000000001</v>
      </c>
      <c r="AK80">
        <f>IFERROR(VLOOKUP(all_lmics[[Setting]:[Setting]],all_cause_mort[],24,FALSE),0)</f>
        <v>0.34512827000000001</v>
      </c>
      <c r="AL80">
        <f>IFERROR(VLOOKUP(all_lmics[[Setting]:[Setting]],all_cause_mort[],25,FALSE),0)</f>
        <v>0.48283742308701599</v>
      </c>
      <c r="AM80">
        <f>VLOOKUP(all_lmics[[worldbank_region]:[worldbank_region]],Table13[],2,FALSE)</f>
        <v>57.906657999999993</v>
      </c>
      <c r="AN80">
        <f>VLOOKUP(all_lmics[[worldbank_region]:[worldbank_region]],Table13[],3,FALSE)</f>
        <v>57.906657999999993</v>
      </c>
      <c r="AO80">
        <f>VLOOKUP(all_lmics[[worldbank_region]:[worldbank_region]],Table13[],4,FALSE)</f>
        <v>105.63551799999999</v>
      </c>
      <c r="AP80">
        <f>VLOOKUP(all_lmics[[worldbank_region]:[worldbank_region]],Table13[],5,FALSE)</f>
        <v>105.63551799999999</v>
      </c>
      <c r="AQ80">
        <f>VLOOKUP(all_lmics[[worldbank_region]:[worldbank_region]],Table13[],6,FALSE)</f>
        <v>105.63551799999999</v>
      </c>
      <c r="AR80">
        <f>VLOOKUP(all_lmics[[worldbank_region]:[worldbank_region]],Table14[],2,FALSE)</f>
        <v>1.5037449999999999</v>
      </c>
      <c r="AS80">
        <f>VLOOKUP(all_lmics[[worldbank_region]:[worldbank_region]],Table14[],3,FALSE)</f>
        <v>2.121245</v>
      </c>
      <c r="AT80">
        <f>VLOOKUP(all_lmics[[worldbank_region]:[worldbank_region]],Table14[],4,FALSE)</f>
        <v>1.9832129999999999</v>
      </c>
      <c r="AU80">
        <f>VLOOKUP(all_lmics[[worldbank_region]:[worldbank_region]],Table14[],5,FALSE)</f>
        <v>2.6007129999999998</v>
      </c>
      <c r="AV80">
        <f>VLOOKUP(all_lmics[[worldbank_region]:[worldbank_region]],Table14[],6,FALSE)</f>
        <v>3.1709649999999998</v>
      </c>
      <c r="AW80">
        <f>IFERROR(VLOOKUP(all_lmics[[Setting]:[Setting]],nFacSBA[],4,FALSE),0)</f>
        <v>0</v>
      </c>
      <c r="AX80">
        <f>VLOOKUP(all_lmics[[worldbank_region]:[worldbank_region]],hbe[],2)</f>
        <v>0.3</v>
      </c>
      <c r="AY80">
        <f>VLOOKUP(all_lmics[[worldbank_region]:[worldbank_region]],hbe[],5)</f>
        <v>0.875</v>
      </c>
      <c r="AZ80">
        <f>VLOOKUP(all_lmics[[worldbank_region]:[worldbank_region]],hbe[],8)</f>
        <v>0.15</v>
      </c>
    </row>
    <row r="81" spans="1:52" x14ac:dyDescent="0.35">
      <c r="A81" s="12" t="s">
        <v>110</v>
      </c>
      <c r="B81" s="13" t="s">
        <v>33</v>
      </c>
      <c r="C81" s="46" t="s">
        <v>5</v>
      </c>
      <c r="D81" s="14" t="s">
        <v>7</v>
      </c>
      <c r="E81">
        <f>VLOOKUP(all_lmics[[Setting]:[Setting]],populations[],9,FALSE)</f>
        <v>81162788</v>
      </c>
      <c r="F81">
        <f>VLOOKUP(all_lmics[[Setting]:[Setting]],birthrate[],3,FALSE)</f>
        <v>1.6544E-2</v>
      </c>
      <c r="G81">
        <f>all_lmics[[#This Row],[2017_population]]*all_lmics[[#This Row],[2016_birthrate]]</f>
        <v>1342757.1646719999</v>
      </c>
      <c r="H81">
        <f>VLOOKUP(all_lmics[[Setting]:[Setting]],birthdose[],4,FALSE)</f>
        <v>0.95</v>
      </c>
      <c r="I81">
        <f>VLOOKUP(all_lmics[[Setting]:[Setting]],fullvax[],4,FALSE)</f>
        <v>0.99</v>
      </c>
      <c r="J81">
        <f>IFERROR(VLOOKUP(all_lmics[[Setting]:[Setting]],prev[],3,FALSE),0)</f>
        <v>1.7000000000000001E-2</v>
      </c>
      <c r="K81">
        <f>IFERROR(VLOOKUP(all_lmics[[Setting]:[Setting]],prev[],4,FALSE),0)</f>
        <v>1.6E-2</v>
      </c>
      <c r="L81">
        <f>IFERROR(VLOOKUP(all_lmics[[Setting]:[Setting]],prev[],5,FALSE),0)</f>
        <v>1.9E-2</v>
      </c>
      <c r="M81">
        <f>IFERROR(VLOOKUP(all_lmics[[Setting]:[Setting]],prev[],7,FALSE),0)</f>
        <v>1.0204081632653053E-3</v>
      </c>
      <c r="N81">
        <f>IFERROR(VLOOKUP(all_lmics[[Setting]:[Setting]],prev[],6,FALSE),0)</f>
        <v>81162788</v>
      </c>
      <c r="O81">
        <f>IFERROR(VLOOKUP(all_lmics[[Setting]:[Setting]],SBA[],4,FALSE),0)</f>
        <v>0.99</v>
      </c>
      <c r="P81">
        <f>IFERROR(VLOOKUP(all_lmics[[Setting]:[Setting]], facility[], 3,FALSE),0)</f>
        <v>0.95340000000000003</v>
      </c>
      <c r="Q81">
        <f>IFERROR(VLOOKUP(all_lmics[[Setting]:[Setting]],all_cause_mort[],4,FALSE),0)</f>
        <v>1.2969764999999999E-2</v>
      </c>
      <c r="R81">
        <f>IFERROR(VLOOKUP(all_lmics[[Setting]:[Setting]],all_cause_mort[],5,FALSE),0)</f>
        <v>5.3251361000000003E-4</v>
      </c>
      <c r="S81">
        <f>IFERROR(VLOOKUP(all_lmics[[Setting]:[Setting]],all_cause_mort[],6,FALSE),0)</f>
        <v>1.7599754000000001E-4</v>
      </c>
      <c r="T81">
        <f>IFERROR(VLOOKUP(all_lmics[[Setting]:[Setting]],all_cause_mort[],7,FALSE),0)</f>
        <v>1.9603451000000001E-4</v>
      </c>
      <c r="U81">
        <f>IFERROR(VLOOKUP(all_lmics[[Setting]:[Setting]],all_cause_mort[],8,FALSE),0)</f>
        <v>4.2712262000000001E-4</v>
      </c>
      <c r="V81">
        <f>IFERROR(VLOOKUP(all_lmics[[Setting]:[Setting]],all_cause_mort[],9,FALSE),0)</f>
        <v>7.6081673999999996E-4</v>
      </c>
      <c r="W81">
        <f>IFERROR(VLOOKUP(all_lmics[[Setting]:[Setting]],all_cause_mort[],10,FALSE),0)</f>
        <v>5.9267396000000001E-4</v>
      </c>
      <c r="X81">
        <f>IFERROR(VLOOKUP(all_lmics[[Setting]:[Setting]],all_cause_mort[],11,FALSE),0)</f>
        <v>6.4608730000000004E-4</v>
      </c>
      <c r="Y81">
        <f>IFERROR(VLOOKUP(all_lmics[[Setting]:[Setting]],all_cause_mort[],12,FALSE),0)</f>
        <v>7.0703029999999998E-4</v>
      </c>
      <c r="Z81">
        <f>IFERROR(VLOOKUP(all_lmics[[Setting]:[Setting]],all_cause_mort[],13,FALSE),0)</f>
        <v>1.0421781E-3</v>
      </c>
      <c r="AA81">
        <f>IFERROR(VLOOKUP(all_lmics[[Setting]:[Setting]],all_cause_mort[],14,FALSE),0)</f>
        <v>1.7465911000000001E-3</v>
      </c>
      <c r="AB81">
        <f>IFERROR(VLOOKUP(all_lmics[[Setting]:[Setting]],all_cause_mort[],15,FALSE),0)</f>
        <v>3.2633736000000002E-3</v>
      </c>
      <c r="AC81">
        <f>IFERROR(VLOOKUP(all_lmics[[Setting]:[Setting]],all_cause_mort[],16,FALSE),0)</f>
        <v>4.8517519000000004E-3</v>
      </c>
      <c r="AD81">
        <f>IFERROR(VLOOKUP(all_lmics[[Setting]:[Setting]],all_cause_mort[],17,FALSE),0)</f>
        <v>9.0514676999999995E-3</v>
      </c>
      <c r="AE81">
        <f>IFERROR(VLOOKUP(all_lmics[[Setting]:[Setting]],all_cause_mort[],18,FALSE),0)</f>
        <v>1.6774185E-2</v>
      </c>
      <c r="AF81">
        <f>IFERROR(VLOOKUP(all_lmics[[Setting]:[Setting]],all_cause_mort[],19,FALSE),0)</f>
        <v>3.4748749000000002E-2</v>
      </c>
      <c r="AG81">
        <f>IFERROR(VLOOKUP(all_lmics[[Setting]:[Setting]],all_cause_mort[],20,FALSE),0)</f>
        <v>7.5644959999999997E-2</v>
      </c>
      <c r="AH81">
        <f>IFERROR(VLOOKUP(all_lmics[[Setting]:[Setting]],all_cause_mort[],21,FALSE),0)</f>
        <v>0.12058642999999999</v>
      </c>
      <c r="AI81">
        <f>IFERROR(VLOOKUP(all_lmics[[Setting]:[Setting]],all_cause_mort[],22,FALSE),0)</f>
        <v>0.19038331</v>
      </c>
      <c r="AJ81">
        <f>IFERROR(VLOOKUP(all_lmics[[Setting]:[Setting]],all_cause_mort[],23,FALSE),0)</f>
        <v>0.29429443</v>
      </c>
      <c r="AK81">
        <f>IFERROR(VLOOKUP(all_lmics[[Setting]:[Setting]],all_cause_mort[],24,FALSE),0)</f>
        <v>0.42652795999999998</v>
      </c>
      <c r="AL81">
        <f>IFERROR(VLOOKUP(all_lmics[[Setting]:[Setting]],all_cause_mort[],25,FALSE),0)</f>
        <v>0.57712136250504797</v>
      </c>
      <c r="AM81">
        <f>VLOOKUP(all_lmics[[worldbank_region]:[worldbank_region]],Table13[],2,FALSE)</f>
        <v>57.906657999999993</v>
      </c>
      <c r="AN81">
        <f>VLOOKUP(all_lmics[[worldbank_region]:[worldbank_region]],Table13[],3,FALSE)</f>
        <v>57.906657999999993</v>
      </c>
      <c r="AO81">
        <f>VLOOKUP(all_lmics[[worldbank_region]:[worldbank_region]],Table13[],4,FALSE)</f>
        <v>105.63551799999999</v>
      </c>
      <c r="AP81">
        <f>VLOOKUP(all_lmics[[worldbank_region]:[worldbank_region]],Table13[],5,FALSE)</f>
        <v>105.63551799999999</v>
      </c>
      <c r="AQ81">
        <f>VLOOKUP(all_lmics[[worldbank_region]:[worldbank_region]],Table13[],6,FALSE)</f>
        <v>105.63551799999999</v>
      </c>
      <c r="AR81">
        <f>VLOOKUP(all_lmics[[worldbank_region]:[worldbank_region]],Table14[],2,FALSE)</f>
        <v>1.5037449999999999</v>
      </c>
      <c r="AS81">
        <f>VLOOKUP(all_lmics[[worldbank_region]:[worldbank_region]],Table14[],3,FALSE)</f>
        <v>2.121245</v>
      </c>
      <c r="AT81">
        <f>VLOOKUP(all_lmics[[worldbank_region]:[worldbank_region]],Table14[],4,FALSE)</f>
        <v>1.9832129999999999</v>
      </c>
      <c r="AU81">
        <f>VLOOKUP(all_lmics[[worldbank_region]:[worldbank_region]],Table14[],5,FALSE)</f>
        <v>2.6007129999999998</v>
      </c>
      <c r="AV81">
        <f>VLOOKUP(all_lmics[[worldbank_region]:[worldbank_region]],Table14[],6,FALSE)</f>
        <v>3.1709649999999998</v>
      </c>
      <c r="AW81">
        <f>IFERROR(VLOOKUP(all_lmics[[Setting]:[Setting]],nFacSBA[],4,FALSE),0)</f>
        <v>0</v>
      </c>
      <c r="AX81">
        <f>VLOOKUP(all_lmics[[worldbank_region]:[worldbank_region]],hbe[],2)</f>
        <v>0.3</v>
      </c>
      <c r="AY81">
        <f>VLOOKUP(all_lmics[[worldbank_region]:[worldbank_region]],hbe[],5)</f>
        <v>0.875</v>
      </c>
      <c r="AZ81">
        <f>VLOOKUP(all_lmics[[worldbank_region]:[worldbank_region]],hbe[],8)</f>
        <v>0.15</v>
      </c>
    </row>
    <row r="82" spans="1:52" x14ac:dyDescent="0.35">
      <c r="A82" s="8" t="s">
        <v>117</v>
      </c>
      <c r="B82" s="10" t="s">
        <v>33</v>
      </c>
      <c r="C82" s="45" t="s">
        <v>5</v>
      </c>
      <c r="D82" s="11" t="s">
        <v>7</v>
      </c>
      <c r="E82">
        <f>VLOOKUP(all_lmics[[Setting]:[Setting]],populations[],9,FALSE)</f>
        <v>9702353</v>
      </c>
      <c r="F82">
        <f>VLOOKUP(all_lmics[[Setting]:[Setting]],birthrate[],3,FALSE)</f>
        <v>2.6468999999999999E-2</v>
      </c>
      <c r="G82">
        <f>all_lmics[[#This Row],[2017_population]]*all_lmics[[#This Row],[2016_birthrate]]</f>
        <v>256811.581557</v>
      </c>
      <c r="H82">
        <f>VLOOKUP(all_lmics[[Setting]:[Setting]],birthdose[],4,FALSE)</f>
        <v>0</v>
      </c>
      <c r="I82">
        <f>VLOOKUP(all_lmics[[Setting]:[Setting]],fullvax[],4,FALSE)</f>
        <v>0.99</v>
      </c>
      <c r="J82">
        <f>IFERROR(VLOOKUP(all_lmics[[Setting]:[Setting]],prev[],3,FALSE),0)</f>
        <v>2.4E-2</v>
      </c>
      <c r="K82">
        <f>IFERROR(VLOOKUP(all_lmics[[Setting]:[Setting]],prev[],4,FALSE),0)</f>
        <v>1.3000000000000001E-2</v>
      </c>
      <c r="L82">
        <f>IFERROR(VLOOKUP(all_lmics[[Setting]:[Setting]],prev[],5,FALSE),0)</f>
        <v>2.7999999999999997E-2</v>
      </c>
      <c r="M82">
        <f>IFERROR(VLOOKUP(all_lmics[[Setting]:[Setting]],prev[],7,FALSE),0)</f>
        <v>2.0408163265306107E-3</v>
      </c>
      <c r="N82">
        <f>IFERROR(VLOOKUP(all_lmics[[Setting]:[Setting]],prev[],6,FALSE),0)</f>
        <v>9702353</v>
      </c>
      <c r="O82">
        <f>IFERROR(VLOOKUP(all_lmics[[Setting]:[Setting]],SBA[],4,FALSE),0)</f>
        <v>0.996</v>
      </c>
      <c r="P82">
        <f>IFERROR(VLOOKUP(all_lmics[[Setting]:[Setting]], facility[], 3,FALSE),0)</f>
        <v>0.98799999999999999</v>
      </c>
      <c r="Q82">
        <f>IFERROR(VLOOKUP(all_lmics[[Setting]:[Setting]],all_cause_mort[],4,FALSE),0)</f>
        <v>1.4830437E-2</v>
      </c>
      <c r="R82">
        <f>IFERROR(VLOOKUP(all_lmics[[Setting]:[Setting]],all_cause_mort[],5,FALSE),0)</f>
        <v>6.1055954E-4</v>
      </c>
      <c r="S82">
        <f>IFERROR(VLOOKUP(all_lmics[[Setting]:[Setting]],all_cause_mort[],6,FALSE),0)</f>
        <v>3.2855490999999999E-4</v>
      </c>
      <c r="T82">
        <f>IFERROR(VLOOKUP(all_lmics[[Setting]:[Setting]],all_cause_mort[],7,FALSE),0)</f>
        <v>2.7595562E-4</v>
      </c>
      <c r="U82">
        <f>IFERROR(VLOOKUP(all_lmics[[Setting]:[Setting]],all_cause_mort[],8,FALSE),0)</f>
        <v>5.1262479999999999E-4</v>
      </c>
      <c r="V82">
        <f>IFERROR(VLOOKUP(all_lmics[[Setting]:[Setting]],all_cause_mort[],9,FALSE),0)</f>
        <v>7.1736133E-4</v>
      </c>
      <c r="W82">
        <f>IFERROR(VLOOKUP(all_lmics[[Setting]:[Setting]],all_cause_mort[],10,FALSE),0)</f>
        <v>7.7324589999999997E-4</v>
      </c>
      <c r="X82">
        <f>IFERROR(VLOOKUP(all_lmics[[Setting]:[Setting]],all_cause_mort[],11,FALSE),0)</f>
        <v>9.1262627000000005E-4</v>
      </c>
      <c r="Y82">
        <f>IFERROR(VLOOKUP(all_lmics[[Setting]:[Setting]],all_cause_mort[],12,FALSE),0)</f>
        <v>1.2259897000000001E-3</v>
      </c>
      <c r="Z82">
        <f>IFERROR(VLOOKUP(all_lmics[[Setting]:[Setting]],all_cause_mort[],13,FALSE),0)</f>
        <v>1.8592203000000001E-3</v>
      </c>
      <c r="AA82">
        <f>IFERROR(VLOOKUP(all_lmics[[Setting]:[Setting]],all_cause_mort[],14,FALSE),0)</f>
        <v>3.1346363000000002E-3</v>
      </c>
      <c r="AB82">
        <f>IFERROR(VLOOKUP(all_lmics[[Setting]:[Setting]],all_cause_mort[],15,FALSE),0)</f>
        <v>5.1328703999999996E-3</v>
      </c>
      <c r="AC82">
        <f>IFERROR(VLOOKUP(all_lmics[[Setting]:[Setting]],all_cause_mort[],16,FALSE),0)</f>
        <v>8.5350900000000004E-3</v>
      </c>
      <c r="AD82">
        <f>IFERROR(VLOOKUP(all_lmics[[Setting]:[Setting]],all_cause_mort[],17,FALSE),0)</f>
        <v>1.3821190000000001E-2</v>
      </c>
      <c r="AE82">
        <f>IFERROR(VLOOKUP(all_lmics[[Setting]:[Setting]],all_cause_mort[],18,FALSE),0)</f>
        <v>2.3326461E-2</v>
      </c>
      <c r="AF82">
        <f>IFERROR(VLOOKUP(all_lmics[[Setting]:[Setting]],all_cause_mort[],19,FALSE),0)</f>
        <v>3.9570833999999999E-2</v>
      </c>
      <c r="AG82">
        <f>IFERROR(VLOOKUP(all_lmics[[Setting]:[Setting]],all_cause_mort[],20,FALSE),0)</f>
        <v>6.6974896000000006E-2</v>
      </c>
      <c r="AH82">
        <f>IFERROR(VLOOKUP(all_lmics[[Setting]:[Setting]],all_cause_mort[],21,FALSE),0)</f>
        <v>0.11460426</v>
      </c>
      <c r="AI82">
        <f>IFERROR(VLOOKUP(all_lmics[[Setting]:[Setting]],all_cause_mort[],22,FALSE),0)</f>
        <v>0.18476210000000001</v>
      </c>
      <c r="AJ82">
        <f>IFERROR(VLOOKUP(all_lmics[[Setting]:[Setting]],all_cause_mort[],23,FALSE),0)</f>
        <v>0.28240272999999999</v>
      </c>
      <c r="AK82">
        <f>IFERROR(VLOOKUP(all_lmics[[Setting]:[Setting]],all_cause_mort[],24,FALSE),0)</f>
        <v>0.40063808000000001</v>
      </c>
      <c r="AL82">
        <f>IFERROR(VLOOKUP(all_lmics[[Setting]:[Setting]],all_cause_mort[],25,FALSE),0)</f>
        <v>0.55497890164458596</v>
      </c>
      <c r="AM82">
        <f>VLOOKUP(all_lmics[[worldbank_region]:[worldbank_region]],Table13[],2,FALSE)</f>
        <v>57.906657999999993</v>
      </c>
      <c r="AN82">
        <f>VLOOKUP(all_lmics[[worldbank_region]:[worldbank_region]],Table13[],3,FALSE)</f>
        <v>57.906657999999993</v>
      </c>
      <c r="AO82">
        <f>VLOOKUP(all_lmics[[worldbank_region]:[worldbank_region]],Table13[],4,FALSE)</f>
        <v>105.63551799999999</v>
      </c>
      <c r="AP82">
        <f>VLOOKUP(all_lmics[[worldbank_region]:[worldbank_region]],Table13[],5,FALSE)</f>
        <v>105.63551799999999</v>
      </c>
      <c r="AQ82">
        <f>VLOOKUP(all_lmics[[worldbank_region]:[worldbank_region]],Table13[],6,FALSE)</f>
        <v>105.63551799999999</v>
      </c>
      <c r="AR82">
        <f>VLOOKUP(all_lmics[[worldbank_region]:[worldbank_region]],Table14[],2,FALSE)</f>
        <v>1.5037449999999999</v>
      </c>
      <c r="AS82">
        <f>VLOOKUP(all_lmics[[worldbank_region]:[worldbank_region]],Table14[],3,FALSE)</f>
        <v>2.121245</v>
      </c>
      <c r="AT82">
        <f>VLOOKUP(all_lmics[[worldbank_region]:[worldbank_region]],Table14[],4,FALSE)</f>
        <v>1.9832129999999999</v>
      </c>
      <c r="AU82">
        <f>VLOOKUP(all_lmics[[worldbank_region]:[worldbank_region]],Table14[],5,FALSE)</f>
        <v>2.6007129999999998</v>
      </c>
      <c r="AV82">
        <f>VLOOKUP(all_lmics[[worldbank_region]:[worldbank_region]],Table14[],6,FALSE)</f>
        <v>3.1709649999999998</v>
      </c>
      <c r="AW82">
        <f>IFERROR(VLOOKUP(all_lmics[[Setting]:[Setting]],nFacSBA[],4,FALSE),0)</f>
        <v>0.63661641676433733</v>
      </c>
      <c r="AX82">
        <f>VLOOKUP(all_lmics[[worldbank_region]:[worldbank_region]],hbe[],2)</f>
        <v>0.3</v>
      </c>
      <c r="AY82">
        <f>VLOOKUP(all_lmics[[worldbank_region]:[worldbank_region]],hbe[],5)</f>
        <v>0.875</v>
      </c>
      <c r="AZ82">
        <f>VLOOKUP(all_lmics[[worldbank_region]:[worldbank_region]],hbe[],8)</f>
        <v>0.15</v>
      </c>
    </row>
    <row r="83" spans="1:52" x14ac:dyDescent="0.35">
      <c r="A83" s="8" t="s">
        <v>121</v>
      </c>
      <c r="B83" s="10" t="s">
        <v>33</v>
      </c>
      <c r="C83" s="45" t="s">
        <v>5</v>
      </c>
      <c r="D83" s="11" t="s">
        <v>7</v>
      </c>
      <c r="E83">
        <f>VLOOKUP(all_lmics[[Setting]:[Setting]],populations[],9,FALSE)</f>
        <v>4136528</v>
      </c>
      <c r="F83">
        <f>VLOOKUP(all_lmics[[Setting]:[Setting]],birthrate[],3,FALSE)</f>
        <v>1.6416E-2</v>
      </c>
      <c r="G83">
        <f>all_lmics[[#This Row],[2017_population]]*all_lmics[[#This Row],[2016_birthrate]]</f>
        <v>67905.243648000003</v>
      </c>
      <c r="H83">
        <f>VLOOKUP(all_lmics[[Setting]:[Setting]],birthdose[],4,FALSE)</f>
        <v>0.99</v>
      </c>
      <c r="I83">
        <f>VLOOKUP(all_lmics[[Setting]:[Setting]],fullvax[],4,FALSE)</f>
        <v>0.99</v>
      </c>
      <c r="J83">
        <f>IFERROR(VLOOKUP(all_lmics[[Setting]:[Setting]],prev[],3,FALSE),0)</f>
        <v>1.7999999999999999E-2</v>
      </c>
      <c r="K83">
        <f>IFERROR(VLOOKUP(all_lmics[[Setting]:[Setting]],prev[],4,FALSE),0)</f>
        <v>1.0999999999999999E-2</v>
      </c>
      <c r="L83">
        <f>IFERROR(VLOOKUP(all_lmics[[Setting]:[Setting]],prev[],5,FALSE),0)</f>
        <v>2.4E-2</v>
      </c>
      <c r="M83">
        <f>IFERROR(VLOOKUP(all_lmics[[Setting]:[Setting]],prev[],7,FALSE),0)</f>
        <v>3.0612244897959195E-3</v>
      </c>
      <c r="N83">
        <f>IFERROR(VLOOKUP(all_lmics[[Setting]:[Setting]],prev[],6,FALSE),0)</f>
        <v>4136528</v>
      </c>
      <c r="O83">
        <f>IFERROR(VLOOKUP(all_lmics[[Setting]:[Setting]],SBA[],4,FALSE),0)</f>
        <v>0.99900000000000011</v>
      </c>
      <c r="P83">
        <f>IFERROR(VLOOKUP(all_lmics[[Setting]:[Setting]], facility[], 3,FALSE),0)</f>
        <v>0.98699999999999999</v>
      </c>
      <c r="Q83">
        <f>IFERROR(VLOOKUP(all_lmics[[Setting]:[Setting]],all_cause_mort[],4,FALSE),0)</f>
        <v>7.1672714000000004E-3</v>
      </c>
      <c r="R83">
        <f>IFERROR(VLOOKUP(all_lmics[[Setting]:[Setting]],all_cause_mort[],5,FALSE),0)</f>
        <v>2.9626590000000002E-4</v>
      </c>
      <c r="S83">
        <f>IFERROR(VLOOKUP(all_lmics[[Setting]:[Setting]],all_cause_mort[],6,FALSE),0)</f>
        <v>1.7207493E-4</v>
      </c>
      <c r="T83">
        <f>IFERROR(VLOOKUP(all_lmics[[Setting]:[Setting]],all_cause_mort[],7,FALSE),0)</f>
        <v>2.1437556000000001E-4</v>
      </c>
      <c r="U83">
        <f>IFERROR(VLOOKUP(all_lmics[[Setting]:[Setting]],all_cause_mort[],8,FALSE),0)</f>
        <v>5.1450683999999997E-4</v>
      </c>
      <c r="V83">
        <f>IFERROR(VLOOKUP(all_lmics[[Setting]:[Setting]],all_cause_mort[],9,FALSE),0)</f>
        <v>6.0125076E-4</v>
      </c>
      <c r="W83">
        <f>IFERROR(VLOOKUP(all_lmics[[Setting]:[Setting]],all_cause_mort[],10,FALSE),0)</f>
        <v>5.4257847999999997E-4</v>
      </c>
      <c r="X83">
        <f>IFERROR(VLOOKUP(all_lmics[[Setting]:[Setting]],all_cause_mort[],11,FALSE),0)</f>
        <v>4.7426097999999999E-4</v>
      </c>
      <c r="Y83">
        <f>IFERROR(VLOOKUP(all_lmics[[Setting]:[Setting]],all_cause_mort[],12,FALSE),0)</f>
        <v>6.6664744999999997E-4</v>
      </c>
      <c r="Z83">
        <f>IFERROR(VLOOKUP(all_lmics[[Setting]:[Setting]],all_cause_mort[],13,FALSE),0)</f>
        <v>9.3556881000000003E-4</v>
      </c>
      <c r="AA83">
        <f>IFERROR(VLOOKUP(all_lmics[[Setting]:[Setting]],all_cause_mort[],14,FALSE),0)</f>
        <v>1.5268238999999999E-3</v>
      </c>
      <c r="AB83">
        <f>IFERROR(VLOOKUP(all_lmics[[Setting]:[Setting]],all_cause_mort[],15,FALSE),0)</f>
        <v>2.6764398999999999E-3</v>
      </c>
      <c r="AC83">
        <f>IFERROR(VLOOKUP(all_lmics[[Setting]:[Setting]],all_cause_mort[],16,FALSE),0)</f>
        <v>4.2780980999999997E-3</v>
      </c>
      <c r="AD83">
        <f>IFERROR(VLOOKUP(all_lmics[[Setting]:[Setting]],all_cause_mort[],17,FALSE),0)</f>
        <v>1.1424971000000001E-2</v>
      </c>
      <c r="AE83">
        <f>IFERROR(VLOOKUP(all_lmics[[Setting]:[Setting]],all_cause_mort[],18,FALSE),0)</f>
        <v>2.5152573000000001E-2</v>
      </c>
      <c r="AF83">
        <f>IFERROR(VLOOKUP(all_lmics[[Setting]:[Setting]],all_cause_mort[],19,FALSE),0)</f>
        <v>4.7921651000000003E-2</v>
      </c>
      <c r="AG83">
        <f>IFERROR(VLOOKUP(all_lmics[[Setting]:[Setting]],all_cause_mort[],20,FALSE),0)</f>
        <v>8.8931547E-2</v>
      </c>
      <c r="AH83">
        <f>IFERROR(VLOOKUP(all_lmics[[Setting]:[Setting]],all_cause_mort[],21,FALSE),0)</f>
        <v>0.15683580999999999</v>
      </c>
      <c r="AI83">
        <f>IFERROR(VLOOKUP(all_lmics[[Setting]:[Setting]],all_cause_mort[],22,FALSE),0)</f>
        <v>0.25903672</v>
      </c>
      <c r="AJ83">
        <f>IFERROR(VLOOKUP(all_lmics[[Setting]:[Setting]],all_cause_mort[],23,FALSE),0)</f>
        <v>0.40478019999999998</v>
      </c>
      <c r="AK83">
        <f>IFERROR(VLOOKUP(all_lmics[[Setting]:[Setting]],all_cause_mort[],24,FALSE),0)</f>
        <v>0.56653547000000004</v>
      </c>
      <c r="AL83">
        <f>IFERROR(VLOOKUP(all_lmics[[Setting]:[Setting]],all_cause_mort[],25,FALSE),0)</f>
        <v>0.68935813037251303</v>
      </c>
      <c r="AM83">
        <f>VLOOKUP(all_lmics[[worldbank_region]:[worldbank_region]],Table13[],2,FALSE)</f>
        <v>57.906657999999993</v>
      </c>
      <c r="AN83">
        <f>VLOOKUP(all_lmics[[worldbank_region]:[worldbank_region]],Table13[],3,FALSE)</f>
        <v>57.906657999999993</v>
      </c>
      <c r="AO83">
        <f>VLOOKUP(all_lmics[[worldbank_region]:[worldbank_region]],Table13[],4,FALSE)</f>
        <v>105.63551799999999</v>
      </c>
      <c r="AP83">
        <f>VLOOKUP(all_lmics[[worldbank_region]:[worldbank_region]],Table13[],5,FALSE)</f>
        <v>105.63551799999999</v>
      </c>
      <c r="AQ83">
        <f>VLOOKUP(all_lmics[[worldbank_region]:[worldbank_region]],Table13[],6,FALSE)</f>
        <v>105.63551799999999</v>
      </c>
      <c r="AR83">
        <f>VLOOKUP(all_lmics[[worldbank_region]:[worldbank_region]],Table14[],2,FALSE)</f>
        <v>1.5037449999999999</v>
      </c>
      <c r="AS83">
        <f>VLOOKUP(all_lmics[[worldbank_region]:[worldbank_region]],Table14[],3,FALSE)</f>
        <v>2.121245</v>
      </c>
      <c r="AT83">
        <f>VLOOKUP(all_lmics[[worldbank_region]:[worldbank_region]],Table14[],4,FALSE)</f>
        <v>1.9832129999999999</v>
      </c>
      <c r="AU83">
        <f>VLOOKUP(all_lmics[[worldbank_region]:[worldbank_region]],Table14[],5,FALSE)</f>
        <v>2.6007129999999998</v>
      </c>
      <c r="AV83">
        <f>VLOOKUP(all_lmics[[worldbank_region]:[worldbank_region]],Table14[],6,FALSE)</f>
        <v>3.1709649999999998</v>
      </c>
      <c r="AW83">
        <f>IFERROR(VLOOKUP(all_lmics[[Setting]:[Setting]],nFacSBA[],4,FALSE),0)</f>
        <v>0</v>
      </c>
      <c r="AX83">
        <f>VLOOKUP(all_lmics[[worldbank_region]:[worldbank_region]],hbe[],2)</f>
        <v>0.3</v>
      </c>
      <c r="AY83">
        <f>VLOOKUP(all_lmics[[worldbank_region]:[worldbank_region]],hbe[],5)</f>
        <v>0.875</v>
      </c>
      <c r="AZ83">
        <f>VLOOKUP(all_lmics[[worldbank_region]:[worldbank_region]],hbe[],8)</f>
        <v>0.15</v>
      </c>
    </row>
    <row r="84" spans="1:52" x14ac:dyDescent="0.35">
      <c r="A84" s="8" t="s">
        <v>125</v>
      </c>
      <c r="B84" s="10" t="s">
        <v>33</v>
      </c>
      <c r="C84" s="45" t="s">
        <v>5</v>
      </c>
      <c r="D84" s="11" t="s">
        <v>7</v>
      </c>
      <c r="E84">
        <f>VLOOKUP(all_lmics[[Setting]:[Setting]],populations[],9,FALSE)</f>
        <v>6082357</v>
      </c>
      <c r="F84">
        <f>VLOOKUP(all_lmics[[Setting]:[Setting]],birthrate[],3,FALSE)</f>
        <v>1.5470000000000001E-2</v>
      </c>
      <c r="G84">
        <f>all_lmics[[#This Row],[2017_population]]*all_lmics[[#This Row],[2016_birthrate]]</f>
        <v>94094.062790000011</v>
      </c>
      <c r="H84">
        <f>VLOOKUP(all_lmics[[Setting]:[Setting]],birthdose[],4,FALSE)</f>
        <v>0.8</v>
      </c>
      <c r="I84">
        <f>VLOOKUP(all_lmics[[Setting]:[Setting]],fullvax[],4,FALSE)</f>
        <v>0.78</v>
      </c>
      <c r="J84">
        <f>IFERROR(VLOOKUP(all_lmics[[Setting]:[Setting]],prev[],3,FALSE),0)</f>
        <v>1.2E-2</v>
      </c>
      <c r="K84">
        <f>IFERROR(VLOOKUP(all_lmics[[Setting]:[Setting]],prev[],4,FALSE),0)</f>
        <v>1.0999999999999999E-2</v>
      </c>
      <c r="L84">
        <f>IFERROR(VLOOKUP(all_lmics[[Setting]:[Setting]],prev[],5,FALSE),0)</f>
        <v>1.2999999999999999E-2</v>
      </c>
      <c r="M84">
        <f>IFERROR(VLOOKUP(all_lmics[[Setting]:[Setting]],prev[],7,FALSE),0)</f>
        <v>5.1020408163265267E-4</v>
      </c>
      <c r="N84">
        <f>IFERROR(VLOOKUP(all_lmics[[Setting]:[Setting]],prev[],6,FALSE),0)</f>
        <v>6082357</v>
      </c>
      <c r="O84">
        <f>IFERROR(VLOOKUP(all_lmics[[Setting]:[Setting]],SBA[],4,FALSE),0)</f>
        <v>0</v>
      </c>
      <c r="P84">
        <f>IFERROR(VLOOKUP(all_lmics[[Setting]:[Setting]], facility[], 3,FALSE),0)</f>
        <v>0.99900000000000011</v>
      </c>
      <c r="Q84">
        <f>IFERROR(VLOOKUP(all_lmics[[Setting]:[Setting]],all_cause_mort[],4,FALSE),0)</f>
        <v>9.4973889000000006E-3</v>
      </c>
      <c r="R84">
        <f>IFERROR(VLOOKUP(all_lmics[[Setting]:[Setting]],all_cause_mort[],5,FALSE),0)</f>
        <v>3.7689074999999999E-4</v>
      </c>
      <c r="S84">
        <f>IFERROR(VLOOKUP(all_lmics[[Setting]:[Setting]],all_cause_mort[],6,FALSE),0)</f>
        <v>1.8330494999999999E-4</v>
      </c>
      <c r="T84">
        <f>IFERROR(VLOOKUP(all_lmics[[Setting]:[Setting]],all_cause_mort[],7,FALSE),0)</f>
        <v>1.5352084000000001E-4</v>
      </c>
      <c r="U84">
        <f>IFERROR(VLOOKUP(all_lmics[[Setting]:[Setting]],all_cause_mort[],8,FALSE),0)</f>
        <v>2.8791188999999998E-4</v>
      </c>
      <c r="V84">
        <f>IFERROR(VLOOKUP(all_lmics[[Setting]:[Setting]],all_cause_mort[],9,FALSE),0)</f>
        <v>4.015038E-4</v>
      </c>
      <c r="W84">
        <f>IFERROR(VLOOKUP(all_lmics[[Setting]:[Setting]],all_cause_mort[],10,FALSE),0)</f>
        <v>4.2982863999999998E-4</v>
      </c>
      <c r="X84">
        <f>IFERROR(VLOOKUP(all_lmics[[Setting]:[Setting]],all_cause_mort[],11,FALSE),0)</f>
        <v>5.0618403000000001E-4</v>
      </c>
      <c r="Y84">
        <f>IFERROR(VLOOKUP(all_lmics[[Setting]:[Setting]],all_cause_mort[],12,FALSE),0)</f>
        <v>6.8165252000000002E-4</v>
      </c>
      <c r="Z84">
        <f>IFERROR(VLOOKUP(all_lmics[[Setting]:[Setting]],all_cause_mort[],13,FALSE),0)</f>
        <v>1.0491518E-3</v>
      </c>
      <c r="AA84">
        <f>IFERROR(VLOOKUP(all_lmics[[Setting]:[Setting]],all_cause_mort[],14,FALSE),0)</f>
        <v>1.8330981000000001E-3</v>
      </c>
      <c r="AB84">
        <f>IFERROR(VLOOKUP(all_lmics[[Setting]:[Setting]],all_cause_mort[],15,FALSE),0)</f>
        <v>3.1418199E-3</v>
      </c>
      <c r="AC84">
        <f>IFERROR(VLOOKUP(all_lmics[[Setting]:[Setting]],all_cause_mort[],16,FALSE),0)</f>
        <v>5.5091706999999997E-3</v>
      </c>
      <c r="AD84">
        <f>IFERROR(VLOOKUP(all_lmics[[Setting]:[Setting]],all_cause_mort[],17,FALSE),0)</f>
        <v>8.8176650000000006E-3</v>
      </c>
      <c r="AE84">
        <f>IFERROR(VLOOKUP(all_lmics[[Setting]:[Setting]],all_cause_mort[],18,FALSE),0)</f>
        <v>1.5250466000000001E-2</v>
      </c>
      <c r="AF84">
        <f>IFERROR(VLOOKUP(all_lmics[[Setting]:[Setting]],all_cause_mort[],19,FALSE),0)</f>
        <v>2.7110341999999999E-2</v>
      </c>
      <c r="AG84">
        <f>IFERROR(VLOOKUP(all_lmics[[Setting]:[Setting]],all_cause_mort[],20,FALSE),0)</f>
        <v>4.6846836000000003E-2</v>
      </c>
      <c r="AH84">
        <f>IFERROR(VLOOKUP(all_lmics[[Setting]:[Setting]],all_cause_mort[],21,FALSE),0)</f>
        <v>8.1742856000000003E-2</v>
      </c>
      <c r="AI84">
        <f>IFERROR(VLOOKUP(all_lmics[[Setting]:[Setting]],all_cause_mort[],22,FALSE),0)</f>
        <v>0.13838106</v>
      </c>
      <c r="AJ84">
        <f>IFERROR(VLOOKUP(all_lmics[[Setting]:[Setting]],all_cause_mort[],23,FALSE),0)</f>
        <v>0.21852083</v>
      </c>
      <c r="AK84">
        <f>IFERROR(VLOOKUP(all_lmics[[Setting]:[Setting]],all_cause_mort[],24,FALSE),0)</f>
        <v>0.32014574000000001</v>
      </c>
      <c r="AL84">
        <f>IFERROR(VLOOKUP(all_lmics[[Setting]:[Setting]],all_cause_mort[],25,FALSE),0)</f>
        <v>0.45605566214083099</v>
      </c>
      <c r="AM84">
        <f>VLOOKUP(all_lmics[[worldbank_region]:[worldbank_region]],Table13[],2,FALSE)</f>
        <v>57.906657999999993</v>
      </c>
      <c r="AN84">
        <f>VLOOKUP(all_lmics[[worldbank_region]:[worldbank_region]],Table13[],3,FALSE)</f>
        <v>57.906657999999993</v>
      </c>
      <c r="AO84">
        <f>VLOOKUP(all_lmics[[worldbank_region]:[worldbank_region]],Table13[],4,FALSE)</f>
        <v>105.63551799999999</v>
      </c>
      <c r="AP84">
        <f>VLOOKUP(all_lmics[[worldbank_region]:[worldbank_region]],Table13[],5,FALSE)</f>
        <v>105.63551799999999</v>
      </c>
      <c r="AQ84">
        <f>VLOOKUP(all_lmics[[worldbank_region]:[worldbank_region]],Table13[],6,FALSE)</f>
        <v>105.63551799999999</v>
      </c>
      <c r="AR84">
        <f>VLOOKUP(all_lmics[[worldbank_region]:[worldbank_region]],Table14[],2,FALSE)</f>
        <v>1.5037449999999999</v>
      </c>
      <c r="AS84">
        <f>VLOOKUP(all_lmics[[worldbank_region]:[worldbank_region]],Table14[],3,FALSE)</f>
        <v>2.121245</v>
      </c>
      <c r="AT84">
        <f>VLOOKUP(all_lmics[[worldbank_region]:[worldbank_region]],Table14[],4,FALSE)</f>
        <v>1.9832129999999999</v>
      </c>
      <c r="AU84">
        <f>VLOOKUP(all_lmics[[worldbank_region]:[worldbank_region]],Table14[],5,FALSE)</f>
        <v>2.6007129999999998</v>
      </c>
      <c r="AV84">
        <f>VLOOKUP(all_lmics[[worldbank_region]:[worldbank_region]],Table14[],6,FALSE)</f>
        <v>3.1709649999999998</v>
      </c>
      <c r="AW84">
        <f>IFERROR(VLOOKUP(all_lmics[[Setting]:[Setting]],nFacSBA[],4,FALSE),0)</f>
        <v>0</v>
      </c>
      <c r="AX84">
        <f>VLOOKUP(all_lmics[[worldbank_region]:[worldbank_region]],hbe[],2)</f>
        <v>0.3</v>
      </c>
      <c r="AY84">
        <f>VLOOKUP(all_lmics[[worldbank_region]:[worldbank_region]],hbe[],5)</f>
        <v>0.875</v>
      </c>
      <c r="AZ84">
        <f>VLOOKUP(all_lmics[[worldbank_region]:[worldbank_region]],hbe[],8)</f>
        <v>0.15</v>
      </c>
    </row>
    <row r="85" spans="1:52" x14ac:dyDescent="0.35">
      <c r="A85" s="12" t="s">
        <v>128</v>
      </c>
      <c r="B85" s="13" t="s">
        <v>33</v>
      </c>
      <c r="C85" s="46" t="s">
        <v>5</v>
      </c>
      <c r="D85" s="14" t="s">
        <v>7</v>
      </c>
      <c r="E85">
        <f>VLOOKUP(all_lmics[[Setting]:[Setting]],populations[],9,FALSE)</f>
        <v>6374616</v>
      </c>
      <c r="F85">
        <f>VLOOKUP(all_lmics[[Setting]:[Setting]],birthrate[],3,FALSE)</f>
        <v>1.9672000000000002E-2</v>
      </c>
      <c r="G85">
        <f>all_lmics[[#This Row],[2017_population]]*all_lmics[[#This Row],[2016_birthrate]]</f>
        <v>125401.44595200001</v>
      </c>
      <c r="H85">
        <f>VLOOKUP(all_lmics[[Setting]:[Setting]],birthdose[],4,FALSE)</f>
        <v>0</v>
      </c>
      <c r="I85">
        <f>VLOOKUP(all_lmics[[Setting]:[Setting]],fullvax[],4,FALSE)</f>
        <v>0.96</v>
      </c>
      <c r="J85">
        <f>IFERROR(VLOOKUP(all_lmics[[Setting]:[Setting]],prev[],3,FALSE),0)</f>
        <v>1.4999999999999999E-2</v>
      </c>
      <c r="K85">
        <f>IFERROR(VLOOKUP(all_lmics[[Setting]:[Setting]],prev[],4,FALSE),0)</f>
        <v>1.4E-2</v>
      </c>
      <c r="L85">
        <f>IFERROR(VLOOKUP(all_lmics[[Setting]:[Setting]],prev[],5,FALSE),0)</f>
        <v>1.7999999999999999E-2</v>
      </c>
      <c r="M85">
        <f>IFERROR(VLOOKUP(all_lmics[[Setting]:[Setting]],prev[],7,FALSE),0)</f>
        <v>1.5306122448979589E-3</v>
      </c>
      <c r="N85">
        <f>IFERROR(VLOOKUP(all_lmics[[Setting]:[Setting]],prev[],6,FALSE),0)</f>
        <v>6374616</v>
      </c>
      <c r="O85">
        <f>IFERROR(VLOOKUP(all_lmics[[Setting]:[Setting]],SBA[],4,FALSE),0)</f>
        <v>0.99900000000000011</v>
      </c>
      <c r="P85">
        <f>IFERROR(VLOOKUP(all_lmics[[Setting]:[Setting]], facility[], 3,FALSE),0)</f>
        <v>0.99900000000000011</v>
      </c>
      <c r="Q85">
        <f>IFERROR(VLOOKUP(all_lmics[[Setting]:[Setting]],all_cause_mort[],4,FALSE),0)</f>
        <v>1.0633502E-2</v>
      </c>
      <c r="R85">
        <f>IFERROR(VLOOKUP(all_lmics[[Setting]:[Setting]],all_cause_mort[],5,FALSE),0)</f>
        <v>5.4941444E-4</v>
      </c>
      <c r="S85">
        <f>IFERROR(VLOOKUP(all_lmics[[Setting]:[Setting]],all_cause_mort[],6,FALSE),0)</f>
        <v>3.8662974000000001E-4</v>
      </c>
      <c r="T85">
        <f>IFERROR(VLOOKUP(all_lmics[[Setting]:[Setting]],all_cause_mort[],7,FALSE),0)</f>
        <v>3.9366004E-4</v>
      </c>
      <c r="U85">
        <f>IFERROR(VLOOKUP(all_lmics[[Setting]:[Setting]],all_cause_mort[],8,FALSE),0)</f>
        <v>9.9262403999999995E-4</v>
      </c>
      <c r="V85">
        <f>IFERROR(VLOOKUP(all_lmics[[Setting]:[Setting]],all_cause_mort[],9,FALSE),0)</f>
        <v>1.3446048E-3</v>
      </c>
      <c r="W85">
        <f>IFERROR(VLOOKUP(all_lmics[[Setting]:[Setting]],all_cause_mort[],10,FALSE),0)</f>
        <v>1.4292258E-3</v>
      </c>
      <c r="X85">
        <f>IFERROR(VLOOKUP(all_lmics[[Setting]:[Setting]],all_cause_mort[],11,FALSE),0)</f>
        <v>1.5755864000000001E-3</v>
      </c>
      <c r="Y85">
        <f>IFERROR(VLOOKUP(all_lmics[[Setting]:[Setting]],all_cause_mort[],12,FALSE),0)</f>
        <v>1.9796494000000001E-3</v>
      </c>
      <c r="Z85">
        <f>IFERROR(VLOOKUP(all_lmics[[Setting]:[Setting]],all_cause_mort[],13,FALSE),0)</f>
        <v>2.7943691000000001E-3</v>
      </c>
      <c r="AA85">
        <f>IFERROR(VLOOKUP(all_lmics[[Setting]:[Setting]],all_cause_mort[],14,FALSE),0)</f>
        <v>3.9943310999999999E-3</v>
      </c>
      <c r="AB85">
        <f>IFERROR(VLOOKUP(all_lmics[[Setting]:[Setting]],all_cause_mort[],15,FALSE),0)</f>
        <v>6.3095495999999996E-3</v>
      </c>
      <c r="AC85">
        <f>IFERROR(VLOOKUP(all_lmics[[Setting]:[Setting]],all_cause_mort[],16,FALSE),0)</f>
        <v>1.0162084E-2</v>
      </c>
      <c r="AD85">
        <f>IFERROR(VLOOKUP(all_lmics[[Setting]:[Setting]],all_cause_mort[],17,FALSE),0)</f>
        <v>1.6242993000000001E-2</v>
      </c>
      <c r="AE85">
        <f>IFERROR(VLOOKUP(all_lmics[[Setting]:[Setting]],all_cause_mort[],18,FALSE),0)</f>
        <v>2.6793818E-2</v>
      </c>
      <c r="AF85">
        <f>IFERROR(VLOOKUP(all_lmics[[Setting]:[Setting]],all_cause_mort[],19,FALSE),0)</f>
        <v>4.2814637000000003E-2</v>
      </c>
      <c r="AG85">
        <f>IFERROR(VLOOKUP(all_lmics[[Setting]:[Setting]],all_cause_mort[],20,FALSE),0)</f>
        <v>7.1553538999999999E-2</v>
      </c>
      <c r="AH85">
        <f>IFERROR(VLOOKUP(all_lmics[[Setting]:[Setting]],all_cause_mort[],21,FALSE),0)</f>
        <v>0.12044613999999999</v>
      </c>
      <c r="AI85">
        <f>IFERROR(VLOOKUP(all_lmics[[Setting]:[Setting]],all_cause_mort[],22,FALSE),0)</f>
        <v>0.19366718999999999</v>
      </c>
      <c r="AJ85">
        <f>IFERROR(VLOOKUP(all_lmics[[Setting]:[Setting]],all_cause_mort[],23,FALSE),0)</f>
        <v>0.29487291999999998</v>
      </c>
      <c r="AK85">
        <f>IFERROR(VLOOKUP(all_lmics[[Setting]:[Setting]],all_cause_mort[],24,FALSE),0)</f>
        <v>0.40946238000000001</v>
      </c>
      <c r="AL85">
        <f>IFERROR(VLOOKUP(all_lmics[[Setting]:[Setting]],all_cause_mort[],25,FALSE),0)</f>
        <v>0.567231994652591</v>
      </c>
      <c r="AM85">
        <f>VLOOKUP(all_lmics[[worldbank_region]:[worldbank_region]],Table13[],2,FALSE)</f>
        <v>57.906657999999993</v>
      </c>
      <c r="AN85">
        <f>VLOOKUP(all_lmics[[worldbank_region]:[worldbank_region]],Table13[],3,FALSE)</f>
        <v>57.906657999999993</v>
      </c>
      <c r="AO85">
        <f>VLOOKUP(all_lmics[[worldbank_region]:[worldbank_region]],Table13[],4,FALSE)</f>
        <v>105.63551799999999</v>
      </c>
      <c r="AP85">
        <f>VLOOKUP(all_lmics[[worldbank_region]:[worldbank_region]],Table13[],5,FALSE)</f>
        <v>105.63551799999999</v>
      </c>
      <c r="AQ85">
        <f>VLOOKUP(all_lmics[[worldbank_region]:[worldbank_region]],Table13[],6,FALSE)</f>
        <v>105.63551799999999</v>
      </c>
      <c r="AR85">
        <f>VLOOKUP(all_lmics[[worldbank_region]:[worldbank_region]],Table14[],2,FALSE)</f>
        <v>1.5037449999999999</v>
      </c>
      <c r="AS85">
        <f>VLOOKUP(all_lmics[[worldbank_region]:[worldbank_region]],Table14[],3,FALSE)</f>
        <v>2.121245</v>
      </c>
      <c r="AT85">
        <f>VLOOKUP(all_lmics[[worldbank_region]:[worldbank_region]],Table14[],4,FALSE)</f>
        <v>1.9832129999999999</v>
      </c>
      <c r="AU85">
        <f>VLOOKUP(all_lmics[[worldbank_region]:[worldbank_region]],Table14[],5,FALSE)</f>
        <v>2.6007129999999998</v>
      </c>
      <c r="AV85">
        <f>VLOOKUP(all_lmics[[worldbank_region]:[worldbank_region]],Table14[],6,FALSE)</f>
        <v>3.1709649999999998</v>
      </c>
      <c r="AW85">
        <f>IFERROR(VLOOKUP(all_lmics[[Setting]:[Setting]],nFacSBA[],4,FALSE),0)</f>
        <v>0</v>
      </c>
      <c r="AX85">
        <f>VLOOKUP(all_lmics[[worldbank_region]:[worldbank_region]],hbe[],2)</f>
        <v>0.3</v>
      </c>
      <c r="AY85">
        <f>VLOOKUP(all_lmics[[worldbank_region]:[worldbank_region]],hbe[],5)</f>
        <v>0.875</v>
      </c>
      <c r="AZ85">
        <f>VLOOKUP(all_lmics[[worldbank_region]:[worldbank_region]],hbe[],8)</f>
        <v>0.15</v>
      </c>
    </row>
    <row r="86" spans="1:52" x14ac:dyDescent="0.35">
      <c r="A86" s="12" t="s">
        <v>158</v>
      </c>
      <c r="B86" s="13" t="s">
        <v>33</v>
      </c>
      <c r="C86" s="46" t="s">
        <v>5</v>
      </c>
      <c r="D86" s="14" t="s">
        <v>7</v>
      </c>
      <c r="E86">
        <f>VLOOKUP(all_lmics[[Setting]:[Setting]],populations[],9,FALSE)</f>
        <v>4636262</v>
      </c>
      <c r="F86">
        <f>VLOOKUP(all_lmics[[Setting]:[Setting]],birthrate[],3,FALSE)</f>
        <v>1.8731999999999999E-2</v>
      </c>
      <c r="G86">
        <f>all_lmics[[#This Row],[2017_population]]*all_lmics[[#This Row],[2016_birthrate]]</f>
        <v>86846.459783999991</v>
      </c>
      <c r="H86">
        <f>VLOOKUP(all_lmics[[Setting]:[Setting]],birthdose[],4,FALSE)</f>
        <v>0.99</v>
      </c>
      <c r="I86">
        <f>VLOOKUP(all_lmics[[Setting]:[Setting]],fullvax[],4,FALSE)</f>
        <v>0.99</v>
      </c>
      <c r="J86">
        <f>IFERROR(VLOOKUP(all_lmics[[Setting]:[Setting]],prev[],3,FALSE),0)</f>
        <v>2.5000000000000001E-2</v>
      </c>
      <c r="K86">
        <f>IFERROR(VLOOKUP(all_lmics[[Setting]:[Setting]],prev[],4,FALSE),0)</f>
        <v>2.1000000000000001E-2</v>
      </c>
      <c r="L86">
        <f>IFERROR(VLOOKUP(all_lmics[[Setting]:[Setting]],prev[],5,FALSE),0)</f>
        <v>2.9000000000000001E-2</v>
      </c>
      <c r="M86">
        <f>IFERROR(VLOOKUP(all_lmics[[Setting]:[Setting]],prev[],7,FALSE),0)</f>
        <v>2.0408163265306124E-3</v>
      </c>
      <c r="N86">
        <f>IFERROR(VLOOKUP(all_lmics[[Setting]:[Setting]],prev[],6,FALSE),0)</f>
        <v>4636262</v>
      </c>
      <c r="O86">
        <f>IFERROR(VLOOKUP(all_lmics[[Setting]:[Setting]],SBA[],4,FALSE),0)</f>
        <v>0.997</v>
      </c>
      <c r="P86">
        <f>IFERROR(VLOOKUP(all_lmics[[Setting]:[Setting]], facility[], 3,FALSE),0)</f>
        <v>0.99199999999999999</v>
      </c>
      <c r="Q86">
        <f>IFERROR(VLOOKUP(all_lmics[[Setting]:[Setting]],all_cause_mort[],4,FALSE),0)</f>
        <v>7.3269965999999999E-3</v>
      </c>
      <c r="R86">
        <f>IFERROR(VLOOKUP(all_lmics[[Setting]:[Setting]],all_cause_mort[],5,FALSE),0)</f>
        <v>2.8333212999999999E-4</v>
      </c>
      <c r="S86">
        <f>IFERROR(VLOOKUP(all_lmics[[Setting]:[Setting]],all_cause_mort[],6,FALSE),0)</f>
        <v>2.1572192E-4</v>
      </c>
      <c r="T86">
        <f>IFERROR(VLOOKUP(all_lmics[[Setting]:[Setting]],all_cause_mort[],7,FALSE),0)</f>
        <v>2.3969654999999999E-4</v>
      </c>
      <c r="U86">
        <f>IFERROR(VLOOKUP(all_lmics[[Setting]:[Setting]],all_cause_mort[],8,FALSE),0)</f>
        <v>4.7763377E-4</v>
      </c>
      <c r="V86">
        <f>IFERROR(VLOOKUP(all_lmics[[Setting]:[Setting]],all_cause_mort[],9,FALSE),0)</f>
        <v>7.6316388000000003E-4</v>
      </c>
      <c r="W86">
        <f>IFERROR(VLOOKUP(all_lmics[[Setting]:[Setting]],all_cause_mort[],10,FALSE),0)</f>
        <v>8.0965848000000003E-4</v>
      </c>
      <c r="X86">
        <f>IFERROR(VLOOKUP(all_lmics[[Setting]:[Setting]],all_cause_mort[],11,FALSE),0)</f>
        <v>8.5966996000000004E-4</v>
      </c>
      <c r="Y86">
        <f>IFERROR(VLOOKUP(all_lmics[[Setting]:[Setting]],all_cause_mort[],12,FALSE),0)</f>
        <v>9.5732987999999999E-4</v>
      </c>
      <c r="Z86">
        <f>IFERROR(VLOOKUP(all_lmics[[Setting]:[Setting]],all_cause_mort[],13,FALSE),0)</f>
        <v>1.4366042E-3</v>
      </c>
      <c r="AA86">
        <f>IFERROR(VLOOKUP(all_lmics[[Setting]:[Setting]],all_cause_mort[],14,FALSE),0)</f>
        <v>2.3609529999999998E-3</v>
      </c>
      <c r="AB86">
        <f>IFERROR(VLOOKUP(all_lmics[[Setting]:[Setting]],all_cause_mort[],15,FALSE),0)</f>
        <v>4.1048018000000002E-3</v>
      </c>
      <c r="AC86">
        <f>IFERROR(VLOOKUP(all_lmics[[Setting]:[Setting]],all_cause_mort[],16,FALSE),0)</f>
        <v>7.3508634999999998E-3</v>
      </c>
      <c r="AD86">
        <f>IFERROR(VLOOKUP(all_lmics[[Setting]:[Setting]],all_cause_mort[],17,FALSE),0)</f>
        <v>1.1928869999999999E-2</v>
      </c>
      <c r="AE86">
        <f>IFERROR(VLOOKUP(all_lmics[[Setting]:[Setting]],all_cause_mort[],18,FALSE),0)</f>
        <v>2.4168321E-2</v>
      </c>
      <c r="AF86">
        <f>IFERROR(VLOOKUP(all_lmics[[Setting]:[Setting]],all_cause_mort[],19,FALSE),0)</f>
        <v>2.9659853999999999E-2</v>
      </c>
      <c r="AG86">
        <f>IFERROR(VLOOKUP(all_lmics[[Setting]:[Setting]],all_cause_mort[],20,FALSE),0)</f>
        <v>5.2475174999999999E-2</v>
      </c>
      <c r="AH86">
        <f>IFERROR(VLOOKUP(all_lmics[[Setting]:[Setting]],all_cause_mort[],21,FALSE),0)</f>
        <v>7.9152258000000003E-2</v>
      </c>
      <c r="AI86">
        <f>IFERROR(VLOOKUP(all_lmics[[Setting]:[Setting]],all_cause_mort[],22,FALSE),0)</f>
        <v>0.11085808</v>
      </c>
      <c r="AJ86">
        <f>IFERROR(VLOOKUP(all_lmics[[Setting]:[Setting]],all_cause_mort[],23,FALSE),0)</f>
        <v>0.14624925999999999</v>
      </c>
      <c r="AK86">
        <f>IFERROR(VLOOKUP(all_lmics[[Setting]:[Setting]],all_cause_mort[],24,FALSE),0)</f>
        <v>0.19097700000000001</v>
      </c>
      <c r="AL86">
        <f>IFERROR(VLOOKUP(all_lmics[[Setting]:[Setting]],all_cause_mort[],25,FALSE),0)</f>
        <v>0.25874695370742701</v>
      </c>
      <c r="AM86">
        <f>VLOOKUP(all_lmics[[worldbank_region]:[worldbank_region]],Table13[],2,FALSE)</f>
        <v>57.906657999999993</v>
      </c>
      <c r="AN86">
        <f>VLOOKUP(all_lmics[[worldbank_region]:[worldbank_region]],Table13[],3,FALSE)</f>
        <v>57.906657999999993</v>
      </c>
      <c r="AO86">
        <f>VLOOKUP(all_lmics[[worldbank_region]:[worldbank_region]],Table13[],4,FALSE)</f>
        <v>105.63551799999999</v>
      </c>
      <c r="AP86">
        <f>VLOOKUP(all_lmics[[worldbank_region]:[worldbank_region]],Table13[],5,FALSE)</f>
        <v>105.63551799999999</v>
      </c>
      <c r="AQ86">
        <f>VLOOKUP(all_lmics[[worldbank_region]:[worldbank_region]],Table13[],6,FALSE)</f>
        <v>105.63551799999999</v>
      </c>
      <c r="AR86">
        <f>VLOOKUP(all_lmics[[worldbank_region]:[worldbank_region]],Table14[],2,FALSE)</f>
        <v>1.5037449999999999</v>
      </c>
      <c r="AS86">
        <f>VLOOKUP(all_lmics[[worldbank_region]:[worldbank_region]],Table14[],3,FALSE)</f>
        <v>2.121245</v>
      </c>
      <c r="AT86">
        <f>VLOOKUP(all_lmics[[worldbank_region]:[worldbank_region]],Table14[],4,FALSE)</f>
        <v>1.9832129999999999</v>
      </c>
      <c r="AU86">
        <f>VLOOKUP(all_lmics[[worldbank_region]:[worldbank_region]],Table14[],5,FALSE)</f>
        <v>2.6007129999999998</v>
      </c>
      <c r="AV86">
        <f>VLOOKUP(all_lmics[[worldbank_region]:[worldbank_region]],Table14[],6,FALSE)</f>
        <v>3.1709649999999998</v>
      </c>
      <c r="AW86">
        <f>IFERROR(VLOOKUP(all_lmics[[Setting]:[Setting]],nFacSBA[],4,FALSE),0)</f>
        <v>0</v>
      </c>
      <c r="AX86">
        <f>VLOOKUP(all_lmics[[worldbank_region]:[worldbank_region]],hbe[],2)</f>
        <v>0.3</v>
      </c>
      <c r="AY86">
        <f>VLOOKUP(all_lmics[[worldbank_region]:[worldbank_region]],hbe[],5)</f>
        <v>0.875</v>
      </c>
      <c r="AZ86">
        <f>VLOOKUP(all_lmics[[worldbank_region]:[worldbank_region]],hbe[],8)</f>
        <v>0.15</v>
      </c>
    </row>
    <row r="87" spans="1:52" x14ac:dyDescent="0.35">
      <c r="A87" s="12" t="s">
        <v>168</v>
      </c>
      <c r="B87" s="13" t="s">
        <v>33</v>
      </c>
      <c r="C87" s="46" t="s">
        <v>5</v>
      </c>
      <c r="D87" s="14" t="s">
        <v>7</v>
      </c>
      <c r="E87">
        <f>VLOOKUP(all_lmics[[Setting]:[Setting]],populations[],9,FALSE)</f>
        <v>2639211</v>
      </c>
      <c r="F87">
        <f>VLOOKUP(all_lmics[[Setting]:[Setting]],birthrate[],3,FALSE)</f>
        <v>1.0146000000000001E-2</v>
      </c>
      <c r="G87">
        <f>all_lmics[[#This Row],[2017_population]]*all_lmics[[#This Row],[2016_birthrate]]</f>
        <v>26777.434806000001</v>
      </c>
      <c r="H87">
        <f>VLOOKUP(all_lmics[[Setting]:[Setting]],birthdose[],4,FALSE)</f>
        <v>0.97</v>
      </c>
      <c r="I87">
        <f>VLOOKUP(all_lmics[[Setting]:[Setting]],fullvax[],4,FALSE)</f>
        <v>0.97</v>
      </c>
      <c r="J87">
        <f>IFERROR(VLOOKUP(all_lmics[[Setting]:[Setting]],prev[],3,FALSE),0)</f>
        <v>1.2E-2</v>
      </c>
      <c r="K87">
        <f>IFERROR(VLOOKUP(all_lmics[[Setting]:[Setting]],prev[],4,FALSE),0)</f>
        <v>1.0999999999999999E-2</v>
      </c>
      <c r="L87">
        <f>IFERROR(VLOOKUP(all_lmics[[Setting]:[Setting]],prev[],5,FALSE),0)</f>
        <v>1.4E-2</v>
      </c>
      <c r="M87">
        <f>IFERROR(VLOOKUP(all_lmics[[Setting]:[Setting]],prev[],7,FALSE),0)</f>
        <v>1.0204081632653062E-3</v>
      </c>
      <c r="N87">
        <f>IFERROR(VLOOKUP(all_lmics[[Setting]:[Setting]],prev[],6,FALSE),0)</f>
        <v>2639211</v>
      </c>
      <c r="O87">
        <f>IFERROR(VLOOKUP(all_lmics[[Setting]:[Setting]],SBA[],4,FALSE),0)</f>
        <v>0.99900000000000011</v>
      </c>
      <c r="P87">
        <f>IFERROR(VLOOKUP(all_lmics[[Setting]:[Setting]], facility[], 3,FALSE),0)</f>
        <v>0.9890000000000001</v>
      </c>
      <c r="Q87">
        <f>IFERROR(VLOOKUP(all_lmics[[Setting]:[Setting]],all_cause_mort[],4,FALSE),0)</f>
        <v>6.3255604000000002E-3</v>
      </c>
      <c r="R87">
        <f>IFERROR(VLOOKUP(all_lmics[[Setting]:[Setting]],all_cause_mort[],5,FALSE),0)</f>
        <v>3.2014465999999998E-4</v>
      </c>
      <c r="S87">
        <f>IFERROR(VLOOKUP(all_lmics[[Setting]:[Setting]],all_cause_mort[],6,FALSE),0)</f>
        <v>1.8425658000000001E-4</v>
      </c>
      <c r="T87">
        <f>IFERROR(VLOOKUP(all_lmics[[Setting]:[Setting]],all_cause_mort[],7,FALSE),0)</f>
        <v>1.8342806E-4</v>
      </c>
      <c r="U87">
        <f>IFERROR(VLOOKUP(all_lmics[[Setting]:[Setting]],all_cause_mort[],8,FALSE),0)</f>
        <v>3.7802164999999998E-4</v>
      </c>
      <c r="V87">
        <f>IFERROR(VLOOKUP(all_lmics[[Setting]:[Setting]],all_cause_mort[],9,FALSE),0)</f>
        <v>4.4146757000000002E-4</v>
      </c>
      <c r="W87">
        <f>IFERROR(VLOOKUP(all_lmics[[Setting]:[Setting]],all_cause_mort[],10,FALSE),0)</f>
        <v>3.9062599000000002E-4</v>
      </c>
      <c r="X87">
        <f>IFERROR(VLOOKUP(all_lmics[[Setting]:[Setting]],all_cause_mort[],11,FALSE),0)</f>
        <v>4.1452566999999999E-4</v>
      </c>
      <c r="Y87">
        <f>IFERROR(VLOOKUP(all_lmics[[Setting]:[Setting]],all_cause_mort[],12,FALSE),0)</f>
        <v>4.7835339000000001E-4</v>
      </c>
      <c r="Z87">
        <f>IFERROR(VLOOKUP(all_lmics[[Setting]:[Setting]],all_cause_mort[],13,FALSE),0)</f>
        <v>6.4188159999999995E-4</v>
      </c>
      <c r="AA87">
        <f>IFERROR(VLOOKUP(all_lmics[[Setting]:[Setting]],all_cause_mort[],14,FALSE),0)</f>
        <v>1.0079031999999999E-3</v>
      </c>
      <c r="AB87">
        <f>IFERROR(VLOOKUP(all_lmics[[Setting]:[Setting]],all_cause_mort[],15,FALSE),0)</f>
        <v>1.5528612000000001E-3</v>
      </c>
      <c r="AC87">
        <f>IFERROR(VLOOKUP(all_lmics[[Setting]:[Setting]],all_cause_mort[],16,FALSE),0)</f>
        <v>2.8176884000000002E-3</v>
      </c>
      <c r="AD87">
        <f>IFERROR(VLOOKUP(all_lmics[[Setting]:[Setting]],all_cause_mort[],17,FALSE),0)</f>
        <v>5.1827158000000003E-3</v>
      </c>
      <c r="AE87">
        <f>IFERROR(VLOOKUP(all_lmics[[Setting]:[Setting]],all_cause_mort[],18,FALSE),0)</f>
        <v>2.3650461000000001E-2</v>
      </c>
      <c r="AF87">
        <f>IFERROR(VLOOKUP(all_lmics[[Setting]:[Setting]],all_cause_mort[],19,FALSE),0)</f>
        <v>4.2412170999999999E-2</v>
      </c>
      <c r="AG87">
        <f>IFERROR(VLOOKUP(all_lmics[[Setting]:[Setting]],all_cause_mort[],20,FALSE),0)</f>
        <v>5.0153741000000002E-2</v>
      </c>
      <c r="AH87">
        <f>IFERROR(VLOOKUP(all_lmics[[Setting]:[Setting]],all_cause_mort[],21,FALSE),0)</f>
        <v>7.1487710999999995E-2</v>
      </c>
      <c r="AI87">
        <f>IFERROR(VLOOKUP(all_lmics[[Setting]:[Setting]],all_cause_mort[],22,FALSE),0)</f>
        <v>8.6034737999999999E-2</v>
      </c>
      <c r="AJ87">
        <f>IFERROR(VLOOKUP(all_lmics[[Setting]:[Setting]],all_cause_mort[],23,FALSE),0)</f>
        <v>0.11860568</v>
      </c>
      <c r="AK87">
        <f>IFERROR(VLOOKUP(all_lmics[[Setting]:[Setting]],all_cause_mort[],24,FALSE),0)</f>
        <v>0.15691179</v>
      </c>
      <c r="AL87">
        <f>IFERROR(VLOOKUP(all_lmics[[Setting]:[Setting]],all_cause_mort[],25,FALSE),0)</f>
        <v>0.21732732507312699</v>
      </c>
      <c r="AM87">
        <f>VLOOKUP(all_lmics[[worldbank_region]:[worldbank_region]],Table13[],2,FALSE)</f>
        <v>57.906657999999993</v>
      </c>
      <c r="AN87">
        <f>VLOOKUP(all_lmics[[worldbank_region]:[worldbank_region]],Table13[],3,FALSE)</f>
        <v>57.906657999999993</v>
      </c>
      <c r="AO87">
        <f>VLOOKUP(all_lmics[[worldbank_region]:[worldbank_region]],Table13[],4,FALSE)</f>
        <v>105.63551799999999</v>
      </c>
      <c r="AP87">
        <f>VLOOKUP(all_lmics[[worldbank_region]:[worldbank_region]],Table13[],5,FALSE)</f>
        <v>105.63551799999999</v>
      </c>
      <c r="AQ87">
        <f>VLOOKUP(all_lmics[[worldbank_region]:[worldbank_region]],Table13[],6,FALSE)</f>
        <v>105.63551799999999</v>
      </c>
      <c r="AR87">
        <f>VLOOKUP(all_lmics[[worldbank_region]:[worldbank_region]],Table14[],2,FALSE)</f>
        <v>1.5037449999999999</v>
      </c>
      <c r="AS87">
        <f>VLOOKUP(all_lmics[[worldbank_region]:[worldbank_region]],Table14[],3,FALSE)</f>
        <v>2.121245</v>
      </c>
      <c r="AT87">
        <f>VLOOKUP(all_lmics[[worldbank_region]:[worldbank_region]],Table14[],4,FALSE)</f>
        <v>1.9832129999999999</v>
      </c>
      <c r="AU87">
        <f>VLOOKUP(all_lmics[[worldbank_region]:[worldbank_region]],Table14[],5,FALSE)</f>
        <v>2.6007129999999998</v>
      </c>
      <c r="AV87">
        <f>VLOOKUP(all_lmics[[worldbank_region]:[worldbank_region]],Table14[],6,FALSE)</f>
        <v>3.1709649999999998</v>
      </c>
      <c r="AW87">
        <f>IFERROR(VLOOKUP(all_lmics[[Setting]:[Setting]],nFacSBA[],4,FALSE),0)</f>
        <v>0</v>
      </c>
      <c r="AX87">
        <f>VLOOKUP(all_lmics[[worldbank_region]:[worldbank_region]],hbe[],2)</f>
        <v>0.3</v>
      </c>
      <c r="AY87">
        <f>VLOOKUP(all_lmics[[worldbank_region]:[worldbank_region]],hbe[],5)</f>
        <v>0.875</v>
      </c>
      <c r="AZ87">
        <f>VLOOKUP(all_lmics[[worldbank_region]:[worldbank_region]],hbe[],8)</f>
        <v>0.15</v>
      </c>
    </row>
    <row r="88" spans="1:52" x14ac:dyDescent="0.35">
      <c r="A88" s="12" t="s">
        <v>180</v>
      </c>
      <c r="B88" s="13" t="s">
        <v>33</v>
      </c>
      <c r="C88" s="46" t="s">
        <v>5</v>
      </c>
      <c r="D88" s="14" t="s">
        <v>7</v>
      </c>
      <c r="E88">
        <f>VLOOKUP(all_lmics[[Setting]:[Setting]],populations[],9,FALSE)</f>
        <v>32938213</v>
      </c>
      <c r="F88">
        <f>VLOOKUP(all_lmics[[Setting]:[Setting]],birthrate[],3,FALSE)</f>
        <v>1.9562E-2</v>
      </c>
      <c r="G88">
        <f>all_lmics[[#This Row],[2017_population]]*all_lmics[[#This Row],[2016_birthrate]]</f>
        <v>644337.32270599995</v>
      </c>
      <c r="H88">
        <f>VLOOKUP(all_lmics[[Setting]:[Setting]],birthdose[],4,FALSE)</f>
        <v>0.96</v>
      </c>
      <c r="I88">
        <f>VLOOKUP(all_lmics[[Setting]:[Setting]],fullvax[],4,FALSE)</f>
        <v>0.98</v>
      </c>
      <c r="J88">
        <f>IFERROR(VLOOKUP(all_lmics[[Setting]:[Setting]],prev[],3,FALSE),0)</f>
        <v>1.6E-2</v>
      </c>
      <c r="K88">
        <f>IFERROR(VLOOKUP(all_lmics[[Setting]:[Setting]],prev[],4,FALSE),0)</f>
        <v>1.0999999999999999E-2</v>
      </c>
      <c r="L88">
        <f>IFERROR(VLOOKUP(all_lmics[[Setting]:[Setting]],prev[],5,FALSE),0)</f>
        <v>1.9E-2</v>
      </c>
      <c r="M88">
        <f>IFERROR(VLOOKUP(all_lmics[[Setting]:[Setting]],prev[],7,FALSE),0)</f>
        <v>1.5306122448979589E-3</v>
      </c>
      <c r="N88">
        <f>IFERROR(VLOOKUP(all_lmics[[Setting]:[Setting]],prev[],6,FALSE),0)</f>
        <v>32938213</v>
      </c>
      <c r="O88">
        <f>IFERROR(VLOOKUP(all_lmics[[Setting]:[Setting]],SBA[],4,FALSE),0)</f>
        <v>0.98</v>
      </c>
      <c r="P88">
        <f>IFERROR(VLOOKUP(all_lmics[[Setting]:[Setting]], facility[], 3,FALSE),0)</f>
        <v>0.91</v>
      </c>
      <c r="Q88">
        <f>IFERROR(VLOOKUP(all_lmics[[Setting]:[Setting]],all_cause_mort[],4,FALSE),0)</f>
        <v>6.3419968999999998E-3</v>
      </c>
      <c r="R88">
        <f>IFERROR(VLOOKUP(all_lmics[[Setting]:[Setting]],all_cause_mort[],5,FALSE),0)</f>
        <v>2.6451985000000003E-4</v>
      </c>
      <c r="S88">
        <f>IFERROR(VLOOKUP(all_lmics[[Setting]:[Setting]],all_cause_mort[],6,FALSE),0)</f>
        <v>5.4277182999999999E-4</v>
      </c>
      <c r="T88">
        <f>IFERROR(VLOOKUP(all_lmics[[Setting]:[Setting]],all_cause_mort[],7,FALSE),0)</f>
        <v>5.6212410000000003E-4</v>
      </c>
      <c r="U88">
        <f>IFERROR(VLOOKUP(all_lmics[[Setting]:[Setting]],all_cause_mort[],8,FALSE),0)</f>
        <v>8.9592507000000004E-4</v>
      </c>
      <c r="V88">
        <f>IFERROR(VLOOKUP(all_lmics[[Setting]:[Setting]],all_cause_mort[],9,FALSE),0)</f>
        <v>9.8567514999999993E-4</v>
      </c>
      <c r="W88">
        <f>IFERROR(VLOOKUP(all_lmics[[Setting]:[Setting]],all_cause_mort[],10,FALSE),0)</f>
        <v>6.0824421E-4</v>
      </c>
      <c r="X88">
        <f>IFERROR(VLOOKUP(all_lmics[[Setting]:[Setting]],all_cause_mort[],11,FALSE),0)</f>
        <v>5.2892651000000001E-4</v>
      </c>
      <c r="Y88">
        <f>IFERROR(VLOOKUP(all_lmics[[Setting]:[Setting]],all_cause_mort[],12,FALSE),0)</f>
        <v>9.4709446999999996E-4</v>
      </c>
      <c r="Z88">
        <f>IFERROR(VLOOKUP(all_lmics[[Setting]:[Setting]],all_cause_mort[],13,FALSE),0)</f>
        <v>1.7079094E-3</v>
      </c>
      <c r="AA88">
        <f>IFERROR(VLOOKUP(all_lmics[[Setting]:[Setting]],all_cause_mort[],14,FALSE),0)</f>
        <v>2.1528374E-3</v>
      </c>
      <c r="AB88">
        <f>IFERROR(VLOOKUP(all_lmics[[Setting]:[Setting]],all_cause_mort[],15,FALSE),0)</f>
        <v>3.9719137999999999E-3</v>
      </c>
      <c r="AC88">
        <f>IFERROR(VLOOKUP(all_lmics[[Setting]:[Setting]],all_cause_mort[],16,FALSE),0)</f>
        <v>6.2684940999999999E-3</v>
      </c>
      <c r="AD88">
        <f>IFERROR(VLOOKUP(all_lmics[[Setting]:[Setting]],all_cause_mort[],17,FALSE),0)</f>
        <v>1.6787277999999999E-2</v>
      </c>
      <c r="AE88">
        <f>IFERROR(VLOOKUP(all_lmics[[Setting]:[Setting]],all_cause_mort[],18,FALSE),0)</f>
        <v>2.4004711000000001E-2</v>
      </c>
      <c r="AF88">
        <f>IFERROR(VLOOKUP(all_lmics[[Setting]:[Setting]],all_cause_mort[],19,FALSE),0)</f>
        <v>4.9622014999999998E-2</v>
      </c>
      <c r="AG88">
        <f>IFERROR(VLOOKUP(all_lmics[[Setting]:[Setting]],all_cause_mort[],20,FALSE),0)</f>
        <v>6.6967876999999995E-2</v>
      </c>
      <c r="AH88">
        <f>IFERROR(VLOOKUP(all_lmics[[Setting]:[Setting]],all_cause_mort[],21,FALSE),0)</f>
        <v>0.11426190999999999</v>
      </c>
      <c r="AI88">
        <f>IFERROR(VLOOKUP(all_lmics[[Setting]:[Setting]],all_cause_mort[],22,FALSE),0)</f>
        <v>0.16728042000000001</v>
      </c>
      <c r="AJ88">
        <f>IFERROR(VLOOKUP(all_lmics[[Setting]:[Setting]],all_cause_mort[],23,FALSE),0)</f>
        <v>0.2357051</v>
      </c>
      <c r="AK88">
        <f>IFERROR(VLOOKUP(all_lmics[[Setting]:[Setting]],all_cause_mort[],24,FALSE),0)</f>
        <v>0.33073139000000001</v>
      </c>
      <c r="AL88">
        <f>IFERROR(VLOOKUP(all_lmics[[Setting]:[Setting]],all_cause_mort[],25,FALSE),0)</f>
        <v>0.46075220562080799</v>
      </c>
      <c r="AM88">
        <f>VLOOKUP(all_lmics[[worldbank_region]:[worldbank_region]],Table13[],2,FALSE)</f>
        <v>57.906657999999993</v>
      </c>
      <c r="AN88">
        <f>VLOOKUP(all_lmics[[worldbank_region]:[worldbank_region]],Table13[],3,FALSE)</f>
        <v>57.906657999999993</v>
      </c>
      <c r="AO88">
        <f>VLOOKUP(all_lmics[[worldbank_region]:[worldbank_region]],Table13[],4,FALSE)</f>
        <v>105.63551799999999</v>
      </c>
      <c r="AP88">
        <f>VLOOKUP(all_lmics[[worldbank_region]:[worldbank_region]],Table13[],5,FALSE)</f>
        <v>105.63551799999999</v>
      </c>
      <c r="AQ88">
        <f>VLOOKUP(all_lmics[[worldbank_region]:[worldbank_region]],Table13[],6,FALSE)</f>
        <v>105.63551799999999</v>
      </c>
      <c r="AR88">
        <f>VLOOKUP(all_lmics[[worldbank_region]:[worldbank_region]],Table14[],2,FALSE)</f>
        <v>1.5037449999999999</v>
      </c>
      <c r="AS88">
        <f>VLOOKUP(all_lmics[[worldbank_region]:[worldbank_region]],Table14[],3,FALSE)</f>
        <v>2.121245</v>
      </c>
      <c r="AT88">
        <f>VLOOKUP(all_lmics[[worldbank_region]:[worldbank_region]],Table14[],4,FALSE)</f>
        <v>1.9832129999999999</v>
      </c>
      <c r="AU88">
        <f>VLOOKUP(all_lmics[[worldbank_region]:[worldbank_region]],Table14[],5,FALSE)</f>
        <v>2.6007129999999998</v>
      </c>
      <c r="AV88">
        <f>VLOOKUP(all_lmics[[worldbank_region]:[worldbank_region]],Table14[],6,FALSE)</f>
        <v>3.1709649999999998</v>
      </c>
      <c r="AW88">
        <f>IFERROR(VLOOKUP(all_lmics[[Setting]:[Setting]],nFacSBA[],4,FALSE),0)</f>
        <v>0</v>
      </c>
      <c r="AX88">
        <f>VLOOKUP(all_lmics[[worldbank_region]:[worldbank_region]],hbe[],2)</f>
        <v>0.3</v>
      </c>
      <c r="AY88">
        <f>VLOOKUP(all_lmics[[worldbank_region]:[worldbank_region]],hbe[],5)</f>
        <v>0.875</v>
      </c>
      <c r="AZ88">
        <f>VLOOKUP(all_lmics[[worldbank_region]:[worldbank_region]],hbe[],8)</f>
        <v>0.15</v>
      </c>
    </row>
    <row r="89" spans="1:52" x14ac:dyDescent="0.35">
      <c r="A89" s="8" t="s">
        <v>199</v>
      </c>
      <c r="B89" s="10" t="s">
        <v>33</v>
      </c>
      <c r="C89" s="45" t="s">
        <v>5</v>
      </c>
      <c r="D89" s="11" t="s">
        <v>7</v>
      </c>
      <c r="E89">
        <f>VLOOKUP(all_lmics[[Setting]:[Setting]],populations[],9,FALSE)</f>
        <v>18269868</v>
      </c>
      <c r="F89">
        <f>VLOOKUP(all_lmics[[Setting]:[Setting]],birthrate[],3,FALSE)</f>
        <v>2.1472000000000002E-2</v>
      </c>
      <c r="G89">
        <f>all_lmics[[#This Row],[2017_population]]*all_lmics[[#This Row],[2016_birthrate]]</f>
        <v>392290.60569600004</v>
      </c>
      <c r="H89">
        <f>VLOOKUP(all_lmics[[Setting]:[Setting]],birthdose[],4,FALSE)</f>
        <v>0.69</v>
      </c>
      <c r="I89">
        <f>VLOOKUP(all_lmics[[Setting]:[Setting]],fullvax[],4,FALSE)</f>
        <v>0.52</v>
      </c>
      <c r="J89">
        <f>IFERROR(VLOOKUP(all_lmics[[Setting]:[Setting]],prev[],3,FALSE),0)</f>
        <v>5.7000000000000002E-2</v>
      </c>
      <c r="K89">
        <f>IFERROR(VLOOKUP(all_lmics[[Setting]:[Setting]],prev[],4,FALSE),0)</f>
        <v>3.2000000000000001E-2</v>
      </c>
      <c r="L89">
        <f>IFERROR(VLOOKUP(all_lmics[[Setting]:[Setting]],prev[],5,FALSE),0)</f>
        <v>6.5000000000000002E-2</v>
      </c>
      <c r="M89">
        <f>IFERROR(VLOOKUP(all_lmics[[Setting]:[Setting]],prev[],7,FALSE),0)</f>
        <v>4.0816326530612249E-3</v>
      </c>
      <c r="N89">
        <f>IFERROR(VLOOKUP(all_lmics[[Setting]:[Setting]],prev[],6,FALSE),0)</f>
        <v>18269868</v>
      </c>
      <c r="O89">
        <f>IFERROR(VLOOKUP(all_lmics[[Setting]:[Setting]],SBA[],4,FALSE),0)</f>
        <v>0.96200000000000008</v>
      </c>
      <c r="P89">
        <f>IFERROR(VLOOKUP(all_lmics[[Setting]:[Setting]], facility[], 3,FALSE),0)</f>
        <v>0.78200000000000003</v>
      </c>
      <c r="Q89">
        <f>IFERROR(VLOOKUP(all_lmics[[Setting]:[Setting]],all_cause_mort[],4,FALSE),0)</f>
        <v>1.5766444000000001E-2</v>
      </c>
      <c r="R89">
        <f>IFERROR(VLOOKUP(all_lmics[[Setting]:[Setting]],all_cause_mort[],5,FALSE),0)</f>
        <v>5.6704656000000002E-4</v>
      </c>
      <c r="S89">
        <f>IFERROR(VLOOKUP(all_lmics[[Setting]:[Setting]],all_cause_mort[],6,FALSE),0)</f>
        <v>3.5489574000000001E-4</v>
      </c>
      <c r="T89">
        <f>IFERROR(VLOOKUP(all_lmics[[Setting]:[Setting]],all_cause_mort[],7,FALSE),0)</f>
        <v>3.1630391999999999E-4</v>
      </c>
      <c r="U89">
        <f>IFERROR(VLOOKUP(all_lmics[[Setting]:[Setting]],all_cause_mort[],8,FALSE),0)</f>
        <v>2.1570409000000001E-3</v>
      </c>
      <c r="V89">
        <f>IFERROR(VLOOKUP(all_lmics[[Setting]:[Setting]],all_cause_mort[],9,FALSE),0)</f>
        <v>3.1574026999999999E-3</v>
      </c>
      <c r="W89">
        <f>IFERROR(VLOOKUP(all_lmics[[Setting]:[Setting]],all_cause_mort[],10,FALSE),0)</f>
        <v>4.7024954999999998E-3</v>
      </c>
      <c r="X89">
        <f>IFERROR(VLOOKUP(all_lmics[[Setting]:[Setting]],all_cause_mort[],11,FALSE),0)</f>
        <v>4.0357984999999999E-3</v>
      </c>
      <c r="Y89">
        <f>IFERROR(VLOOKUP(all_lmics[[Setting]:[Setting]],all_cause_mort[],12,FALSE),0)</f>
        <v>2.7400561999999999E-3</v>
      </c>
      <c r="Z89">
        <f>IFERROR(VLOOKUP(all_lmics[[Setting]:[Setting]],all_cause_mort[],13,FALSE),0)</f>
        <v>2.7402773999999999E-3</v>
      </c>
      <c r="AA89">
        <f>IFERROR(VLOOKUP(all_lmics[[Setting]:[Setting]],all_cause_mort[],14,FALSE),0)</f>
        <v>4.1048001000000001E-3</v>
      </c>
      <c r="AB89">
        <f>IFERROR(VLOOKUP(all_lmics[[Setting]:[Setting]],all_cause_mort[],15,FALSE),0)</f>
        <v>6.7285174999999996E-3</v>
      </c>
      <c r="AC89">
        <f>IFERROR(VLOOKUP(all_lmics[[Setting]:[Setting]],all_cause_mort[],16,FALSE),0)</f>
        <v>8.2698318000000003E-3</v>
      </c>
      <c r="AD89">
        <f>IFERROR(VLOOKUP(all_lmics[[Setting]:[Setting]],all_cause_mort[],17,FALSE),0)</f>
        <v>1.3416941999999999E-2</v>
      </c>
      <c r="AE89">
        <f>IFERROR(VLOOKUP(all_lmics[[Setting]:[Setting]],all_cause_mort[],18,FALSE),0)</f>
        <v>2.2714427999999998E-2</v>
      </c>
      <c r="AF89">
        <f>IFERROR(VLOOKUP(all_lmics[[Setting]:[Setting]],all_cause_mort[],19,FALSE),0)</f>
        <v>3.8772622E-2</v>
      </c>
      <c r="AG89">
        <f>IFERROR(VLOOKUP(all_lmics[[Setting]:[Setting]],all_cause_mort[],20,FALSE),0)</f>
        <v>5.9679504000000001E-2</v>
      </c>
      <c r="AH89">
        <f>IFERROR(VLOOKUP(all_lmics[[Setting]:[Setting]],all_cause_mort[],21,FALSE),0)</f>
        <v>0.10429607</v>
      </c>
      <c r="AI89">
        <f>IFERROR(VLOOKUP(all_lmics[[Setting]:[Setting]],all_cause_mort[],22,FALSE),0)</f>
        <v>0.17082674</v>
      </c>
      <c r="AJ89">
        <f>IFERROR(VLOOKUP(all_lmics[[Setting]:[Setting]],all_cause_mort[],23,FALSE),0)</f>
        <v>0.26694573999999999</v>
      </c>
      <c r="AK89">
        <f>IFERROR(VLOOKUP(all_lmics[[Setting]:[Setting]],all_cause_mort[],24,FALSE),0)</f>
        <v>0.37423364999999997</v>
      </c>
      <c r="AL89">
        <f>IFERROR(VLOOKUP(all_lmics[[Setting]:[Setting]],all_cause_mort[],25,FALSE),0)</f>
        <v>0.50454392256663505</v>
      </c>
      <c r="AM89">
        <f>VLOOKUP(all_lmics[[worldbank_region]:[worldbank_region]],Table13[],2,FALSE)</f>
        <v>57.906657999999993</v>
      </c>
      <c r="AN89">
        <f>VLOOKUP(all_lmics[[worldbank_region]:[worldbank_region]],Table13[],3,FALSE)</f>
        <v>57.906657999999993</v>
      </c>
      <c r="AO89">
        <f>VLOOKUP(all_lmics[[worldbank_region]:[worldbank_region]],Table13[],4,FALSE)</f>
        <v>105.63551799999999</v>
      </c>
      <c r="AP89">
        <f>VLOOKUP(all_lmics[[worldbank_region]:[worldbank_region]],Table13[],5,FALSE)</f>
        <v>105.63551799999999</v>
      </c>
      <c r="AQ89">
        <f>VLOOKUP(all_lmics[[worldbank_region]:[worldbank_region]],Table13[],6,FALSE)</f>
        <v>105.63551799999999</v>
      </c>
      <c r="AR89">
        <f>VLOOKUP(all_lmics[[worldbank_region]:[worldbank_region]],Table14[],2,FALSE)</f>
        <v>1.5037449999999999</v>
      </c>
      <c r="AS89">
        <f>VLOOKUP(all_lmics[[worldbank_region]:[worldbank_region]],Table14[],3,FALSE)</f>
        <v>2.121245</v>
      </c>
      <c r="AT89">
        <f>VLOOKUP(all_lmics[[worldbank_region]:[worldbank_region]],Table14[],4,FALSE)</f>
        <v>1.9832129999999999</v>
      </c>
      <c r="AU89">
        <f>VLOOKUP(all_lmics[[worldbank_region]:[worldbank_region]],Table14[],5,FALSE)</f>
        <v>2.6007129999999998</v>
      </c>
      <c r="AV89">
        <f>VLOOKUP(all_lmics[[worldbank_region]:[worldbank_region]],Table14[],6,FALSE)</f>
        <v>3.1709649999999998</v>
      </c>
      <c r="AW89">
        <f>IFERROR(VLOOKUP(all_lmics[[Setting]:[Setting]],nFacSBA[],4,FALSE),0)</f>
        <v>0</v>
      </c>
      <c r="AX89">
        <f>VLOOKUP(all_lmics[[worldbank_region]:[worldbank_region]],hbe[],2)</f>
        <v>0.3</v>
      </c>
      <c r="AY89">
        <f>VLOOKUP(all_lmics[[worldbank_region]:[worldbank_region]],hbe[],5)</f>
        <v>0.875</v>
      </c>
      <c r="AZ89">
        <f>VLOOKUP(all_lmics[[worldbank_region]:[worldbank_region]],hbe[],8)</f>
        <v>0.15</v>
      </c>
    </row>
    <row r="90" spans="1:52" x14ac:dyDescent="0.35">
      <c r="A90" s="8" t="s">
        <v>207</v>
      </c>
      <c r="B90" s="10" t="s">
        <v>33</v>
      </c>
      <c r="C90" s="45" t="s">
        <v>5</v>
      </c>
      <c r="D90" s="11" t="s">
        <v>7</v>
      </c>
      <c r="E90">
        <f>VLOOKUP(all_lmics[[Setting]:[Setting]],populations[],9,FALSE)</f>
        <v>11532127</v>
      </c>
      <c r="F90">
        <f>VLOOKUP(all_lmics[[Setting]:[Setting]],birthrate[],3,FALSE)</f>
        <v>1.8295000000000002E-2</v>
      </c>
      <c r="G90">
        <f>all_lmics[[#This Row],[2017_population]]*all_lmics[[#This Row],[2016_birthrate]]</f>
        <v>210980.26346500003</v>
      </c>
      <c r="H90">
        <f>VLOOKUP(all_lmics[[Setting]:[Setting]],birthdose[],4,FALSE)</f>
        <v>0.83</v>
      </c>
      <c r="I90">
        <f>VLOOKUP(all_lmics[[Setting]:[Setting]],fullvax[],4,FALSE)</f>
        <v>0.98</v>
      </c>
      <c r="J90">
        <f>IFERROR(VLOOKUP(all_lmics[[Setting]:[Setting]],prev[],3,FALSE),0)</f>
        <v>3.9E-2</v>
      </c>
      <c r="K90">
        <f>IFERROR(VLOOKUP(all_lmics[[Setting]:[Setting]],prev[],4,FALSE),0)</f>
        <v>3.5999999999999997E-2</v>
      </c>
      <c r="L90">
        <f>IFERROR(VLOOKUP(all_lmics[[Setting]:[Setting]],prev[],5,FALSE),0)</f>
        <v>4.2000000000000003E-2</v>
      </c>
      <c r="M90">
        <f>IFERROR(VLOOKUP(all_lmics[[Setting]:[Setting]],prev[],7,FALSE),0)</f>
        <v>1.5306122448979606E-3</v>
      </c>
      <c r="N90">
        <f>IFERROR(VLOOKUP(all_lmics[[Setting]:[Setting]],prev[],6,FALSE),0)</f>
        <v>11532127</v>
      </c>
      <c r="O90">
        <f>IFERROR(VLOOKUP(all_lmics[[Setting]:[Setting]],SBA[],4,FALSE),0)</f>
        <v>0.73599999999999999</v>
      </c>
      <c r="P90">
        <f>IFERROR(VLOOKUP(all_lmics[[Setting]:[Setting]], facility[], 3,FALSE),0)</f>
        <v>0.98499999999999999</v>
      </c>
      <c r="Q90">
        <f>IFERROR(VLOOKUP(all_lmics[[Setting]:[Setting]],all_cause_mort[],4,FALSE),0)</f>
        <v>1.2826726E-2</v>
      </c>
      <c r="R90">
        <f>IFERROR(VLOOKUP(all_lmics[[Setting]:[Setting]],all_cause_mort[],5,FALSE),0)</f>
        <v>1.9637071E-4</v>
      </c>
      <c r="S90">
        <f>IFERROR(VLOOKUP(all_lmics[[Setting]:[Setting]],all_cause_mort[],6,FALSE),0)</f>
        <v>1.4533880000000001E-4</v>
      </c>
      <c r="T90">
        <f>IFERROR(VLOOKUP(all_lmics[[Setting]:[Setting]],all_cause_mort[],7,FALSE),0)</f>
        <v>2.4581647000000001E-4</v>
      </c>
      <c r="U90">
        <f>IFERROR(VLOOKUP(all_lmics[[Setting]:[Setting]],all_cause_mort[],8,FALSE),0)</f>
        <v>3.6978267000000001E-4</v>
      </c>
      <c r="V90">
        <f>IFERROR(VLOOKUP(all_lmics[[Setting]:[Setting]],all_cause_mort[],9,FALSE),0)</f>
        <v>5.0278987999999997E-4</v>
      </c>
      <c r="W90">
        <f>IFERROR(VLOOKUP(all_lmics[[Setting]:[Setting]],all_cause_mort[],10,FALSE),0)</f>
        <v>5.7106479000000002E-4</v>
      </c>
      <c r="X90">
        <f>IFERROR(VLOOKUP(all_lmics[[Setting]:[Setting]],all_cause_mort[],11,FALSE),0)</f>
        <v>6.6980060000000001E-4</v>
      </c>
      <c r="Y90">
        <f>IFERROR(VLOOKUP(all_lmics[[Setting]:[Setting]],all_cause_mort[],12,FALSE),0)</f>
        <v>9.4116413999999996E-4</v>
      </c>
      <c r="Z90">
        <f>IFERROR(VLOOKUP(all_lmics[[Setting]:[Setting]],all_cause_mort[],13,FALSE),0)</f>
        <v>1.5008735E-3</v>
      </c>
      <c r="AA90">
        <f>IFERROR(VLOOKUP(all_lmics[[Setting]:[Setting]],all_cause_mort[],14,FALSE),0)</f>
        <v>2.4719069000000001E-3</v>
      </c>
      <c r="AB90">
        <f>IFERROR(VLOOKUP(all_lmics[[Setting]:[Setting]],all_cause_mort[],15,FALSE),0)</f>
        <v>4.2553664000000001E-3</v>
      </c>
      <c r="AC90">
        <f>IFERROR(VLOOKUP(all_lmics[[Setting]:[Setting]],all_cause_mort[],16,FALSE),0)</f>
        <v>7.1728655999999998E-3</v>
      </c>
      <c r="AD90">
        <f>IFERROR(VLOOKUP(all_lmics[[Setting]:[Setting]],all_cause_mort[],17,FALSE),0)</f>
        <v>1.1706767999999999E-2</v>
      </c>
      <c r="AE90">
        <f>IFERROR(VLOOKUP(all_lmics[[Setting]:[Setting]],all_cause_mort[],18,FALSE),0)</f>
        <v>1.8823829E-2</v>
      </c>
      <c r="AF90">
        <f>IFERROR(VLOOKUP(all_lmics[[Setting]:[Setting]],all_cause_mort[],19,FALSE),0)</f>
        <v>3.3331056999999997E-2</v>
      </c>
      <c r="AG90">
        <f>IFERROR(VLOOKUP(all_lmics[[Setting]:[Setting]],all_cause_mort[],20,FALSE),0)</f>
        <v>5.8882819000000003E-2</v>
      </c>
      <c r="AH90">
        <f>IFERROR(VLOOKUP(all_lmics[[Setting]:[Setting]],all_cause_mort[],21,FALSE),0)</f>
        <v>0.10050381</v>
      </c>
      <c r="AI90">
        <f>IFERROR(VLOOKUP(all_lmics[[Setting]:[Setting]],all_cause_mort[],22,FALSE),0)</f>
        <v>0.16299215</v>
      </c>
      <c r="AJ90">
        <f>IFERROR(VLOOKUP(all_lmics[[Setting]:[Setting]],all_cause_mort[],23,FALSE),0)</f>
        <v>0.24602652</v>
      </c>
      <c r="AK90">
        <f>IFERROR(VLOOKUP(all_lmics[[Setting]:[Setting]],all_cause_mort[],24,FALSE),0)</f>
        <v>0.34366651999999998</v>
      </c>
      <c r="AL90">
        <f>IFERROR(VLOOKUP(all_lmics[[Setting]:[Setting]],all_cause_mort[],25,FALSE),0)</f>
        <v>0.486986716609427</v>
      </c>
      <c r="AM90">
        <f>VLOOKUP(all_lmics[[worldbank_region]:[worldbank_region]],Table13[],2,FALSE)</f>
        <v>57.906657999999993</v>
      </c>
      <c r="AN90">
        <f>VLOOKUP(all_lmics[[worldbank_region]:[worldbank_region]],Table13[],3,FALSE)</f>
        <v>57.906657999999993</v>
      </c>
      <c r="AO90">
        <f>VLOOKUP(all_lmics[[worldbank_region]:[worldbank_region]],Table13[],4,FALSE)</f>
        <v>105.63551799999999</v>
      </c>
      <c r="AP90">
        <f>VLOOKUP(all_lmics[[worldbank_region]:[worldbank_region]],Table13[],5,FALSE)</f>
        <v>105.63551799999999</v>
      </c>
      <c r="AQ90">
        <f>VLOOKUP(all_lmics[[worldbank_region]:[worldbank_region]],Table13[],6,FALSE)</f>
        <v>105.63551799999999</v>
      </c>
      <c r="AR90">
        <f>VLOOKUP(all_lmics[[worldbank_region]:[worldbank_region]],Table14[],2,FALSE)</f>
        <v>1.5037449999999999</v>
      </c>
      <c r="AS90">
        <f>VLOOKUP(all_lmics[[worldbank_region]:[worldbank_region]],Table14[],3,FALSE)</f>
        <v>2.121245</v>
      </c>
      <c r="AT90">
        <f>VLOOKUP(all_lmics[[worldbank_region]:[worldbank_region]],Table14[],4,FALSE)</f>
        <v>1.9832129999999999</v>
      </c>
      <c r="AU90">
        <f>VLOOKUP(all_lmics[[worldbank_region]:[worldbank_region]],Table14[],5,FALSE)</f>
        <v>2.6007129999999998</v>
      </c>
      <c r="AV90">
        <f>VLOOKUP(all_lmics[[worldbank_region]:[worldbank_region]],Table14[],6,FALSE)</f>
        <v>3.1709649999999998</v>
      </c>
      <c r="AW90">
        <f>IFERROR(VLOOKUP(all_lmics[[Setting]:[Setting]],nFacSBA[],4,FALSE),0)</f>
        <v>8.5009323388385724E-2</v>
      </c>
      <c r="AX90">
        <f>VLOOKUP(all_lmics[[worldbank_region]:[worldbank_region]],hbe[],2)</f>
        <v>0.3</v>
      </c>
      <c r="AY90">
        <f>VLOOKUP(all_lmics[[worldbank_region]:[worldbank_region]],hbe[],5)</f>
        <v>0.875</v>
      </c>
      <c r="AZ90">
        <f>VLOOKUP(all_lmics[[worldbank_region]:[worldbank_region]],hbe[],8)</f>
        <v>0.15</v>
      </c>
    </row>
    <row r="91" spans="1:52" x14ac:dyDescent="0.35">
      <c r="A91" s="8" t="s">
        <v>213</v>
      </c>
      <c r="B91" s="10" t="s">
        <v>33</v>
      </c>
      <c r="C91" s="45" t="s">
        <v>5</v>
      </c>
      <c r="D91" s="11" t="s">
        <v>7</v>
      </c>
      <c r="E91">
        <f>VLOOKUP(all_lmics[[Setting]:[Setting]],populations[],9,FALSE)</f>
        <v>9400145</v>
      </c>
      <c r="F91">
        <f>VLOOKUP(all_lmics[[Setting]:[Setting]],birthrate[],3,FALSE)</f>
        <v>9.5919999999999998E-3</v>
      </c>
      <c r="G91">
        <f>all_lmics[[#This Row],[2017_population]]*all_lmics[[#This Row],[2016_birthrate]]</f>
        <v>90166.190839999996</v>
      </c>
      <c r="H91">
        <f>VLOOKUP(all_lmics[[Setting]:[Setting]],birthdose[],4,FALSE)</f>
        <v>0.97</v>
      </c>
      <c r="I91">
        <f>VLOOKUP(all_lmics[[Setting]:[Setting]],fullvax[],4,FALSE)</f>
        <v>0.98</v>
      </c>
      <c r="J91">
        <f>IFERROR(VLOOKUP(all_lmics[[Setting]:[Setting]],prev[],3,FALSE),0)</f>
        <v>0.01</v>
      </c>
      <c r="K91">
        <f>IFERROR(VLOOKUP(all_lmics[[Setting]:[Setting]],prev[],4,FALSE),0)</f>
        <v>5.0000000000000001E-3</v>
      </c>
      <c r="L91">
        <f>IFERROR(VLOOKUP(all_lmics[[Setting]:[Setting]],prev[],5,FALSE),0)</f>
        <v>1.2E-2</v>
      </c>
      <c r="M91">
        <f>IFERROR(VLOOKUP(all_lmics[[Setting]:[Setting]],prev[],7,FALSE),0)</f>
        <v>1.0204081632653062E-3</v>
      </c>
      <c r="N91">
        <f>IFERROR(VLOOKUP(all_lmics[[Setting]:[Setting]],prev[],6,FALSE),0)</f>
        <v>9400145</v>
      </c>
      <c r="O91">
        <f>IFERROR(VLOOKUP(all_lmics[[Setting]:[Setting]],SBA[],4,FALSE),0)</f>
        <v>0.99900000000000011</v>
      </c>
      <c r="P91">
        <f>IFERROR(VLOOKUP(all_lmics[[Setting]:[Setting]], facility[], 3,FALSE),0)</f>
        <v>0.99900000000000011</v>
      </c>
      <c r="Q91">
        <f>IFERROR(VLOOKUP(all_lmics[[Setting]:[Setting]],all_cause_mort[],4,FALSE),0)</f>
        <v>5.5428537000000002E-3</v>
      </c>
      <c r="R91">
        <f>IFERROR(VLOOKUP(all_lmics[[Setting]:[Setting]],all_cause_mort[],5,FALSE),0)</f>
        <v>2.3038219E-4</v>
      </c>
      <c r="S91">
        <f>IFERROR(VLOOKUP(all_lmics[[Setting]:[Setting]],all_cause_mort[],6,FALSE),0)</f>
        <v>1.3251965999999999E-4</v>
      </c>
      <c r="T91">
        <f>IFERROR(VLOOKUP(all_lmics[[Setting]:[Setting]],all_cause_mort[],7,FALSE),0)</f>
        <v>1.2637386E-4</v>
      </c>
      <c r="U91">
        <f>IFERROR(VLOOKUP(all_lmics[[Setting]:[Setting]],all_cause_mort[],8,FALSE),0)</f>
        <v>7.2338849000000004E-4</v>
      </c>
      <c r="V91">
        <f>IFERROR(VLOOKUP(all_lmics[[Setting]:[Setting]],all_cause_mort[],9,FALSE),0)</f>
        <v>5.4679288E-4</v>
      </c>
      <c r="W91">
        <f>IFERROR(VLOOKUP(all_lmics[[Setting]:[Setting]],all_cause_mort[],10,FALSE),0)</f>
        <v>4.6108818E-4</v>
      </c>
      <c r="X91">
        <f>IFERROR(VLOOKUP(all_lmics[[Setting]:[Setting]],all_cause_mort[],11,FALSE),0)</f>
        <v>4.2117973E-4</v>
      </c>
      <c r="Y91">
        <f>IFERROR(VLOOKUP(all_lmics[[Setting]:[Setting]],all_cause_mort[],12,FALSE),0)</f>
        <v>5.4064429999999995E-4</v>
      </c>
      <c r="Z91">
        <f>IFERROR(VLOOKUP(all_lmics[[Setting]:[Setting]],all_cause_mort[],13,FALSE),0)</f>
        <v>8.2299936999999997E-4</v>
      </c>
      <c r="AA91">
        <f>IFERROR(VLOOKUP(all_lmics[[Setting]:[Setting]],all_cause_mort[],14,FALSE),0)</f>
        <v>1.6220913000000001E-3</v>
      </c>
      <c r="AB91">
        <f>IFERROR(VLOOKUP(all_lmics[[Setting]:[Setting]],all_cause_mort[],15,FALSE),0)</f>
        <v>2.5840185000000002E-3</v>
      </c>
      <c r="AC91">
        <f>IFERROR(VLOOKUP(all_lmics[[Setting]:[Setting]],all_cause_mort[],16,FALSE),0)</f>
        <v>5.3076191E-3</v>
      </c>
      <c r="AD91">
        <f>IFERROR(VLOOKUP(all_lmics[[Setting]:[Setting]],all_cause_mort[],17,FALSE),0)</f>
        <v>1.5079956E-2</v>
      </c>
      <c r="AE91">
        <f>IFERROR(VLOOKUP(all_lmics[[Setting]:[Setting]],all_cause_mort[],18,FALSE),0)</f>
        <v>2.006026E-2</v>
      </c>
      <c r="AF91">
        <f>IFERROR(VLOOKUP(all_lmics[[Setting]:[Setting]],all_cause_mort[],19,FALSE),0)</f>
        <v>3.2607232E-2</v>
      </c>
      <c r="AG91">
        <f>IFERROR(VLOOKUP(all_lmics[[Setting]:[Setting]],all_cause_mort[],20,FALSE),0)</f>
        <v>5.8246564000000001E-2</v>
      </c>
      <c r="AH91">
        <f>IFERROR(VLOOKUP(all_lmics[[Setting]:[Setting]],all_cause_mort[],21,FALSE),0)</f>
        <v>9.1688647999999998E-2</v>
      </c>
      <c r="AI91">
        <f>IFERROR(VLOOKUP(all_lmics[[Setting]:[Setting]],all_cause_mort[],22,FALSE),0)</f>
        <v>0.13973184999999999</v>
      </c>
      <c r="AJ91">
        <f>IFERROR(VLOOKUP(all_lmics[[Setting]:[Setting]],all_cause_mort[],23,FALSE),0)</f>
        <v>0.20060302999999999</v>
      </c>
      <c r="AK91">
        <f>IFERROR(VLOOKUP(all_lmics[[Setting]:[Setting]],all_cause_mort[],24,FALSE),0)</f>
        <v>0.27241254999999998</v>
      </c>
      <c r="AL91">
        <f>IFERROR(VLOOKUP(all_lmics[[Setting]:[Setting]],all_cause_mort[],25,FALSE),0)</f>
        <v>0.37001596359871802</v>
      </c>
      <c r="AM91">
        <f>VLOOKUP(all_lmics[[worldbank_region]:[worldbank_region]],Table13[],2,FALSE)</f>
        <v>57.906657999999993</v>
      </c>
      <c r="AN91">
        <f>VLOOKUP(all_lmics[[worldbank_region]:[worldbank_region]],Table13[],3,FALSE)</f>
        <v>57.906657999999993</v>
      </c>
      <c r="AO91">
        <f>VLOOKUP(all_lmics[[worldbank_region]:[worldbank_region]],Table13[],4,FALSE)</f>
        <v>105.63551799999999</v>
      </c>
      <c r="AP91">
        <f>VLOOKUP(all_lmics[[worldbank_region]:[worldbank_region]],Table13[],5,FALSE)</f>
        <v>105.63551799999999</v>
      </c>
      <c r="AQ91">
        <f>VLOOKUP(all_lmics[[worldbank_region]:[worldbank_region]],Table13[],6,FALSE)</f>
        <v>105.63551799999999</v>
      </c>
      <c r="AR91">
        <f>VLOOKUP(all_lmics[[worldbank_region]:[worldbank_region]],Table14[],2,FALSE)</f>
        <v>1.5037449999999999</v>
      </c>
      <c r="AS91">
        <f>VLOOKUP(all_lmics[[worldbank_region]:[worldbank_region]],Table14[],3,FALSE)</f>
        <v>2.121245</v>
      </c>
      <c r="AT91">
        <f>VLOOKUP(all_lmics[[worldbank_region]:[worldbank_region]],Table14[],4,FALSE)</f>
        <v>1.9832129999999999</v>
      </c>
      <c r="AU91">
        <f>VLOOKUP(all_lmics[[worldbank_region]:[worldbank_region]],Table14[],5,FALSE)</f>
        <v>2.6007129999999998</v>
      </c>
      <c r="AV91">
        <f>VLOOKUP(all_lmics[[worldbank_region]:[worldbank_region]],Table14[],6,FALSE)</f>
        <v>3.1709649999999998</v>
      </c>
      <c r="AW91">
        <f>IFERROR(VLOOKUP(all_lmics[[Setting]:[Setting]],nFacSBA[],4,FALSE),0)</f>
        <v>0</v>
      </c>
      <c r="AX91">
        <f>VLOOKUP(all_lmics[[worldbank_region]:[worldbank_region]],hbe[],2)</f>
        <v>0.3</v>
      </c>
      <c r="AY91">
        <f>VLOOKUP(all_lmics[[worldbank_region]:[worldbank_region]],hbe[],5)</f>
        <v>0.875</v>
      </c>
      <c r="AZ91">
        <f>VLOOKUP(all_lmics[[worldbank_region]:[worldbank_region]],hbe[],8)</f>
        <v>0.15</v>
      </c>
    </row>
    <row r="92" spans="1:52" x14ac:dyDescent="0.35">
      <c r="A92" s="8" t="s">
        <v>4</v>
      </c>
      <c r="B92" s="10" t="s">
        <v>6</v>
      </c>
      <c r="C92" s="45" t="s">
        <v>5</v>
      </c>
      <c r="D92" s="11" t="s">
        <v>7</v>
      </c>
      <c r="E92">
        <f>VLOOKUP(all_lmics[[Setting]:[Setting]],populations[],9,FALSE)</f>
        <v>35530081</v>
      </c>
      <c r="F92">
        <f>VLOOKUP(all_lmics[[Setting]:[Setting]],birthrate[],3,FALSE)</f>
        <v>3.3214E-2</v>
      </c>
      <c r="G92">
        <f>all_lmics[[#This Row],[2017_population]]*all_lmics[[#This Row],[2016_birthrate]]</f>
        <v>1180096.1103340001</v>
      </c>
      <c r="H92">
        <f>VLOOKUP(all_lmics[[Setting]:[Setting]],birthdose[],4,FALSE)</f>
        <v>0.18</v>
      </c>
      <c r="I92">
        <f>VLOOKUP(all_lmics[[Setting]:[Setting]],fullvax[],4,FALSE)</f>
        <v>0.65</v>
      </c>
      <c r="J92">
        <f>IFERROR(VLOOKUP(all_lmics[[Setting]:[Setting]],prev[],3,FALSE),0)</f>
        <v>1.6199999999999999E-2</v>
      </c>
      <c r="K92">
        <f>IFERROR(VLOOKUP(all_lmics[[Setting]:[Setting]],prev[],4,FALSE),0)</f>
        <v>1.29E-2</v>
      </c>
      <c r="L92">
        <f>IFERROR(VLOOKUP(all_lmics[[Setting]:[Setting]],prev[],5,FALSE),0)</f>
        <v>2.0299999999999999E-2</v>
      </c>
      <c r="M92">
        <f>IFERROR(VLOOKUP(all_lmics[[Setting]:[Setting]],prev[],7,FALSE),0)</f>
        <v>2.0918367346938775E-3</v>
      </c>
      <c r="N92">
        <f>IFERROR(VLOOKUP(all_lmics[[Setting]:[Setting]],prev[],6,FALSE),0)</f>
        <v>28803167</v>
      </c>
      <c r="O92">
        <f>IFERROR(VLOOKUP(all_lmics[[Setting]:[Setting]],SBA[],4,FALSE),0)</f>
        <v>0.505</v>
      </c>
      <c r="P92">
        <f>IFERROR(VLOOKUP(all_lmics[[Setting]:[Setting]], facility[], 3,FALSE),0)</f>
        <v>0.48100000000000004</v>
      </c>
      <c r="Q92">
        <f>IFERROR(VLOOKUP(all_lmics[[Setting]:[Setting]],all_cause_mort[],4,FALSE),0)</f>
        <v>5.3946750000000002E-2</v>
      </c>
      <c r="R92">
        <f>IFERROR(VLOOKUP(all_lmics[[Setting]:[Setting]],all_cause_mort[],5,FALSE),0)</f>
        <v>4.3072895999999999E-3</v>
      </c>
      <c r="S92">
        <f>IFERROR(VLOOKUP(all_lmics[[Setting]:[Setting]],all_cause_mort[],6,FALSE),0)</f>
        <v>1.3272850999999999E-3</v>
      </c>
      <c r="T92">
        <f>IFERROR(VLOOKUP(all_lmics[[Setting]:[Setting]],all_cause_mort[],7,FALSE),0)</f>
        <v>1.043006E-3</v>
      </c>
      <c r="U92">
        <f>IFERROR(VLOOKUP(all_lmics[[Setting]:[Setting]],all_cause_mort[],8,FALSE),0)</f>
        <v>1.6842243999999999E-3</v>
      </c>
      <c r="V92">
        <f>IFERROR(VLOOKUP(all_lmics[[Setting]:[Setting]],all_cause_mort[],9,FALSE),0)</f>
        <v>2.3509482999999999E-3</v>
      </c>
      <c r="W92">
        <f>IFERROR(VLOOKUP(all_lmics[[Setting]:[Setting]],all_cause_mort[],10,FALSE),0)</f>
        <v>2.5620234000000002E-3</v>
      </c>
      <c r="X92">
        <f>IFERROR(VLOOKUP(all_lmics[[Setting]:[Setting]],all_cause_mort[],11,FALSE),0)</f>
        <v>2.9352549999999999E-3</v>
      </c>
      <c r="Y92">
        <f>IFERROR(VLOOKUP(all_lmics[[Setting]:[Setting]],all_cause_mort[],12,FALSE),0)</f>
        <v>3.6406275000000002E-3</v>
      </c>
      <c r="Z92">
        <f>IFERROR(VLOOKUP(all_lmics[[Setting]:[Setting]],all_cause_mort[],13,FALSE),0)</f>
        <v>4.8193397000000004E-3</v>
      </c>
      <c r="AA92">
        <f>IFERROR(VLOOKUP(all_lmics[[Setting]:[Setting]],all_cause_mort[],14,FALSE),0)</f>
        <v>6.7762048000000004E-3</v>
      </c>
      <c r="AB92">
        <f>IFERROR(VLOOKUP(all_lmics[[Setting]:[Setting]],all_cause_mort[],15,FALSE),0)</f>
        <v>9.9386647000000005E-3</v>
      </c>
      <c r="AC92">
        <f>IFERROR(VLOOKUP(all_lmics[[Setting]:[Setting]],all_cause_mort[],16,FALSE),0)</f>
        <v>1.4819776999999999E-2</v>
      </c>
      <c r="AD92">
        <f>IFERROR(VLOOKUP(all_lmics[[Setting]:[Setting]],all_cause_mort[],17,FALSE),0)</f>
        <v>2.2737640999999999E-2</v>
      </c>
      <c r="AE92">
        <f>IFERROR(VLOOKUP(all_lmics[[Setting]:[Setting]],all_cause_mort[],18,FALSE),0)</f>
        <v>3.5227205999999997E-2</v>
      </c>
      <c r="AF92">
        <f>IFERROR(VLOOKUP(all_lmics[[Setting]:[Setting]],all_cause_mort[],19,FALSE),0)</f>
        <v>5.6293234999999997E-2</v>
      </c>
      <c r="AG92">
        <f>IFERROR(VLOOKUP(all_lmics[[Setting]:[Setting]],all_cause_mort[],20,FALSE),0)</f>
        <v>9.0408010999999996E-2</v>
      </c>
      <c r="AH92">
        <f>IFERROR(VLOOKUP(all_lmics[[Setting]:[Setting]],all_cause_mort[],21,FALSE),0)</f>
        <v>0.14440871999999999</v>
      </c>
      <c r="AI92">
        <f>IFERROR(VLOOKUP(all_lmics[[Setting]:[Setting]],all_cause_mort[],22,FALSE),0)</f>
        <v>0.22282518000000001</v>
      </c>
      <c r="AJ92">
        <f>IFERROR(VLOOKUP(all_lmics[[Setting]:[Setting]],all_cause_mort[],23,FALSE),0)</f>
        <v>0.32327080000000002</v>
      </c>
      <c r="AK92">
        <f>IFERROR(VLOOKUP(all_lmics[[Setting]:[Setting]],all_cause_mort[],24,FALSE),0)</f>
        <v>0.44475852999999999</v>
      </c>
      <c r="AL92">
        <f>IFERROR(VLOOKUP(all_lmics[[Setting]:[Setting]],all_cause_mort[],25,FALSE),0)</f>
        <v>0.57823609541681997</v>
      </c>
      <c r="AM92">
        <f>VLOOKUP(all_lmics[[worldbank_region]:[worldbank_region]],Table13[],2,FALSE)</f>
        <v>57.906657999999993</v>
      </c>
      <c r="AN92">
        <f>VLOOKUP(all_lmics[[worldbank_region]:[worldbank_region]],Table13[],3,FALSE)</f>
        <v>57.906657999999993</v>
      </c>
      <c r="AO92">
        <f>VLOOKUP(all_lmics[[worldbank_region]:[worldbank_region]],Table13[],4,FALSE)</f>
        <v>105.63551799999999</v>
      </c>
      <c r="AP92">
        <f>VLOOKUP(all_lmics[[worldbank_region]:[worldbank_region]],Table13[],5,FALSE)</f>
        <v>105.63551799999999</v>
      </c>
      <c r="AQ92">
        <f>VLOOKUP(all_lmics[[worldbank_region]:[worldbank_region]],Table13[],6,FALSE)</f>
        <v>105.63551799999999</v>
      </c>
      <c r="AR92">
        <f>VLOOKUP(all_lmics[[worldbank_region]:[worldbank_region]],Table14[],2,FALSE)</f>
        <v>1.5037449999999999</v>
      </c>
      <c r="AS92">
        <f>VLOOKUP(all_lmics[[worldbank_region]:[worldbank_region]],Table14[],3,FALSE)</f>
        <v>2.121245</v>
      </c>
      <c r="AT92">
        <f>VLOOKUP(all_lmics[[worldbank_region]:[worldbank_region]],Table14[],4,FALSE)</f>
        <v>1.9832129999999999</v>
      </c>
      <c r="AU92">
        <f>VLOOKUP(all_lmics[[worldbank_region]:[worldbank_region]],Table14[],5,FALSE)</f>
        <v>2.6007129999999998</v>
      </c>
      <c r="AV92">
        <f>VLOOKUP(all_lmics[[worldbank_region]:[worldbank_region]],Table14[],6,FALSE)</f>
        <v>3.1709649999999998</v>
      </c>
      <c r="AW92">
        <f>IFERROR(VLOOKUP(all_lmics[[Setting]:[Setting]],nFacSBA[],4,FALSE),0)</f>
        <v>9.9050011419499109E-2</v>
      </c>
      <c r="AX92">
        <f>VLOOKUP(all_lmics[[worldbank_region]:[worldbank_region]],hbe[],2)</f>
        <v>0.3</v>
      </c>
      <c r="AY92">
        <f>VLOOKUP(all_lmics[[worldbank_region]:[worldbank_region]],hbe[],5)</f>
        <v>0.875</v>
      </c>
      <c r="AZ92">
        <f>VLOOKUP(all_lmics[[worldbank_region]:[worldbank_region]],hbe[],8)</f>
        <v>0.15</v>
      </c>
    </row>
    <row r="93" spans="1:52" x14ac:dyDescent="0.35">
      <c r="A93" s="12" t="s">
        <v>79</v>
      </c>
      <c r="B93" s="13" t="s">
        <v>6</v>
      </c>
      <c r="C93" s="46" t="s">
        <v>5</v>
      </c>
      <c r="D93" s="14" t="s">
        <v>7</v>
      </c>
      <c r="E93">
        <f>VLOOKUP(all_lmics[[Setting]:[Setting]],populations[],9,FALSE)</f>
        <v>956985</v>
      </c>
      <c r="F93">
        <f>VLOOKUP(all_lmics[[Setting]:[Setting]],birthrate[],3,FALSE)</f>
        <v>2.3001999999999998E-2</v>
      </c>
      <c r="G93">
        <f>all_lmics[[#This Row],[2017_population]]*all_lmics[[#This Row],[2016_birthrate]]</f>
        <v>22012.568969999997</v>
      </c>
      <c r="H93">
        <f>VLOOKUP(all_lmics[[Setting]:[Setting]],birthdose[],4,FALSE)</f>
        <v>0.9</v>
      </c>
      <c r="I93">
        <f>VLOOKUP(all_lmics[[Setting]:[Setting]],fullvax[],4,FALSE)</f>
        <v>0.68</v>
      </c>
      <c r="J93">
        <f>IFERROR(VLOOKUP(all_lmics[[Setting]:[Setting]],prev[],3,FALSE),0)</f>
        <v>0</v>
      </c>
      <c r="K93">
        <f>IFERROR(VLOOKUP(all_lmics[[Setting]:[Setting]],prev[],4,FALSE),0)</f>
        <v>0</v>
      </c>
      <c r="L93">
        <f>IFERROR(VLOOKUP(all_lmics[[Setting]:[Setting]],prev[],5,FALSE),0)</f>
        <v>0</v>
      </c>
      <c r="M93">
        <f>IFERROR(VLOOKUP(all_lmics[[Setting]:[Setting]],prev[],7,FALSE),0)</f>
        <v>0</v>
      </c>
      <c r="N93">
        <f>IFERROR(VLOOKUP(all_lmics[[Setting]:[Setting]],prev[],6,FALSE),0)</f>
        <v>0</v>
      </c>
      <c r="O93">
        <f>IFERROR(VLOOKUP(all_lmics[[Setting]:[Setting]],SBA[],4,FALSE),0)</f>
        <v>0.87400000000000011</v>
      </c>
      <c r="P93">
        <f>IFERROR(VLOOKUP(all_lmics[[Setting]:[Setting]], facility[], 3,FALSE),0)</f>
        <v>0.86699999999999999</v>
      </c>
      <c r="Q93">
        <f>IFERROR(VLOOKUP(all_lmics[[Setting]:[Setting]],all_cause_mort[],4,FALSE),0)</f>
        <v>3.4650634999999999E-2</v>
      </c>
      <c r="R93">
        <f>IFERROR(VLOOKUP(all_lmics[[Setting]:[Setting]],all_cause_mort[],5,FALSE),0)</f>
        <v>4.5803867000000003E-3</v>
      </c>
      <c r="S93">
        <f>IFERROR(VLOOKUP(all_lmics[[Setting]:[Setting]],all_cause_mort[],6,FALSE),0)</f>
        <v>1.7849731000000001E-3</v>
      </c>
      <c r="T93">
        <f>IFERROR(VLOOKUP(all_lmics[[Setting]:[Setting]],all_cause_mort[],7,FALSE),0)</f>
        <v>1.2178046000000001E-3</v>
      </c>
      <c r="U93">
        <f>IFERROR(VLOOKUP(all_lmics[[Setting]:[Setting]],all_cause_mort[],8,FALSE),0)</f>
        <v>1.6284278000000001E-3</v>
      </c>
      <c r="V93">
        <f>IFERROR(VLOOKUP(all_lmics[[Setting]:[Setting]],all_cause_mort[],9,FALSE),0)</f>
        <v>2.1806332E-3</v>
      </c>
      <c r="W93">
        <f>IFERROR(VLOOKUP(all_lmics[[Setting]:[Setting]],all_cause_mort[],10,FALSE),0)</f>
        <v>2.6304775000000002E-3</v>
      </c>
      <c r="X93">
        <f>IFERROR(VLOOKUP(all_lmics[[Setting]:[Setting]],all_cause_mort[],11,FALSE),0)</f>
        <v>3.3247870000000001E-3</v>
      </c>
      <c r="Y93">
        <f>IFERROR(VLOOKUP(all_lmics[[Setting]:[Setting]],all_cause_mort[],12,FALSE),0)</f>
        <v>4.5153049999999998E-3</v>
      </c>
      <c r="Z93">
        <f>IFERROR(VLOOKUP(all_lmics[[Setting]:[Setting]],all_cause_mort[],13,FALSE),0)</f>
        <v>5.5892181000000004E-3</v>
      </c>
      <c r="AA93">
        <f>IFERROR(VLOOKUP(all_lmics[[Setting]:[Setting]],all_cause_mort[],14,FALSE),0)</f>
        <v>6.7270083999999997E-3</v>
      </c>
      <c r="AB93">
        <f>IFERROR(VLOOKUP(all_lmics[[Setting]:[Setting]],all_cause_mort[],15,FALSE),0)</f>
        <v>8.8441059999999991E-3</v>
      </c>
      <c r="AC93">
        <f>IFERROR(VLOOKUP(all_lmics[[Setting]:[Setting]],all_cause_mort[],16,FALSE),0)</f>
        <v>1.1641266000000001E-2</v>
      </c>
      <c r="AD93">
        <f>IFERROR(VLOOKUP(all_lmics[[Setting]:[Setting]],all_cause_mort[],17,FALSE),0)</f>
        <v>1.7787942000000001E-2</v>
      </c>
      <c r="AE93">
        <f>IFERROR(VLOOKUP(all_lmics[[Setting]:[Setting]],all_cause_mort[],18,FALSE),0)</f>
        <v>2.8073510999999999E-2</v>
      </c>
      <c r="AF93">
        <f>IFERROR(VLOOKUP(all_lmics[[Setting]:[Setting]],all_cause_mort[],19,FALSE),0)</f>
        <v>4.5448381000000003E-2</v>
      </c>
      <c r="AG93">
        <f>IFERROR(VLOOKUP(all_lmics[[Setting]:[Setting]],all_cause_mort[],20,FALSE),0)</f>
        <v>7.3774641000000002E-2</v>
      </c>
      <c r="AH93">
        <f>IFERROR(VLOOKUP(all_lmics[[Setting]:[Setting]],all_cause_mort[],21,FALSE),0)</f>
        <v>0.11973191</v>
      </c>
      <c r="AI93">
        <f>IFERROR(VLOOKUP(all_lmics[[Setting]:[Setting]],all_cause_mort[],22,FALSE),0)</f>
        <v>0.18819414000000001</v>
      </c>
      <c r="AJ93">
        <f>IFERROR(VLOOKUP(all_lmics[[Setting]:[Setting]],all_cause_mort[],23,FALSE),0)</f>
        <v>0.27859172999999998</v>
      </c>
      <c r="AK93">
        <f>IFERROR(VLOOKUP(all_lmics[[Setting]:[Setting]],all_cause_mort[],24,FALSE),0)</f>
        <v>0.39261278999999999</v>
      </c>
      <c r="AL93">
        <f>IFERROR(VLOOKUP(all_lmics[[Setting]:[Setting]],all_cause_mort[],25,FALSE),0)</f>
        <v>0.52799478510110698</v>
      </c>
      <c r="AM93">
        <f>VLOOKUP(all_lmics[[worldbank_region]:[worldbank_region]],Table13[],2,FALSE)</f>
        <v>57.906657999999993</v>
      </c>
      <c r="AN93">
        <f>VLOOKUP(all_lmics[[worldbank_region]:[worldbank_region]],Table13[],3,FALSE)</f>
        <v>57.906657999999993</v>
      </c>
      <c r="AO93">
        <f>VLOOKUP(all_lmics[[worldbank_region]:[worldbank_region]],Table13[],4,FALSE)</f>
        <v>105.63551799999999</v>
      </c>
      <c r="AP93">
        <f>VLOOKUP(all_lmics[[worldbank_region]:[worldbank_region]],Table13[],5,FALSE)</f>
        <v>105.63551799999999</v>
      </c>
      <c r="AQ93">
        <f>VLOOKUP(all_lmics[[worldbank_region]:[worldbank_region]],Table13[],6,FALSE)</f>
        <v>105.63551799999999</v>
      </c>
      <c r="AR93">
        <f>VLOOKUP(all_lmics[[worldbank_region]:[worldbank_region]],Table14[],2,FALSE)</f>
        <v>1.5037449999999999</v>
      </c>
      <c r="AS93">
        <f>VLOOKUP(all_lmics[[worldbank_region]:[worldbank_region]],Table14[],3,FALSE)</f>
        <v>2.121245</v>
      </c>
      <c r="AT93">
        <f>VLOOKUP(all_lmics[[worldbank_region]:[worldbank_region]],Table14[],4,FALSE)</f>
        <v>1.9832129999999999</v>
      </c>
      <c r="AU93">
        <f>VLOOKUP(all_lmics[[worldbank_region]:[worldbank_region]],Table14[],5,FALSE)</f>
        <v>2.6007129999999998</v>
      </c>
      <c r="AV93">
        <f>VLOOKUP(all_lmics[[worldbank_region]:[worldbank_region]],Table14[],6,FALSE)</f>
        <v>3.1709649999999998</v>
      </c>
      <c r="AW93">
        <f>IFERROR(VLOOKUP(all_lmics[[Setting]:[Setting]],nFacSBA[],4,FALSE),0)</f>
        <v>0</v>
      </c>
      <c r="AX93">
        <f>VLOOKUP(all_lmics[[worldbank_region]:[worldbank_region]],hbe[],2)</f>
        <v>0.3</v>
      </c>
      <c r="AY93">
        <f>VLOOKUP(all_lmics[[worldbank_region]:[worldbank_region]],hbe[],5)</f>
        <v>0.875</v>
      </c>
      <c r="AZ93">
        <f>VLOOKUP(all_lmics[[worldbank_region]:[worldbank_region]],hbe[],8)</f>
        <v>0.15</v>
      </c>
    </row>
    <row r="94" spans="1:52" x14ac:dyDescent="0.35">
      <c r="A94" s="12" t="s">
        <v>83</v>
      </c>
      <c r="B94" s="13" t="s">
        <v>6</v>
      </c>
      <c r="C94" s="46" t="s">
        <v>5</v>
      </c>
      <c r="D94" s="14" t="s">
        <v>7</v>
      </c>
      <c r="E94">
        <f>VLOOKUP(all_lmics[[Setting]:[Setting]],populations[],9,FALSE)</f>
        <v>97553151</v>
      </c>
      <c r="F94">
        <f>VLOOKUP(all_lmics[[Setting]:[Setting]],birthrate[],3,FALSE)</f>
        <v>2.6494E-2</v>
      </c>
      <c r="G94">
        <f>all_lmics[[#This Row],[2017_population]]*all_lmics[[#This Row],[2016_birthrate]]</f>
        <v>2584573.1825939999</v>
      </c>
      <c r="H94">
        <f>VLOOKUP(all_lmics[[Setting]:[Setting]],birthdose[],4,FALSE)</f>
        <v>0.84</v>
      </c>
      <c r="I94">
        <f>VLOOKUP(all_lmics[[Setting]:[Setting]],fullvax[],4,FALSE)</f>
        <v>0.94</v>
      </c>
      <c r="J94">
        <f>IFERROR(VLOOKUP(all_lmics[[Setting]:[Setting]],prev[],3,FALSE),0)</f>
        <v>0.01</v>
      </c>
      <c r="K94">
        <f>IFERROR(VLOOKUP(all_lmics[[Setting]:[Setting]],prev[],4,FALSE),0)</f>
        <v>8.9999999999999993E-3</v>
      </c>
      <c r="L94">
        <f>IFERROR(VLOOKUP(all_lmics[[Setting]:[Setting]],prev[],5,FALSE),0)</f>
        <v>1.2E-2</v>
      </c>
      <c r="M94">
        <f>IFERROR(VLOOKUP(all_lmics[[Setting]:[Setting]],prev[],7,FALSE),0)</f>
        <v>1.0204081632653062E-3</v>
      </c>
      <c r="N94">
        <f>IFERROR(VLOOKUP(all_lmics[[Setting]:[Setting]],prev[],6,FALSE),0)</f>
        <v>97553151</v>
      </c>
      <c r="O94">
        <f>IFERROR(VLOOKUP(all_lmics[[Setting]:[Setting]],SBA[],4,FALSE),0)</f>
        <v>0.91500000000000004</v>
      </c>
      <c r="P94">
        <f>IFERROR(VLOOKUP(all_lmics[[Setting]:[Setting]], facility[], 3,FALSE),0)</f>
        <v>0.86699999999999999</v>
      </c>
      <c r="Q94">
        <f>IFERROR(VLOOKUP(all_lmics[[Setting]:[Setting]],all_cause_mort[],4,FALSE),0)</f>
        <v>1.5827734E-2</v>
      </c>
      <c r="R94">
        <f>IFERROR(VLOOKUP(all_lmics[[Setting]:[Setting]],all_cause_mort[],5,FALSE),0)</f>
        <v>1.1008951E-3</v>
      </c>
      <c r="S94">
        <f>IFERROR(VLOOKUP(all_lmics[[Setting]:[Setting]],all_cause_mort[],6,FALSE),0)</f>
        <v>4.0243443999999999E-4</v>
      </c>
      <c r="T94">
        <f>IFERROR(VLOOKUP(all_lmics[[Setting]:[Setting]],all_cause_mort[],7,FALSE),0)</f>
        <v>3.3751286000000002E-4</v>
      </c>
      <c r="U94">
        <f>IFERROR(VLOOKUP(all_lmics[[Setting]:[Setting]],all_cause_mort[],8,FALSE),0)</f>
        <v>4.9003871000000002E-4</v>
      </c>
      <c r="V94">
        <f>IFERROR(VLOOKUP(all_lmics[[Setting]:[Setting]],all_cause_mort[],9,FALSE),0)</f>
        <v>7.3588867999999997E-4</v>
      </c>
      <c r="W94">
        <f>IFERROR(VLOOKUP(all_lmics[[Setting]:[Setting]],all_cause_mort[],10,FALSE),0)</f>
        <v>9.0866839999999998E-4</v>
      </c>
      <c r="X94">
        <f>IFERROR(VLOOKUP(all_lmics[[Setting]:[Setting]],all_cause_mort[],11,FALSE),0)</f>
        <v>1.1986133E-3</v>
      </c>
      <c r="Y94">
        <f>IFERROR(VLOOKUP(all_lmics[[Setting]:[Setting]],all_cause_mort[],12,FALSE),0)</f>
        <v>1.4452664000000001E-3</v>
      </c>
      <c r="Z94">
        <f>IFERROR(VLOOKUP(all_lmics[[Setting]:[Setting]],all_cause_mort[],13,FALSE),0)</f>
        <v>2.1677839999999999E-3</v>
      </c>
      <c r="AA94">
        <f>IFERROR(VLOOKUP(all_lmics[[Setting]:[Setting]],all_cause_mort[],14,FALSE),0)</f>
        <v>4.5424814000000003E-3</v>
      </c>
      <c r="AB94">
        <f>IFERROR(VLOOKUP(all_lmics[[Setting]:[Setting]],all_cause_mort[],15,FALSE),0)</f>
        <v>8.4206946000000005E-3</v>
      </c>
      <c r="AC94">
        <f>IFERROR(VLOOKUP(all_lmics[[Setting]:[Setting]],all_cause_mort[],16,FALSE),0)</f>
        <v>1.1711541000000001E-2</v>
      </c>
      <c r="AD94">
        <f>IFERROR(VLOOKUP(all_lmics[[Setting]:[Setting]],all_cause_mort[],17,FALSE),0)</f>
        <v>1.9153180999999998E-2</v>
      </c>
      <c r="AE94">
        <f>IFERROR(VLOOKUP(all_lmics[[Setting]:[Setting]],all_cause_mort[],18,FALSE),0)</f>
        <v>3.0109420000000001E-2</v>
      </c>
      <c r="AF94">
        <f>IFERROR(VLOOKUP(all_lmics[[Setting]:[Setting]],all_cause_mort[],19,FALSE),0)</f>
        <v>4.9159503E-2</v>
      </c>
      <c r="AG94">
        <f>IFERROR(VLOOKUP(all_lmics[[Setting]:[Setting]],all_cause_mort[],20,FALSE),0)</f>
        <v>8.0843447999999998E-2</v>
      </c>
      <c r="AH94">
        <f>IFERROR(VLOOKUP(all_lmics[[Setting]:[Setting]],all_cause_mort[],21,FALSE),0)</f>
        <v>0.12560410999999999</v>
      </c>
      <c r="AI94">
        <f>IFERROR(VLOOKUP(all_lmics[[Setting]:[Setting]],all_cause_mort[],22,FALSE),0)</f>
        <v>0.18894306</v>
      </c>
      <c r="AJ94">
        <f>IFERROR(VLOOKUP(all_lmics[[Setting]:[Setting]],all_cause_mort[],23,FALSE),0)</f>
        <v>0.26514075999999998</v>
      </c>
      <c r="AK94">
        <f>IFERROR(VLOOKUP(all_lmics[[Setting]:[Setting]],all_cause_mort[],24,FALSE),0)</f>
        <v>0.37049583000000003</v>
      </c>
      <c r="AL94">
        <f>IFERROR(VLOOKUP(all_lmics[[Setting]:[Setting]],all_cause_mort[],25,FALSE),0)</f>
        <v>0.52064037099583305</v>
      </c>
      <c r="AM94">
        <f>VLOOKUP(all_lmics[[worldbank_region]:[worldbank_region]],Table13[],2,FALSE)</f>
        <v>57.906657999999993</v>
      </c>
      <c r="AN94">
        <f>VLOOKUP(all_lmics[[worldbank_region]:[worldbank_region]],Table13[],3,FALSE)</f>
        <v>57.906657999999993</v>
      </c>
      <c r="AO94">
        <f>VLOOKUP(all_lmics[[worldbank_region]:[worldbank_region]],Table13[],4,FALSE)</f>
        <v>105.63551799999999</v>
      </c>
      <c r="AP94">
        <f>VLOOKUP(all_lmics[[worldbank_region]:[worldbank_region]],Table13[],5,FALSE)</f>
        <v>105.63551799999999</v>
      </c>
      <c r="AQ94">
        <f>VLOOKUP(all_lmics[[worldbank_region]:[worldbank_region]],Table13[],6,FALSE)</f>
        <v>105.63551799999999</v>
      </c>
      <c r="AR94">
        <f>VLOOKUP(all_lmics[[worldbank_region]:[worldbank_region]],Table14[],2,FALSE)</f>
        <v>1.5037449999999999</v>
      </c>
      <c r="AS94">
        <f>VLOOKUP(all_lmics[[worldbank_region]:[worldbank_region]],Table14[],3,FALSE)</f>
        <v>2.121245</v>
      </c>
      <c r="AT94">
        <f>VLOOKUP(all_lmics[[worldbank_region]:[worldbank_region]],Table14[],4,FALSE)</f>
        <v>1.9832129999999999</v>
      </c>
      <c r="AU94">
        <f>VLOOKUP(all_lmics[[worldbank_region]:[worldbank_region]],Table14[],5,FALSE)</f>
        <v>2.6007129999999998</v>
      </c>
      <c r="AV94">
        <f>VLOOKUP(all_lmics[[worldbank_region]:[worldbank_region]],Table14[],6,FALSE)</f>
        <v>3.1709649999999998</v>
      </c>
      <c r="AW94">
        <f>IFERROR(VLOOKUP(all_lmics[[Setting]:[Setting]],nFacSBA[],4,FALSE),0)</f>
        <v>0.27595962702890781</v>
      </c>
      <c r="AX94">
        <f>VLOOKUP(all_lmics[[worldbank_region]:[worldbank_region]],hbe[],2)</f>
        <v>0.3</v>
      </c>
      <c r="AY94">
        <f>VLOOKUP(all_lmics[[worldbank_region]:[worldbank_region]],hbe[],5)</f>
        <v>0.875</v>
      </c>
      <c r="AZ94">
        <f>VLOOKUP(all_lmics[[worldbank_region]:[worldbank_region]],hbe[],8)</f>
        <v>0.15</v>
      </c>
    </row>
    <row r="95" spans="1:52" x14ac:dyDescent="0.35">
      <c r="A95" s="8" t="s">
        <v>111</v>
      </c>
      <c r="B95" s="10" t="s">
        <v>6</v>
      </c>
      <c r="C95" s="45" t="s">
        <v>5</v>
      </c>
      <c r="D95" s="11" t="s">
        <v>7</v>
      </c>
      <c r="E95">
        <f>VLOOKUP(all_lmics[[Setting]:[Setting]],populations[],9,FALSE)</f>
        <v>38274618</v>
      </c>
      <c r="F95">
        <f>VLOOKUP(all_lmics[[Setting]:[Setting]],birthrate[],3,FALSE)</f>
        <v>3.3207E-2</v>
      </c>
      <c r="G95">
        <f>all_lmics[[#This Row],[2017_population]]*all_lmics[[#This Row],[2016_birthrate]]</f>
        <v>1270985.2399260001</v>
      </c>
      <c r="H95">
        <f>VLOOKUP(all_lmics[[Setting]:[Setting]],birthdose[],4,FALSE)</f>
        <v>0.47</v>
      </c>
      <c r="I95">
        <f>VLOOKUP(all_lmics[[Setting]:[Setting]],fullvax[],4,FALSE)</f>
        <v>0.63</v>
      </c>
      <c r="J95">
        <f>IFERROR(VLOOKUP(all_lmics[[Setting]:[Setting]],prev[],3,FALSE),0)</f>
        <v>3.5000000000000003E-2</v>
      </c>
      <c r="K95">
        <f>IFERROR(VLOOKUP(all_lmics[[Setting]:[Setting]],prev[],4,FALSE),0)</f>
        <v>3.2000000000000001E-2</v>
      </c>
      <c r="L95">
        <f>IFERROR(VLOOKUP(all_lmics[[Setting]:[Setting]],prev[],5,FALSE),0)</f>
        <v>3.9E-2</v>
      </c>
      <c r="M95">
        <f>IFERROR(VLOOKUP(all_lmics[[Setting]:[Setting]],prev[],7,FALSE),0)</f>
        <v>2.0408163265306107E-3</v>
      </c>
      <c r="N95">
        <f>IFERROR(VLOOKUP(all_lmics[[Setting]:[Setting]],prev[],6,FALSE),0)</f>
        <v>38274618</v>
      </c>
      <c r="O95">
        <f>IFERROR(VLOOKUP(all_lmics[[Setting]:[Setting]],SBA[],4,FALSE),0)</f>
        <v>0.70400000000000007</v>
      </c>
      <c r="P95">
        <f>IFERROR(VLOOKUP(all_lmics[[Setting]:[Setting]], facility[], 3,FALSE),0)</f>
        <v>0.7659999999999999</v>
      </c>
      <c r="Q95">
        <f>IFERROR(VLOOKUP(all_lmics[[Setting]:[Setting]],all_cause_mort[],4,FALSE),0)</f>
        <v>2.4635428000000001E-2</v>
      </c>
      <c r="R95">
        <f>IFERROR(VLOOKUP(all_lmics[[Setting]:[Setting]],all_cause_mort[],5,FALSE),0)</f>
        <v>1.0828681000000001E-3</v>
      </c>
      <c r="S95">
        <f>IFERROR(VLOOKUP(all_lmics[[Setting]:[Setting]],all_cause_mort[],6,FALSE),0)</f>
        <v>6.7936641999999999E-4</v>
      </c>
      <c r="T95">
        <f>IFERROR(VLOOKUP(all_lmics[[Setting]:[Setting]],all_cause_mort[],7,FALSE),0)</f>
        <v>5.6635400999999999E-4</v>
      </c>
      <c r="U95">
        <f>IFERROR(VLOOKUP(all_lmics[[Setting]:[Setting]],all_cause_mort[],8,FALSE),0)</f>
        <v>1.0027320999999999E-3</v>
      </c>
      <c r="V95">
        <f>IFERROR(VLOOKUP(all_lmics[[Setting]:[Setting]],all_cause_mort[],9,FALSE),0)</f>
        <v>1.4199783E-3</v>
      </c>
      <c r="W95">
        <f>IFERROR(VLOOKUP(all_lmics[[Setting]:[Setting]],all_cause_mort[],10,FALSE),0)</f>
        <v>1.5299426000000001E-3</v>
      </c>
      <c r="X95">
        <f>IFERROR(VLOOKUP(all_lmics[[Setting]:[Setting]],all_cause_mort[],11,FALSE),0)</f>
        <v>1.755356E-3</v>
      </c>
      <c r="Y95">
        <f>IFERROR(VLOOKUP(all_lmics[[Setting]:[Setting]],all_cause_mort[],12,FALSE),0)</f>
        <v>2.2153839999999999E-3</v>
      </c>
      <c r="Z95">
        <f>IFERROR(VLOOKUP(all_lmics[[Setting]:[Setting]],all_cause_mort[],13,FALSE),0)</f>
        <v>3.1134178000000001E-3</v>
      </c>
      <c r="AA95">
        <f>IFERROR(VLOOKUP(all_lmics[[Setting]:[Setting]],all_cause_mort[],14,FALSE),0)</f>
        <v>4.7443064000000004E-3</v>
      </c>
      <c r="AB95">
        <f>IFERROR(VLOOKUP(all_lmics[[Setting]:[Setting]],all_cause_mort[],15,FALSE),0)</f>
        <v>7.2865326000000003E-3</v>
      </c>
      <c r="AC95">
        <f>IFERROR(VLOOKUP(all_lmics[[Setting]:[Setting]],all_cause_mort[],16,FALSE),0)</f>
        <v>1.1370742E-2</v>
      </c>
      <c r="AD95">
        <f>IFERROR(VLOOKUP(all_lmics[[Setting]:[Setting]],all_cause_mort[],17,FALSE),0)</f>
        <v>1.7938559999999999E-2</v>
      </c>
      <c r="AE95">
        <f>IFERROR(VLOOKUP(all_lmics[[Setting]:[Setting]],all_cause_mort[],18,FALSE),0)</f>
        <v>2.9109152999999999E-2</v>
      </c>
      <c r="AF95">
        <f>IFERROR(VLOOKUP(all_lmics[[Setting]:[Setting]],all_cause_mort[],19,FALSE),0)</f>
        <v>4.8005051999999999E-2</v>
      </c>
      <c r="AG95">
        <f>IFERROR(VLOOKUP(all_lmics[[Setting]:[Setting]],all_cause_mort[],20,FALSE),0)</f>
        <v>7.8693476999999998E-2</v>
      </c>
      <c r="AH95">
        <f>IFERROR(VLOOKUP(all_lmics[[Setting]:[Setting]],all_cause_mort[],21,FALSE),0)</f>
        <v>0.1295413</v>
      </c>
      <c r="AI95">
        <f>IFERROR(VLOOKUP(all_lmics[[Setting]:[Setting]],all_cause_mort[],22,FALSE),0)</f>
        <v>0.20400732999999999</v>
      </c>
      <c r="AJ95">
        <f>IFERROR(VLOOKUP(all_lmics[[Setting]:[Setting]],all_cause_mort[],23,FALSE),0)</f>
        <v>0.30477734000000001</v>
      </c>
      <c r="AK95">
        <f>IFERROR(VLOOKUP(all_lmics[[Setting]:[Setting]],all_cause_mort[],24,FALSE),0)</f>
        <v>0.42581627999999999</v>
      </c>
      <c r="AL95">
        <f>IFERROR(VLOOKUP(all_lmics[[Setting]:[Setting]],all_cause_mort[],25,FALSE),0)</f>
        <v>0.51775340171751205</v>
      </c>
      <c r="AM95">
        <f>VLOOKUP(all_lmics[[worldbank_region]:[worldbank_region]],Table13[],2,FALSE)</f>
        <v>57.906657999999993</v>
      </c>
      <c r="AN95">
        <f>VLOOKUP(all_lmics[[worldbank_region]:[worldbank_region]],Table13[],3,FALSE)</f>
        <v>57.906657999999993</v>
      </c>
      <c r="AO95">
        <f>VLOOKUP(all_lmics[[worldbank_region]:[worldbank_region]],Table13[],4,FALSE)</f>
        <v>105.63551799999999</v>
      </c>
      <c r="AP95">
        <f>VLOOKUP(all_lmics[[worldbank_region]:[worldbank_region]],Table13[],5,FALSE)</f>
        <v>105.63551799999999</v>
      </c>
      <c r="AQ95">
        <f>VLOOKUP(all_lmics[[worldbank_region]:[worldbank_region]],Table13[],6,FALSE)</f>
        <v>105.63551799999999</v>
      </c>
      <c r="AR95">
        <f>VLOOKUP(all_lmics[[worldbank_region]:[worldbank_region]],Table14[],2,FALSE)</f>
        <v>1.5037449999999999</v>
      </c>
      <c r="AS95">
        <f>VLOOKUP(all_lmics[[worldbank_region]:[worldbank_region]],Table14[],3,FALSE)</f>
        <v>2.121245</v>
      </c>
      <c r="AT95">
        <f>VLOOKUP(all_lmics[[worldbank_region]:[worldbank_region]],Table14[],4,FALSE)</f>
        <v>1.9832129999999999</v>
      </c>
      <c r="AU95">
        <f>VLOOKUP(all_lmics[[worldbank_region]:[worldbank_region]],Table14[],5,FALSE)</f>
        <v>2.6007129999999998</v>
      </c>
      <c r="AV95">
        <f>VLOOKUP(all_lmics[[worldbank_region]:[worldbank_region]],Table14[],6,FALSE)</f>
        <v>3.1709649999999998</v>
      </c>
      <c r="AW95">
        <f>IFERROR(VLOOKUP(all_lmics[[Setting]:[Setting]],nFacSBA[],4,FALSE),0)</f>
        <v>0.6201799551647541</v>
      </c>
      <c r="AX95">
        <f>VLOOKUP(all_lmics[[worldbank_region]:[worldbank_region]],hbe[],2)</f>
        <v>0.3</v>
      </c>
      <c r="AY95">
        <f>VLOOKUP(all_lmics[[worldbank_region]:[worldbank_region]],hbe[],5)</f>
        <v>0.875</v>
      </c>
      <c r="AZ95">
        <f>VLOOKUP(all_lmics[[worldbank_region]:[worldbank_region]],hbe[],8)</f>
        <v>0.15</v>
      </c>
    </row>
    <row r="96" spans="1:52" x14ac:dyDescent="0.35">
      <c r="A96" s="8" t="s">
        <v>145</v>
      </c>
      <c r="B96" s="10" t="s">
        <v>6</v>
      </c>
      <c r="C96" s="45" t="s">
        <v>5</v>
      </c>
      <c r="D96" s="11" t="s">
        <v>7</v>
      </c>
      <c r="E96">
        <f>VLOOKUP(all_lmics[[Setting]:[Setting]],populations[],9,FALSE)</f>
        <v>35739580</v>
      </c>
      <c r="F96">
        <f>VLOOKUP(all_lmics[[Setting]:[Setting]],birthrate[],3,FALSE)</f>
        <v>1.9965E-2</v>
      </c>
      <c r="G96">
        <f>all_lmics[[#This Row],[2017_population]]*all_lmics[[#This Row],[2016_birthrate]]</f>
        <v>713540.71470000001</v>
      </c>
      <c r="H96">
        <f>VLOOKUP(all_lmics[[Setting]:[Setting]],birthdose[],4,FALSE)</f>
        <v>0.33</v>
      </c>
      <c r="I96">
        <f>VLOOKUP(all_lmics[[Setting]:[Setting]],fullvax[],4,FALSE)</f>
        <v>0.99</v>
      </c>
      <c r="J96">
        <f>IFERROR(VLOOKUP(all_lmics[[Setting]:[Setting]],prev[],3,FALSE),0)</f>
        <v>1.0999999999999999E-2</v>
      </c>
      <c r="K96">
        <f>IFERROR(VLOOKUP(all_lmics[[Setting]:[Setting]],prev[],4,FALSE),0)</f>
        <v>8.0000000000000002E-3</v>
      </c>
      <c r="L96">
        <f>IFERROR(VLOOKUP(all_lmics[[Setting]:[Setting]],prev[],5,FALSE),0)</f>
        <v>1.2E-2</v>
      </c>
      <c r="M96">
        <f>IFERROR(VLOOKUP(all_lmics[[Setting]:[Setting]],prev[],7,FALSE),0)</f>
        <v>5.1020408163265354E-4</v>
      </c>
      <c r="N96">
        <f>IFERROR(VLOOKUP(all_lmics[[Setting]:[Setting]],prev[],6,FALSE),0)</f>
        <v>35739580</v>
      </c>
      <c r="O96">
        <f>IFERROR(VLOOKUP(all_lmics[[Setting]:[Setting]],SBA[],4,FALSE),0)</f>
        <v>0.73599999999999999</v>
      </c>
      <c r="P96">
        <f>IFERROR(VLOOKUP(all_lmics[[Setting]:[Setting]], facility[], 3,FALSE),0)</f>
        <v>0.72699999999999998</v>
      </c>
      <c r="Q96">
        <f>IFERROR(VLOOKUP(all_lmics[[Setting]:[Setting]],all_cause_mort[],4,FALSE),0)</f>
        <v>2.022871E-2</v>
      </c>
      <c r="R96">
        <f>IFERROR(VLOOKUP(all_lmics[[Setting]:[Setting]],all_cause_mort[],5,FALSE),0)</f>
        <v>9.0358677000000002E-4</v>
      </c>
      <c r="S96">
        <f>IFERROR(VLOOKUP(all_lmics[[Setting]:[Setting]],all_cause_mort[],6,FALSE),0)</f>
        <v>4.2133494999999999E-4</v>
      </c>
      <c r="T96">
        <f>IFERROR(VLOOKUP(all_lmics[[Setting]:[Setting]],all_cause_mort[],7,FALSE),0)</f>
        <v>2.5591436000000001E-4</v>
      </c>
      <c r="U96">
        <f>IFERROR(VLOOKUP(all_lmics[[Setting]:[Setting]],all_cause_mort[],8,FALSE),0)</f>
        <v>4.1535371000000001E-4</v>
      </c>
      <c r="V96">
        <f>IFERROR(VLOOKUP(all_lmics[[Setting]:[Setting]],all_cause_mort[],9,FALSE),0)</f>
        <v>6.0543558000000005E-4</v>
      </c>
      <c r="W96">
        <f>IFERROR(VLOOKUP(all_lmics[[Setting]:[Setting]],all_cause_mort[],10,FALSE),0)</f>
        <v>6.7007407000000004E-4</v>
      </c>
      <c r="X96">
        <f>IFERROR(VLOOKUP(all_lmics[[Setting]:[Setting]],all_cause_mort[],11,FALSE),0)</f>
        <v>7.4422688000000002E-4</v>
      </c>
      <c r="Y96">
        <f>IFERROR(VLOOKUP(all_lmics[[Setting]:[Setting]],all_cause_mort[],12,FALSE),0)</f>
        <v>1.0038378000000001E-3</v>
      </c>
      <c r="Z96">
        <f>IFERROR(VLOOKUP(all_lmics[[Setting]:[Setting]],all_cause_mort[],13,FALSE),0)</f>
        <v>1.3350065000000001E-3</v>
      </c>
      <c r="AA96">
        <f>IFERROR(VLOOKUP(all_lmics[[Setting]:[Setting]],all_cause_mort[],14,FALSE),0)</f>
        <v>1.9089210000000001E-3</v>
      </c>
      <c r="AB96">
        <f>IFERROR(VLOOKUP(all_lmics[[Setting]:[Setting]],all_cause_mort[],15,FALSE),0)</f>
        <v>2.9226598E-3</v>
      </c>
      <c r="AC96">
        <f>IFERROR(VLOOKUP(all_lmics[[Setting]:[Setting]],all_cause_mort[],16,FALSE),0)</f>
        <v>4.5565935E-3</v>
      </c>
      <c r="AD96">
        <f>IFERROR(VLOOKUP(all_lmics[[Setting]:[Setting]],all_cause_mort[],17,FALSE),0)</f>
        <v>7.9651510999999998E-3</v>
      </c>
      <c r="AE96">
        <f>IFERROR(VLOOKUP(all_lmics[[Setting]:[Setting]],all_cause_mort[],18,FALSE),0)</f>
        <v>1.4359490000000001E-2</v>
      </c>
      <c r="AF96">
        <f>IFERROR(VLOOKUP(all_lmics[[Setting]:[Setting]],all_cause_mort[],19,FALSE),0)</f>
        <v>2.96108E-2</v>
      </c>
      <c r="AG96">
        <f>IFERROR(VLOOKUP(all_lmics[[Setting]:[Setting]],all_cause_mort[],20,FALSE),0)</f>
        <v>5.2781624999999999E-2</v>
      </c>
      <c r="AH96">
        <f>IFERROR(VLOOKUP(all_lmics[[Setting]:[Setting]],all_cause_mort[],21,FALSE),0)</f>
        <v>0.11870912</v>
      </c>
      <c r="AI96">
        <f>IFERROR(VLOOKUP(all_lmics[[Setting]:[Setting]],all_cause_mort[],22,FALSE),0)</f>
        <v>0.22448203</v>
      </c>
      <c r="AJ96">
        <f>IFERROR(VLOOKUP(all_lmics[[Setting]:[Setting]],all_cause_mort[],23,FALSE),0)</f>
        <v>0.37776873</v>
      </c>
      <c r="AK96">
        <f>IFERROR(VLOOKUP(all_lmics[[Setting]:[Setting]],all_cause_mort[],24,FALSE),0)</f>
        <v>0.47924042</v>
      </c>
      <c r="AL96">
        <f>IFERROR(VLOOKUP(all_lmics[[Setting]:[Setting]],all_cause_mort[],25,FALSE),0)</f>
        <v>0.599943941238131</v>
      </c>
      <c r="AM96">
        <f>VLOOKUP(all_lmics[[worldbank_region]:[worldbank_region]],Table13[],2,FALSE)</f>
        <v>57.906657999999993</v>
      </c>
      <c r="AN96">
        <f>VLOOKUP(all_lmics[[worldbank_region]:[worldbank_region]],Table13[],3,FALSE)</f>
        <v>57.906657999999993</v>
      </c>
      <c r="AO96">
        <f>VLOOKUP(all_lmics[[worldbank_region]:[worldbank_region]],Table13[],4,FALSE)</f>
        <v>105.63551799999999</v>
      </c>
      <c r="AP96">
        <f>VLOOKUP(all_lmics[[worldbank_region]:[worldbank_region]],Table13[],5,FALSE)</f>
        <v>105.63551799999999</v>
      </c>
      <c r="AQ96">
        <f>VLOOKUP(all_lmics[[worldbank_region]:[worldbank_region]],Table13[],6,FALSE)</f>
        <v>105.63551799999999</v>
      </c>
      <c r="AR96">
        <f>VLOOKUP(all_lmics[[worldbank_region]:[worldbank_region]],Table14[],2,FALSE)</f>
        <v>1.5037449999999999</v>
      </c>
      <c r="AS96">
        <f>VLOOKUP(all_lmics[[worldbank_region]:[worldbank_region]],Table14[],3,FALSE)</f>
        <v>2.121245</v>
      </c>
      <c r="AT96">
        <f>VLOOKUP(all_lmics[[worldbank_region]:[worldbank_region]],Table14[],4,FALSE)</f>
        <v>1.9832129999999999</v>
      </c>
      <c r="AU96">
        <f>VLOOKUP(all_lmics[[worldbank_region]:[worldbank_region]],Table14[],5,FALSE)</f>
        <v>2.6007129999999998</v>
      </c>
      <c r="AV96">
        <f>VLOOKUP(all_lmics[[worldbank_region]:[worldbank_region]],Table14[],6,FALSE)</f>
        <v>3.1709649999999998</v>
      </c>
      <c r="AW96">
        <f>IFERROR(VLOOKUP(all_lmics[[Setting]:[Setting]],nFacSBA[],4,FALSE),0)</f>
        <v>0</v>
      </c>
      <c r="AX96">
        <f>VLOOKUP(all_lmics[[worldbank_region]:[worldbank_region]],hbe[],2)</f>
        <v>0.3</v>
      </c>
      <c r="AY96">
        <f>VLOOKUP(all_lmics[[worldbank_region]:[worldbank_region]],hbe[],5)</f>
        <v>0.875</v>
      </c>
      <c r="AZ96">
        <f>VLOOKUP(all_lmics[[worldbank_region]:[worldbank_region]],hbe[],8)</f>
        <v>0.15</v>
      </c>
    </row>
    <row r="97" spans="1:52" x14ac:dyDescent="0.35">
      <c r="A97" s="8" t="s">
        <v>159</v>
      </c>
      <c r="B97" s="10" t="s">
        <v>6</v>
      </c>
      <c r="C97" s="45" t="s">
        <v>5</v>
      </c>
      <c r="D97" s="11" t="s">
        <v>7</v>
      </c>
      <c r="E97">
        <f>VLOOKUP(all_lmics[[Setting]:[Setting]],populations[],9,FALSE)</f>
        <v>197015955</v>
      </c>
      <c r="F97">
        <f>VLOOKUP(all_lmics[[Setting]:[Setting]],birthrate[],3,FALSE)</f>
        <v>2.8233000000000001E-2</v>
      </c>
      <c r="G97">
        <f>all_lmics[[#This Row],[2017_population]]*all_lmics[[#This Row],[2016_birthrate]]</f>
        <v>5562351.4575150004</v>
      </c>
      <c r="H97">
        <f>VLOOKUP(all_lmics[[Setting]:[Setting]],birthdose[],4,FALSE)</f>
        <v>0</v>
      </c>
      <c r="I97">
        <f>VLOOKUP(all_lmics[[Setting]:[Setting]],fullvax[],4,FALSE)</f>
        <v>0.75</v>
      </c>
      <c r="J97">
        <f>IFERROR(VLOOKUP(all_lmics[[Setting]:[Setting]],prev[],3,FALSE),0)</f>
        <v>2.1000000000000001E-2</v>
      </c>
      <c r="K97">
        <f>IFERROR(VLOOKUP(all_lmics[[Setting]:[Setting]],prev[],4,FALSE),0)</f>
        <v>0.02</v>
      </c>
      <c r="L97">
        <f>IFERROR(VLOOKUP(all_lmics[[Setting]:[Setting]],prev[],5,FALSE),0)</f>
        <v>3.3000000000000002E-2</v>
      </c>
      <c r="M97">
        <f>IFERROR(VLOOKUP(all_lmics[[Setting]:[Setting]],prev[],7,FALSE),0)</f>
        <v>6.1224489795918373E-3</v>
      </c>
      <c r="N97">
        <f>IFERROR(VLOOKUP(all_lmics[[Setting]:[Setting]],prev[],6,FALSE),0)</f>
        <v>197015955</v>
      </c>
      <c r="O97">
        <f>IFERROR(VLOOKUP(all_lmics[[Setting]:[Setting]],SBA[],4,FALSE),0)</f>
        <v>0.55000000000000004</v>
      </c>
      <c r="P97">
        <f>IFERROR(VLOOKUP(all_lmics[[Setting]:[Setting]], facility[], 3,FALSE),0)</f>
        <v>0.48200000000000004</v>
      </c>
      <c r="Q97">
        <f>IFERROR(VLOOKUP(all_lmics[[Setting]:[Setting]],all_cause_mort[],4,FALSE),0)</f>
        <v>6.4391113E-2</v>
      </c>
      <c r="R97">
        <f>IFERROR(VLOOKUP(all_lmics[[Setting]:[Setting]],all_cause_mort[],5,FALSE),0)</f>
        <v>3.6466287000000001E-3</v>
      </c>
      <c r="S97">
        <f>IFERROR(VLOOKUP(all_lmics[[Setting]:[Setting]],all_cause_mort[],6,FALSE),0)</f>
        <v>1.0647982999999999E-3</v>
      </c>
      <c r="T97">
        <f>IFERROR(VLOOKUP(all_lmics[[Setting]:[Setting]],all_cause_mort[],7,FALSE),0)</f>
        <v>6.8539918999999995E-4</v>
      </c>
      <c r="U97">
        <f>IFERROR(VLOOKUP(all_lmics[[Setting]:[Setting]],all_cause_mort[],8,FALSE),0)</f>
        <v>9.0329755000000003E-4</v>
      </c>
      <c r="V97">
        <f>IFERROR(VLOOKUP(all_lmics[[Setting]:[Setting]],all_cause_mort[],9,FALSE),0)</f>
        <v>1.2112449999999999E-3</v>
      </c>
      <c r="W97">
        <f>IFERROR(VLOOKUP(all_lmics[[Setting]:[Setting]],all_cause_mort[],10,FALSE),0)</f>
        <v>1.3521341999999999E-3</v>
      </c>
      <c r="X97">
        <f>IFERROR(VLOOKUP(all_lmics[[Setting]:[Setting]],all_cause_mort[],11,FALSE),0)</f>
        <v>1.7005716000000001E-3</v>
      </c>
      <c r="Y97">
        <f>IFERROR(VLOOKUP(all_lmics[[Setting]:[Setting]],all_cause_mort[],12,FALSE),0)</f>
        <v>2.2712367000000001E-3</v>
      </c>
      <c r="Z97">
        <f>IFERROR(VLOOKUP(all_lmics[[Setting]:[Setting]],all_cause_mort[],13,FALSE),0)</f>
        <v>3.2081938000000001E-3</v>
      </c>
      <c r="AA97">
        <f>IFERROR(VLOOKUP(all_lmics[[Setting]:[Setting]],all_cause_mort[],14,FALSE),0)</f>
        <v>4.7470332000000004E-3</v>
      </c>
      <c r="AB97">
        <f>IFERROR(VLOOKUP(all_lmics[[Setting]:[Setting]],all_cause_mort[],15,FALSE),0)</f>
        <v>7.2764717000000003E-3</v>
      </c>
      <c r="AC97">
        <f>IFERROR(VLOOKUP(all_lmics[[Setting]:[Setting]],all_cause_mort[],16,FALSE),0)</f>
        <v>1.1376625E-2</v>
      </c>
      <c r="AD97">
        <f>IFERROR(VLOOKUP(all_lmics[[Setting]:[Setting]],all_cause_mort[],17,FALSE),0)</f>
        <v>1.8509729999999999E-2</v>
      </c>
      <c r="AE97">
        <f>IFERROR(VLOOKUP(all_lmics[[Setting]:[Setting]],all_cause_mort[],18,FALSE),0)</f>
        <v>2.9574797999999999E-2</v>
      </c>
      <c r="AF97">
        <f>IFERROR(VLOOKUP(all_lmics[[Setting]:[Setting]],all_cause_mort[],19,FALSE),0)</f>
        <v>4.6921771000000001E-2</v>
      </c>
      <c r="AG97">
        <f>IFERROR(VLOOKUP(all_lmics[[Setting]:[Setting]],all_cause_mort[],20,FALSE),0)</f>
        <v>7.5738558999999997E-2</v>
      </c>
      <c r="AH97">
        <f>IFERROR(VLOOKUP(all_lmics[[Setting]:[Setting]],all_cause_mort[],21,FALSE),0)</f>
        <v>0.12436061</v>
      </c>
      <c r="AI97">
        <f>IFERROR(VLOOKUP(all_lmics[[Setting]:[Setting]],all_cause_mort[],22,FALSE),0)</f>
        <v>0.20651971999999999</v>
      </c>
      <c r="AJ97">
        <f>IFERROR(VLOOKUP(all_lmics[[Setting]:[Setting]],all_cause_mort[],23,FALSE),0)</f>
        <v>0.32143327999999999</v>
      </c>
      <c r="AK97">
        <f>IFERROR(VLOOKUP(all_lmics[[Setting]:[Setting]],all_cause_mort[],24,FALSE),0)</f>
        <v>0.45851394000000001</v>
      </c>
      <c r="AL97">
        <f>IFERROR(VLOOKUP(all_lmics[[Setting]:[Setting]],all_cause_mort[],25,FALSE),0)</f>
        <v>0.55588596799842305</v>
      </c>
      <c r="AM97">
        <f>VLOOKUP(all_lmics[[worldbank_region]:[worldbank_region]],Table13[],2,FALSE)</f>
        <v>57.906657999999993</v>
      </c>
      <c r="AN97">
        <f>VLOOKUP(all_lmics[[worldbank_region]:[worldbank_region]],Table13[],3,FALSE)</f>
        <v>57.906657999999993</v>
      </c>
      <c r="AO97">
        <f>VLOOKUP(all_lmics[[worldbank_region]:[worldbank_region]],Table13[],4,FALSE)</f>
        <v>105.63551799999999</v>
      </c>
      <c r="AP97">
        <f>VLOOKUP(all_lmics[[worldbank_region]:[worldbank_region]],Table13[],5,FALSE)</f>
        <v>105.63551799999999</v>
      </c>
      <c r="AQ97">
        <f>VLOOKUP(all_lmics[[worldbank_region]:[worldbank_region]],Table13[],6,FALSE)</f>
        <v>105.63551799999999</v>
      </c>
      <c r="AR97">
        <f>VLOOKUP(all_lmics[[worldbank_region]:[worldbank_region]],Table14[],2,FALSE)</f>
        <v>1.5037449999999999</v>
      </c>
      <c r="AS97">
        <f>VLOOKUP(all_lmics[[worldbank_region]:[worldbank_region]],Table14[],3,FALSE)</f>
        <v>2.121245</v>
      </c>
      <c r="AT97">
        <f>VLOOKUP(all_lmics[[worldbank_region]:[worldbank_region]],Table14[],4,FALSE)</f>
        <v>1.9832129999999999</v>
      </c>
      <c r="AU97">
        <f>VLOOKUP(all_lmics[[worldbank_region]:[worldbank_region]],Table14[],5,FALSE)</f>
        <v>2.6007129999999998</v>
      </c>
      <c r="AV97">
        <f>VLOOKUP(all_lmics[[worldbank_region]:[worldbank_region]],Table14[],6,FALSE)</f>
        <v>3.1709649999999998</v>
      </c>
      <c r="AW97">
        <f>IFERROR(VLOOKUP(all_lmics[[Setting]:[Setting]],nFacSBA[],4,FALSE),0)</f>
        <v>8.7208560523676398E-2</v>
      </c>
      <c r="AX97">
        <f>VLOOKUP(all_lmics[[worldbank_region]:[worldbank_region]],hbe[],2)</f>
        <v>0.3</v>
      </c>
      <c r="AY97">
        <f>VLOOKUP(all_lmics[[worldbank_region]:[worldbank_region]],hbe[],5)</f>
        <v>0.875</v>
      </c>
      <c r="AZ97">
        <f>VLOOKUP(all_lmics[[worldbank_region]:[worldbank_region]],hbe[],8)</f>
        <v>0.15</v>
      </c>
    </row>
    <row r="98" spans="1:52" x14ac:dyDescent="0.35">
      <c r="A98" s="8" t="s">
        <v>189</v>
      </c>
      <c r="B98" s="10" t="s">
        <v>6</v>
      </c>
      <c r="C98" s="45" t="s">
        <v>5</v>
      </c>
      <c r="D98" s="11" t="s">
        <v>7</v>
      </c>
      <c r="E98">
        <f>VLOOKUP(all_lmics[[Setting]:[Setting]],populations[],9,FALSE)</f>
        <v>14742523</v>
      </c>
      <c r="F98">
        <f>VLOOKUP(all_lmics[[Setting]:[Setting]],birthrate[],3,FALSE)</f>
        <v>4.3362000000000005E-2</v>
      </c>
      <c r="G98">
        <f>all_lmics[[#This Row],[2017_population]]*all_lmics[[#This Row],[2016_birthrate]]</f>
        <v>639265.28232600004</v>
      </c>
      <c r="H98">
        <f>VLOOKUP(all_lmics[[Setting]:[Setting]],birthdose[],4,FALSE)</f>
        <v>0</v>
      </c>
      <c r="I98">
        <f>VLOOKUP(all_lmics[[Setting]:[Setting]],fullvax[],4,FALSE)</f>
        <v>0.42</v>
      </c>
      <c r="J98">
        <f>IFERROR(VLOOKUP(all_lmics[[Setting]:[Setting]],prev[],3,FALSE),0)</f>
        <v>0.1477</v>
      </c>
      <c r="K98">
        <f>IFERROR(VLOOKUP(all_lmics[[Setting]:[Setting]],prev[],4,FALSE),0)</f>
        <v>0.13769999999999999</v>
      </c>
      <c r="L98">
        <f>IFERROR(VLOOKUP(all_lmics[[Setting]:[Setting]],prev[],5,FALSE),0)</f>
        <v>0.15840000000000001</v>
      </c>
      <c r="M98">
        <f>IFERROR(VLOOKUP(all_lmics[[Setting]:[Setting]],prev[],7,FALSE),0)</f>
        <v>5.459183673469396E-3</v>
      </c>
      <c r="N98">
        <f>IFERROR(VLOOKUP(all_lmics[[Setting]:[Setting]],prev[],6,FALSE),0)</f>
        <v>12053223</v>
      </c>
      <c r="O98">
        <f>IFERROR(VLOOKUP(all_lmics[[Setting]:[Setting]],SBA[],4,FALSE),0)</f>
        <v>9.4E-2</v>
      </c>
      <c r="P98">
        <f>IFERROR(VLOOKUP(all_lmics[[Setting]:[Setting]], facility[], 3,FALSE),0)</f>
        <v>9.4E-2</v>
      </c>
      <c r="Q98">
        <f>IFERROR(VLOOKUP(all_lmics[[Setting]:[Setting]],all_cause_mort[],4,FALSE),0)</f>
        <v>7.3125238999999995E-2</v>
      </c>
      <c r="R98">
        <f>IFERROR(VLOOKUP(all_lmics[[Setting]:[Setting]],all_cause_mort[],5,FALSE),0)</f>
        <v>1.2694178E-2</v>
      </c>
      <c r="S98">
        <f>IFERROR(VLOOKUP(all_lmics[[Setting]:[Setting]],all_cause_mort[],6,FALSE),0)</f>
        <v>4.0955938999999997E-3</v>
      </c>
      <c r="T98">
        <f>IFERROR(VLOOKUP(all_lmics[[Setting]:[Setting]],all_cause_mort[],7,FALSE),0)</f>
        <v>2.9352803999999999E-3</v>
      </c>
      <c r="U98">
        <f>IFERROR(VLOOKUP(all_lmics[[Setting]:[Setting]],all_cause_mort[],8,FALSE),0)</f>
        <v>3.1212481000000001E-3</v>
      </c>
      <c r="V98">
        <f>IFERROR(VLOOKUP(all_lmics[[Setting]:[Setting]],all_cause_mort[],9,FALSE),0)</f>
        <v>4.1151557000000004E-3</v>
      </c>
      <c r="W98">
        <f>IFERROR(VLOOKUP(all_lmics[[Setting]:[Setting]],all_cause_mort[],10,FALSE),0)</f>
        <v>4.9872513000000004E-3</v>
      </c>
      <c r="X98">
        <f>IFERROR(VLOOKUP(all_lmics[[Setting]:[Setting]],all_cause_mort[],11,FALSE),0)</f>
        <v>5.8857952999999998E-3</v>
      </c>
      <c r="Y98">
        <f>IFERROR(VLOOKUP(all_lmics[[Setting]:[Setting]],all_cause_mort[],12,FALSE),0)</f>
        <v>7.2656203999999997E-3</v>
      </c>
      <c r="Z98">
        <f>IFERROR(VLOOKUP(all_lmics[[Setting]:[Setting]],all_cause_mort[],13,FALSE),0)</f>
        <v>8.2658595000000001E-3</v>
      </c>
      <c r="AA98">
        <f>IFERROR(VLOOKUP(all_lmics[[Setting]:[Setting]],all_cause_mort[],14,FALSE),0)</f>
        <v>9.5494933999999993E-3</v>
      </c>
      <c r="AB98">
        <f>IFERROR(VLOOKUP(all_lmics[[Setting]:[Setting]],all_cause_mort[],15,FALSE),0)</f>
        <v>1.1925677000000001E-2</v>
      </c>
      <c r="AC98">
        <f>IFERROR(VLOOKUP(all_lmics[[Setting]:[Setting]],all_cause_mort[],16,FALSE),0)</f>
        <v>1.6128118E-2</v>
      </c>
      <c r="AD98">
        <f>IFERROR(VLOOKUP(all_lmics[[Setting]:[Setting]],all_cause_mort[],17,FALSE),0)</f>
        <v>2.3677421000000001E-2</v>
      </c>
      <c r="AE98">
        <f>IFERROR(VLOOKUP(all_lmics[[Setting]:[Setting]],all_cause_mort[],18,FALSE),0)</f>
        <v>3.6483201999999999E-2</v>
      </c>
      <c r="AF98">
        <f>IFERROR(VLOOKUP(all_lmics[[Setting]:[Setting]],all_cause_mort[],19,FALSE),0)</f>
        <v>5.7470052000000001E-2</v>
      </c>
      <c r="AG98">
        <f>IFERROR(VLOOKUP(all_lmics[[Setting]:[Setting]],all_cause_mort[],20,FALSE),0)</f>
        <v>9.0395739000000003E-2</v>
      </c>
      <c r="AH98">
        <f>IFERROR(VLOOKUP(all_lmics[[Setting]:[Setting]],all_cause_mort[],21,FALSE),0)</f>
        <v>0.13973501999999999</v>
      </c>
      <c r="AI98">
        <f>IFERROR(VLOOKUP(all_lmics[[Setting]:[Setting]],all_cause_mort[],22,FALSE),0)</f>
        <v>0.20860641999999999</v>
      </c>
      <c r="AJ98">
        <f>IFERROR(VLOOKUP(all_lmics[[Setting]:[Setting]],all_cause_mort[],23,FALSE),0)</f>
        <v>0.29863645999999999</v>
      </c>
      <c r="AK98">
        <f>IFERROR(VLOOKUP(all_lmics[[Setting]:[Setting]],all_cause_mort[],24,FALSE),0)</f>
        <v>0.40705142999999999</v>
      </c>
      <c r="AL98">
        <f>IFERROR(VLOOKUP(all_lmics[[Setting]:[Setting]],all_cause_mort[],25,FALSE),0)</f>
        <v>0.51264781623052202</v>
      </c>
      <c r="AM98">
        <f>VLOOKUP(all_lmics[[worldbank_region]:[worldbank_region]],Table13[],2,FALSE)</f>
        <v>57.906657999999993</v>
      </c>
      <c r="AN98">
        <f>VLOOKUP(all_lmics[[worldbank_region]:[worldbank_region]],Table13[],3,FALSE)</f>
        <v>57.906657999999993</v>
      </c>
      <c r="AO98">
        <f>VLOOKUP(all_lmics[[worldbank_region]:[worldbank_region]],Table13[],4,FALSE)</f>
        <v>105.63551799999999</v>
      </c>
      <c r="AP98">
        <f>VLOOKUP(all_lmics[[worldbank_region]:[worldbank_region]],Table13[],5,FALSE)</f>
        <v>105.63551799999999</v>
      </c>
      <c r="AQ98">
        <f>VLOOKUP(all_lmics[[worldbank_region]:[worldbank_region]],Table13[],6,FALSE)</f>
        <v>105.63551799999999</v>
      </c>
      <c r="AR98">
        <f>VLOOKUP(all_lmics[[worldbank_region]:[worldbank_region]],Table14[],2,FALSE)</f>
        <v>1.5037449999999999</v>
      </c>
      <c r="AS98">
        <f>VLOOKUP(all_lmics[[worldbank_region]:[worldbank_region]],Table14[],3,FALSE)</f>
        <v>2.121245</v>
      </c>
      <c r="AT98">
        <f>VLOOKUP(all_lmics[[worldbank_region]:[worldbank_region]],Table14[],4,FALSE)</f>
        <v>1.9832129999999999</v>
      </c>
      <c r="AU98">
        <f>VLOOKUP(all_lmics[[worldbank_region]:[worldbank_region]],Table14[],5,FALSE)</f>
        <v>2.6007129999999998</v>
      </c>
      <c r="AV98">
        <f>VLOOKUP(all_lmics[[worldbank_region]:[worldbank_region]],Table14[],6,FALSE)</f>
        <v>3.1709649999999998</v>
      </c>
      <c r="AW98">
        <f>IFERROR(VLOOKUP(all_lmics[[Setting]:[Setting]],nFacSBA[],4,FALSE),0)</f>
        <v>0</v>
      </c>
      <c r="AX98">
        <f>VLOOKUP(all_lmics[[worldbank_region]:[worldbank_region]],hbe[],2)</f>
        <v>0.3</v>
      </c>
      <c r="AY98">
        <f>VLOOKUP(all_lmics[[worldbank_region]:[worldbank_region]],hbe[],5)</f>
        <v>0.875</v>
      </c>
      <c r="AZ98">
        <f>VLOOKUP(all_lmics[[worldbank_region]:[worldbank_region]],hbe[],8)</f>
        <v>0.15</v>
      </c>
    </row>
    <row r="99" spans="1:52" x14ac:dyDescent="0.35">
      <c r="A99" s="12" t="s">
        <v>194</v>
      </c>
      <c r="B99" s="13" t="s">
        <v>6</v>
      </c>
      <c r="C99" s="46" t="s">
        <v>5</v>
      </c>
      <c r="D99" s="14" t="s">
        <v>7</v>
      </c>
      <c r="E99">
        <f>VLOOKUP(all_lmics[[Setting]:[Setting]],populations[],9,FALSE)</f>
        <v>40533330</v>
      </c>
      <c r="F99">
        <f>VLOOKUP(all_lmics[[Setting]:[Setting]],birthrate[],3,FALSE)</f>
        <v>3.2926000000000004E-2</v>
      </c>
      <c r="G99">
        <f>all_lmics[[#This Row],[2017_population]]*all_lmics[[#This Row],[2016_birthrate]]</f>
        <v>1334600.4235800002</v>
      </c>
      <c r="H99">
        <f>VLOOKUP(all_lmics[[Setting]:[Setting]],birthdose[],4,FALSE)</f>
        <v>0</v>
      </c>
      <c r="I99">
        <f>VLOOKUP(all_lmics[[Setting]:[Setting]],fullvax[],4,FALSE)</f>
        <v>0.95</v>
      </c>
      <c r="J99">
        <f>IFERROR(VLOOKUP(all_lmics[[Setting]:[Setting]],prev[],3,FALSE),0)</f>
        <v>5.2999999999999999E-2</v>
      </c>
      <c r="K99">
        <f>IFERROR(VLOOKUP(all_lmics[[Setting]:[Setting]],prev[],4,FALSE),0)</f>
        <v>4.2000000000000003E-2</v>
      </c>
      <c r="L99">
        <f>IFERROR(VLOOKUP(all_lmics[[Setting]:[Setting]],prev[],5,FALSE),0)</f>
        <v>6.2E-2</v>
      </c>
      <c r="M99">
        <f>IFERROR(VLOOKUP(all_lmics[[Setting]:[Setting]],prev[],7,FALSE),0)</f>
        <v>4.591836734693878E-3</v>
      </c>
      <c r="N99">
        <f>IFERROR(VLOOKUP(all_lmics[[Setting]:[Setting]],prev[],6,FALSE),0)</f>
        <v>40533330</v>
      </c>
      <c r="O99">
        <f>IFERROR(VLOOKUP(all_lmics[[Setting]:[Setting]],SBA[],4,FALSE),0)</f>
        <v>0.77700000000000002</v>
      </c>
      <c r="P99">
        <f>IFERROR(VLOOKUP(all_lmics[[Setting]:[Setting]], facility[], 3,FALSE),0)</f>
        <v>0.27699999999999997</v>
      </c>
      <c r="Q99">
        <f>IFERROR(VLOOKUP(all_lmics[[Setting]:[Setting]],all_cause_mort[],4,FALSE),0)</f>
        <v>4.4451098000000001E-2</v>
      </c>
      <c r="R99">
        <f>IFERROR(VLOOKUP(all_lmics[[Setting]:[Setting]],all_cause_mort[],5,FALSE),0)</f>
        <v>5.5883655999999999E-3</v>
      </c>
      <c r="S99">
        <f>IFERROR(VLOOKUP(all_lmics[[Setting]:[Setting]],all_cause_mort[],6,FALSE),0)</f>
        <v>2.1784857999999998E-3</v>
      </c>
      <c r="T99">
        <f>IFERROR(VLOOKUP(all_lmics[[Setting]:[Setting]],all_cause_mort[],7,FALSE),0)</f>
        <v>1.6332594999999999E-3</v>
      </c>
      <c r="U99">
        <f>IFERROR(VLOOKUP(all_lmics[[Setting]:[Setting]],all_cause_mort[],8,FALSE),0)</f>
        <v>1.9276326999999999E-3</v>
      </c>
      <c r="V99">
        <f>IFERROR(VLOOKUP(all_lmics[[Setting]:[Setting]],all_cause_mort[],9,FALSE),0)</f>
        <v>2.5882509000000001E-3</v>
      </c>
      <c r="W99">
        <f>IFERROR(VLOOKUP(all_lmics[[Setting]:[Setting]],all_cause_mort[],10,FALSE),0)</f>
        <v>3.0767762999999999E-3</v>
      </c>
      <c r="X99">
        <f>IFERROR(VLOOKUP(all_lmics[[Setting]:[Setting]],all_cause_mort[],11,FALSE),0)</f>
        <v>3.5773043E-3</v>
      </c>
      <c r="Y99">
        <f>IFERROR(VLOOKUP(all_lmics[[Setting]:[Setting]],all_cause_mort[],12,FALSE),0)</f>
        <v>4.5163316000000004E-3</v>
      </c>
      <c r="Z99">
        <f>IFERROR(VLOOKUP(all_lmics[[Setting]:[Setting]],all_cause_mort[],13,FALSE),0)</f>
        <v>5.4830182999999998E-3</v>
      </c>
      <c r="AA99">
        <f>IFERROR(VLOOKUP(all_lmics[[Setting]:[Setting]],all_cause_mort[],14,FALSE),0)</f>
        <v>6.7309789000000002E-3</v>
      </c>
      <c r="AB99">
        <f>IFERROR(VLOOKUP(all_lmics[[Setting]:[Setting]],all_cause_mort[],15,FALSE),0)</f>
        <v>9.0234352000000007E-3</v>
      </c>
      <c r="AC99">
        <f>IFERROR(VLOOKUP(all_lmics[[Setting]:[Setting]],all_cause_mort[],16,FALSE),0)</f>
        <v>1.227107E-2</v>
      </c>
      <c r="AD99">
        <f>IFERROR(VLOOKUP(all_lmics[[Setting]:[Setting]],all_cause_mort[],17,FALSE),0)</f>
        <v>1.8292995999999999E-2</v>
      </c>
      <c r="AE99">
        <f>IFERROR(VLOOKUP(all_lmics[[Setting]:[Setting]],all_cause_mort[],18,FALSE),0)</f>
        <v>2.9307429999999999E-2</v>
      </c>
      <c r="AF99">
        <f>IFERROR(VLOOKUP(all_lmics[[Setting]:[Setting]],all_cause_mort[],19,FALSE),0)</f>
        <v>4.7429720000000002E-2</v>
      </c>
      <c r="AG99">
        <f>IFERROR(VLOOKUP(all_lmics[[Setting]:[Setting]],all_cause_mort[],20,FALSE),0)</f>
        <v>7.5738363000000003E-2</v>
      </c>
      <c r="AH99">
        <f>IFERROR(VLOOKUP(all_lmics[[Setting]:[Setting]],all_cause_mort[],21,FALSE),0)</f>
        <v>0.12056936</v>
      </c>
      <c r="AI99">
        <f>IFERROR(VLOOKUP(all_lmics[[Setting]:[Setting]],all_cause_mort[],22,FALSE),0)</f>
        <v>0.18189026</v>
      </c>
      <c r="AJ99">
        <f>IFERROR(VLOOKUP(all_lmics[[Setting]:[Setting]],all_cause_mort[],23,FALSE),0)</f>
        <v>0.26016973999999998</v>
      </c>
      <c r="AK99">
        <f>IFERROR(VLOOKUP(all_lmics[[Setting]:[Setting]],all_cause_mort[],24,FALSE),0)</f>
        <v>0.34929746</v>
      </c>
      <c r="AL99">
        <f>IFERROR(VLOOKUP(all_lmics[[Setting]:[Setting]],all_cause_mort[],25,FALSE),0)</f>
        <v>0.47029742549783299</v>
      </c>
      <c r="AM99">
        <f>VLOOKUP(all_lmics[[worldbank_region]:[worldbank_region]],Table13[],2,FALSE)</f>
        <v>57.906657999999993</v>
      </c>
      <c r="AN99">
        <f>VLOOKUP(all_lmics[[worldbank_region]:[worldbank_region]],Table13[],3,FALSE)</f>
        <v>57.906657999999993</v>
      </c>
      <c r="AO99">
        <f>VLOOKUP(all_lmics[[worldbank_region]:[worldbank_region]],Table13[],4,FALSE)</f>
        <v>105.63551799999999</v>
      </c>
      <c r="AP99">
        <f>VLOOKUP(all_lmics[[worldbank_region]:[worldbank_region]],Table13[],5,FALSE)</f>
        <v>105.63551799999999</v>
      </c>
      <c r="AQ99">
        <f>VLOOKUP(all_lmics[[worldbank_region]:[worldbank_region]],Table13[],6,FALSE)</f>
        <v>105.63551799999999</v>
      </c>
      <c r="AR99">
        <f>VLOOKUP(all_lmics[[worldbank_region]:[worldbank_region]],Table14[],2,FALSE)</f>
        <v>1.5037449999999999</v>
      </c>
      <c r="AS99">
        <f>VLOOKUP(all_lmics[[worldbank_region]:[worldbank_region]],Table14[],3,FALSE)</f>
        <v>2.121245</v>
      </c>
      <c r="AT99">
        <f>VLOOKUP(all_lmics[[worldbank_region]:[worldbank_region]],Table14[],4,FALSE)</f>
        <v>1.9832129999999999</v>
      </c>
      <c r="AU99">
        <f>VLOOKUP(all_lmics[[worldbank_region]:[worldbank_region]],Table14[],5,FALSE)</f>
        <v>2.6007129999999998</v>
      </c>
      <c r="AV99">
        <f>VLOOKUP(all_lmics[[worldbank_region]:[worldbank_region]],Table14[],6,FALSE)</f>
        <v>3.1709649999999998</v>
      </c>
      <c r="AW99">
        <f>IFERROR(VLOOKUP(all_lmics[[Setting]:[Setting]],nFacSBA[],4,FALSE),0)</f>
        <v>0</v>
      </c>
      <c r="AX99">
        <f>VLOOKUP(all_lmics[[worldbank_region]:[worldbank_region]],hbe[],2)</f>
        <v>0.3</v>
      </c>
      <c r="AY99">
        <f>VLOOKUP(all_lmics[[worldbank_region]:[worldbank_region]],hbe[],5)</f>
        <v>0.875</v>
      </c>
      <c r="AZ99">
        <f>VLOOKUP(all_lmics[[worldbank_region]:[worldbank_region]],hbe[],8)</f>
        <v>0.15</v>
      </c>
    </row>
    <row r="100" spans="1:52" x14ac:dyDescent="0.35">
      <c r="A100" s="12" t="s">
        <v>222</v>
      </c>
      <c r="B100" s="13" t="s">
        <v>6</v>
      </c>
      <c r="C100" s="46" t="s">
        <v>5</v>
      </c>
      <c r="D100" s="14" t="s">
        <v>7</v>
      </c>
      <c r="E100">
        <f>VLOOKUP(all_lmics[[Setting]:[Setting]],populations[],9,FALSE)</f>
        <v>28250420</v>
      </c>
      <c r="F100">
        <f>VLOOKUP(all_lmics[[Setting]:[Setting]],birthrate[],3,FALSE)</f>
        <v>3.1635999999999997E-2</v>
      </c>
      <c r="G100">
        <f>all_lmics[[#This Row],[2017_population]]*all_lmics[[#This Row],[2016_birthrate]]</f>
        <v>893730.28711999988</v>
      </c>
      <c r="H100">
        <f>VLOOKUP(all_lmics[[Setting]:[Setting]],birthdose[],4,FALSE)</f>
        <v>0</v>
      </c>
      <c r="I100">
        <f>VLOOKUP(all_lmics[[Setting]:[Setting]],fullvax[],4,FALSE)</f>
        <v>0.68</v>
      </c>
      <c r="J100">
        <f>IFERROR(VLOOKUP(all_lmics[[Setting]:[Setting]],prev[],3,FALSE),0)</f>
        <v>3.2000000000000001E-2</v>
      </c>
      <c r="K100">
        <f>IFERROR(VLOOKUP(all_lmics[[Setting]:[Setting]],prev[],4,FALSE),0)</f>
        <v>1.4999999999999999E-2</v>
      </c>
      <c r="L100">
        <f>IFERROR(VLOOKUP(all_lmics[[Setting]:[Setting]],prev[],5,FALSE),0)</f>
        <v>6.7000000000000004E-2</v>
      </c>
      <c r="M100">
        <f>IFERROR(VLOOKUP(all_lmics[[Setting]:[Setting]],prev[],7,FALSE),0)</f>
        <v>1.785714285714286E-2</v>
      </c>
      <c r="N100">
        <f>IFERROR(VLOOKUP(all_lmics[[Setting]:[Setting]],prev[],6,FALSE),0)</f>
        <v>28250420</v>
      </c>
      <c r="O100">
        <f>IFERROR(VLOOKUP(all_lmics[[Setting]:[Setting]],SBA[],4,FALSE),0)</f>
        <v>0.44700000000000001</v>
      </c>
      <c r="P100">
        <f>IFERROR(VLOOKUP(all_lmics[[Setting]:[Setting]], facility[], 3,FALSE),0)</f>
        <v>0.27300000000000002</v>
      </c>
      <c r="Q100">
        <f>IFERROR(VLOOKUP(all_lmics[[Setting]:[Setting]],all_cause_mort[],4,FALSE),0)</f>
        <v>4.4847791999999997E-2</v>
      </c>
      <c r="R100">
        <f>IFERROR(VLOOKUP(all_lmics[[Setting]:[Setting]],all_cause_mort[],5,FALSE),0)</f>
        <v>3.2136139E-3</v>
      </c>
      <c r="S100">
        <f>IFERROR(VLOOKUP(all_lmics[[Setting]:[Setting]],all_cause_mort[],6,FALSE),0)</f>
        <v>1.0784131000000001E-3</v>
      </c>
      <c r="T100">
        <f>IFERROR(VLOOKUP(all_lmics[[Setting]:[Setting]],all_cause_mort[],7,FALSE),0)</f>
        <v>8.3150474999999998E-4</v>
      </c>
      <c r="U100">
        <f>IFERROR(VLOOKUP(all_lmics[[Setting]:[Setting]],all_cause_mort[],8,FALSE),0)</f>
        <v>1.4512920999999999E-3</v>
      </c>
      <c r="V100">
        <f>IFERROR(VLOOKUP(all_lmics[[Setting]:[Setting]],all_cause_mort[],9,FALSE),0)</f>
        <v>1.8954835000000001E-3</v>
      </c>
      <c r="W100">
        <f>IFERROR(VLOOKUP(all_lmics[[Setting]:[Setting]],all_cause_mort[],10,FALSE),0)</f>
        <v>2.0289809E-3</v>
      </c>
      <c r="X100">
        <f>IFERROR(VLOOKUP(all_lmics[[Setting]:[Setting]],all_cause_mort[],11,FALSE),0)</f>
        <v>2.3721890999999998E-3</v>
      </c>
      <c r="Y100">
        <f>IFERROR(VLOOKUP(all_lmics[[Setting]:[Setting]],all_cause_mort[],12,FALSE),0)</f>
        <v>3.0765469999999998E-3</v>
      </c>
      <c r="Z100">
        <f>IFERROR(VLOOKUP(all_lmics[[Setting]:[Setting]],all_cause_mort[],13,FALSE),0)</f>
        <v>4.1973402E-3</v>
      </c>
      <c r="AA100">
        <f>IFERROR(VLOOKUP(all_lmics[[Setting]:[Setting]],all_cause_mort[],14,FALSE),0)</f>
        <v>6.0780935999999999E-3</v>
      </c>
      <c r="AB100">
        <f>IFERROR(VLOOKUP(all_lmics[[Setting]:[Setting]],all_cause_mort[],15,FALSE),0)</f>
        <v>9.0548625000000001E-3</v>
      </c>
      <c r="AC100">
        <f>IFERROR(VLOOKUP(all_lmics[[Setting]:[Setting]],all_cause_mort[],16,FALSE),0)</f>
        <v>1.3781705999999999E-2</v>
      </c>
      <c r="AD100">
        <f>IFERROR(VLOOKUP(all_lmics[[Setting]:[Setting]],all_cause_mort[],17,FALSE),0)</f>
        <v>2.1781543E-2</v>
      </c>
      <c r="AE100">
        <f>IFERROR(VLOOKUP(all_lmics[[Setting]:[Setting]],all_cause_mort[],18,FALSE),0)</f>
        <v>3.4552753999999998E-2</v>
      </c>
      <c r="AF100">
        <f>IFERROR(VLOOKUP(all_lmics[[Setting]:[Setting]],all_cause_mort[],19,FALSE),0)</f>
        <v>5.5939832000000002E-2</v>
      </c>
      <c r="AG100">
        <f>IFERROR(VLOOKUP(all_lmics[[Setting]:[Setting]],all_cause_mort[],20,FALSE),0)</f>
        <v>9.0603984999999998E-2</v>
      </c>
      <c r="AH100">
        <f>IFERROR(VLOOKUP(all_lmics[[Setting]:[Setting]],all_cause_mort[],21,FALSE),0)</f>
        <v>0.14229885</v>
      </c>
      <c r="AI100">
        <f>IFERROR(VLOOKUP(all_lmics[[Setting]:[Setting]],all_cause_mort[],22,FALSE),0)</f>
        <v>0.21806094000000001</v>
      </c>
      <c r="AJ100">
        <f>IFERROR(VLOOKUP(all_lmics[[Setting]:[Setting]],all_cause_mort[],23,FALSE),0)</f>
        <v>0.31373742999999998</v>
      </c>
      <c r="AK100">
        <f>IFERROR(VLOOKUP(all_lmics[[Setting]:[Setting]],all_cause_mort[],24,FALSE),0)</f>
        <v>0.43431003000000001</v>
      </c>
      <c r="AL100">
        <f>IFERROR(VLOOKUP(all_lmics[[Setting]:[Setting]],all_cause_mort[],25,FALSE),0)</f>
        <v>0.566776116802582</v>
      </c>
      <c r="AM100">
        <f>VLOOKUP(all_lmics[[worldbank_region]:[worldbank_region]],Table13[],2,FALSE)</f>
        <v>57.906657999999993</v>
      </c>
      <c r="AN100">
        <f>VLOOKUP(all_lmics[[worldbank_region]:[worldbank_region]],Table13[],3,FALSE)</f>
        <v>57.906657999999993</v>
      </c>
      <c r="AO100">
        <f>VLOOKUP(all_lmics[[worldbank_region]:[worldbank_region]],Table13[],4,FALSE)</f>
        <v>105.63551799999999</v>
      </c>
      <c r="AP100">
        <f>VLOOKUP(all_lmics[[worldbank_region]:[worldbank_region]],Table13[],5,FALSE)</f>
        <v>105.63551799999999</v>
      </c>
      <c r="AQ100">
        <f>VLOOKUP(all_lmics[[worldbank_region]:[worldbank_region]],Table13[],6,FALSE)</f>
        <v>105.63551799999999</v>
      </c>
      <c r="AR100">
        <f>VLOOKUP(all_lmics[[worldbank_region]:[worldbank_region]],Table14[],2,FALSE)</f>
        <v>1.5037449999999999</v>
      </c>
      <c r="AS100">
        <f>VLOOKUP(all_lmics[[worldbank_region]:[worldbank_region]],Table14[],3,FALSE)</f>
        <v>2.121245</v>
      </c>
      <c r="AT100">
        <f>VLOOKUP(all_lmics[[worldbank_region]:[worldbank_region]],Table14[],4,FALSE)</f>
        <v>1.9832129999999999</v>
      </c>
      <c r="AU100">
        <f>VLOOKUP(all_lmics[[worldbank_region]:[worldbank_region]],Table14[],5,FALSE)</f>
        <v>2.6007129999999998</v>
      </c>
      <c r="AV100">
        <f>VLOOKUP(all_lmics[[worldbank_region]:[worldbank_region]],Table14[],6,FALSE)</f>
        <v>3.1709649999999998</v>
      </c>
      <c r="AW100">
        <f>IFERROR(VLOOKUP(all_lmics[[Setting]:[Setting]],nFacSBA[],4,FALSE),0)</f>
        <v>0</v>
      </c>
      <c r="AX100">
        <f>VLOOKUP(all_lmics[[worldbank_region]:[worldbank_region]],hbe[],2)</f>
        <v>0.3</v>
      </c>
      <c r="AY100">
        <f>VLOOKUP(all_lmics[[worldbank_region]:[worldbank_region]],hbe[],5)</f>
        <v>0.875</v>
      </c>
      <c r="AZ100">
        <f>VLOOKUP(all_lmics[[worldbank_region]:[worldbank_region]],hbe[],8)</f>
        <v>0.15</v>
      </c>
    </row>
    <row r="101" spans="1:52" x14ac:dyDescent="0.35">
      <c r="A101" s="12" t="s">
        <v>8</v>
      </c>
      <c r="B101" s="13" t="s">
        <v>10</v>
      </c>
      <c r="C101" s="12" t="s">
        <v>9</v>
      </c>
      <c r="D101" s="14" t="s">
        <v>11</v>
      </c>
      <c r="E101">
        <f>VLOOKUP(all_lmics[[Setting]:[Setting]],populations[],9,FALSE)</f>
        <v>2873457</v>
      </c>
      <c r="F101">
        <f>VLOOKUP(all_lmics[[Setting]:[Setting]],birthrate[],3,FALSE)</f>
        <v>1.1816E-2</v>
      </c>
      <c r="G101">
        <f>all_lmics[[#This Row],[2017_population]]*all_lmics[[#This Row],[2016_birthrate]]</f>
        <v>33952.767912000003</v>
      </c>
      <c r="H101">
        <f>VLOOKUP(all_lmics[[Setting]:[Setting]],birthdose[],4,FALSE)</f>
        <v>0.99</v>
      </c>
      <c r="I101">
        <f>VLOOKUP(all_lmics[[Setting]:[Setting]],fullvax[],4,FALSE)</f>
        <v>0.99</v>
      </c>
      <c r="J101">
        <f>IFERROR(VLOOKUP(all_lmics[[Setting]:[Setting]],prev[],3,FALSE),0)</f>
        <v>6.9000000000000006E-2</v>
      </c>
      <c r="K101">
        <f>IFERROR(VLOOKUP(all_lmics[[Setting]:[Setting]],prev[],4,FALSE),0)</f>
        <v>4.7E-2</v>
      </c>
      <c r="L101">
        <f>IFERROR(VLOOKUP(all_lmics[[Setting]:[Setting]],prev[],5,FALSE),0)</f>
        <v>9.2999999999999999E-2</v>
      </c>
      <c r="M101">
        <f>IFERROR(VLOOKUP(all_lmics[[Setting]:[Setting]],prev[],7,FALSE),0)</f>
        <v>1.2244897959183671E-2</v>
      </c>
      <c r="N101">
        <f>IFERROR(VLOOKUP(all_lmics[[Setting]:[Setting]],prev[],6,FALSE),0)</f>
        <v>2873457</v>
      </c>
      <c r="O101">
        <f>IFERROR(VLOOKUP(all_lmics[[Setting]:[Setting]],SBA[],4,FALSE),0)</f>
        <v>0.99299999999999999</v>
      </c>
      <c r="P101">
        <f>IFERROR(VLOOKUP(all_lmics[[Setting]:[Setting]], facility[], 3,FALSE),0)</f>
        <v>0.96700000000000008</v>
      </c>
      <c r="Q101">
        <f>IFERROR(VLOOKUP(all_lmics[[Setting]:[Setting]],all_cause_mort[],4,FALSE),0)</f>
        <v>8.0922204000000008E-3</v>
      </c>
      <c r="R101">
        <f>IFERROR(VLOOKUP(all_lmics[[Setting]:[Setting]],all_cause_mort[],5,FALSE),0)</f>
        <v>8.4434150000000003E-4</v>
      </c>
      <c r="S101">
        <f>IFERROR(VLOOKUP(all_lmics[[Setting]:[Setting]],all_cause_mort[],6,FALSE),0)</f>
        <v>2.2330367000000001E-4</v>
      </c>
      <c r="T101">
        <f>IFERROR(VLOOKUP(all_lmics[[Setting]:[Setting]],all_cause_mort[],7,FALSE),0)</f>
        <v>2.6816246999999998E-4</v>
      </c>
      <c r="U101">
        <f>IFERROR(VLOOKUP(all_lmics[[Setting]:[Setting]],all_cause_mort[],8,FALSE),0)</f>
        <v>3.7209420000000002E-4</v>
      </c>
      <c r="V101">
        <f>IFERROR(VLOOKUP(all_lmics[[Setting]:[Setting]],all_cause_mort[],9,FALSE),0)</f>
        <v>4.2449776999999998E-4</v>
      </c>
      <c r="W101">
        <f>IFERROR(VLOOKUP(all_lmics[[Setting]:[Setting]],all_cause_mort[],10,FALSE),0)</f>
        <v>4.8967379000000003E-4</v>
      </c>
      <c r="X101">
        <f>IFERROR(VLOOKUP(all_lmics[[Setting]:[Setting]],all_cause_mort[],11,FALSE),0)</f>
        <v>6.3084082999999996E-4</v>
      </c>
      <c r="Y101">
        <f>IFERROR(VLOOKUP(all_lmics[[Setting]:[Setting]],all_cause_mort[],12,FALSE),0)</f>
        <v>1.0338831E-3</v>
      </c>
      <c r="Z101">
        <f>IFERROR(VLOOKUP(all_lmics[[Setting]:[Setting]],all_cause_mort[],13,FALSE),0)</f>
        <v>1.4005652E-3</v>
      </c>
      <c r="AA101">
        <f>IFERROR(VLOOKUP(all_lmics[[Setting]:[Setting]],all_cause_mort[],14,FALSE),0)</f>
        <v>2.1814606999999999E-3</v>
      </c>
      <c r="AB101">
        <f>IFERROR(VLOOKUP(all_lmics[[Setting]:[Setting]],all_cause_mort[],15,FALSE),0)</f>
        <v>3.3276030000000002E-3</v>
      </c>
      <c r="AC101">
        <f>IFERROR(VLOOKUP(all_lmics[[Setting]:[Setting]],all_cause_mort[],16,FALSE),0)</f>
        <v>5.1205864E-3</v>
      </c>
      <c r="AD101">
        <f>IFERROR(VLOOKUP(all_lmics[[Setting]:[Setting]],all_cause_mort[],17,FALSE),0)</f>
        <v>8.0126368000000003E-3</v>
      </c>
      <c r="AE101">
        <f>IFERROR(VLOOKUP(all_lmics[[Setting]:[Setting]],all_cause_mort[],18,FALSE),0)</f>
        <v>1.3531368E-2</v>
      </c>
      <c r="AF101">
        <f>IFERROR(VLOOKUP(all_lmics[[Setting]:[Setting]],all_cause_mort[],19,FALSE),0)</f>
        <v>2.4342121000000001E-2</v>
      </c>
      <c r="AG101">
        <f>IFERROR(VLOOKUP(all_lmics[[Setting]:[Setting]],all_cause_mort[],20,FALSE),0)</f>
        <v>4.6438684000000001E-2</v>
      </c>
      <c r="AH101">
        <f>IFERROR(VLOOKUP(all_lmics[[Setting]:[Setting]],all_cause_mort[],21,FALSE),0)</f>
        <v>9.3340592999999999E-2</v>
      </c>
      <c r="AI101">
        <f>IFERROR(VLOOKUP(all_lmics[[Setting]:[Setting]],all_cause_mort[],22,FALSE),0)</f>
        <v>0.16125123999999999</v>
      </c>
      <c r="AJ101">
        <f>IFERROR(VLOOKUP(all_lmics[[Setting]:[Setting]],all_cause_mort[],23,FALSE),0)</f>
        <v>0.26382001999999999</v>
      </c>
      <c r="AK101">
        <f>IFERROR(VLOOKUP(all_lmics[[Setting]:[Setting]],all_cause_mort[],24,FALSE),0)</f>
        <v>0.40889719000000002</v>
      </c>
      <c r="AL101">
        <f>IFERROR(VLOOKUP(all_lmics[[Setting]:[Setting]],all_cause_mort[],25,FALSE),0)</f>
        <v>0.58592945491393</v>
      </c>
      <c r="AM101">
        <f>VLOOKUP(all_lmics[[worldbank_region]:[worldbank_region]],Table13[],2,FALSE)</f>
        <v>44.525141999999995</v>
      </c>
      <c r="AN101">
        <f>VLOOKUP(all_lmics[[worldbank_region]:[worldbank_region]],Table13[],3,FALSE)</f>
        <v>44.525141999999995</v>
      </c>
      <c r="AO101">
        <f>VLOOKUP(all_lmics[[worldbank_region]:[worldbank_region]],Table13[],4,FALSE)</f>
        <v>92.254001999999986</v>
      </c>
      <c r="AP101">
        <f>VLOOKUP(all_lmics[[worldbank_region]:[worldbank_region]],Table13[],5,FALSE)</f>
        <v>92.254001999999986</v>
      </c>
      <c r="AQ101">
        <f>VLOOKUP(all_lmics[[worldbank_region]:[worldbank_region]],Table13[],6,FALSE)</f>
        <v>92.254001999999986</v>
      </c>
      <c r="AR101">
        <f>VLOOKUP(all_lmics[[worldbank_region]:[worldbank_region]],Table14[],2,FALSE)</f>
        <v>6.4182919999999992</v>
      </c>
      <c r="AS101">
        <f>VLOOKUP(all_lmics[[worldbank_region]:[worldbank_region]],Table14[],3,FALSE)</f>
        <v>7.0357919999999998</v>
      </c>
      <c r="AT101">
        <f>VLOOKUP(all_lmics[[worldbank_region]:[worldbank_region]],Table14[],4,FALSE)</f>
        <v>10.482872999999998</v>
      </c>
      <c r="AU101">
        <f>VLOOKUP(all_lmics[[worldbank_region]:[worldbank_region]],Table14[],5,FALSE)</f>
        <v>11.100372999999999</v>
      </c>
      <c r="AV101">
        <f>VLOOKUP(all_lmics[[worldbank_region]:[worldbank_region]],Table14[],6,FALSE)</f>
        <v>11.670624999999999</v>
      </c>
      <c r="AW101">
        <f>IFERROR(VLOOKUP(all_lmics[[Setting]:[Setting]],nFacSBA[],4,FALSE),0)</f>
        <v>0.77554123113209783</v>
      </c>
      <c r="AX101">
        <f>VLOOKUP(all_lmics[[worldbank_region]:[worldbank_region]],hbe[],2)</f>
        <v>0.3</v>
      </c>
      <c r="AY101">
        <f>VLOOKUP(all_lmics[[worldbank_region]:[worldbank_region]],hbe[],5)</f>
        <v>0.875</v>
      </c>
      <c r="AZ101">
        <f>VLOOKUP(all_lmics[[worldbank_region]:[worldbank_region]],hbe[],8)</f>
        <v>0.15</v>
      </c>
    </row>
    <row r="102" spans="1:52" x14ac:dyDescent="0.35">
      <c r="A102" s="12" t="s">
        <v>25</v>
      </c>
      <c r="B102" s="13" t="s">
        <v>10</v>
      </c>
      <c r="C102" s="12" t="s">
        <v>9</v>
      </c>
      <c r="D102" s="14" t="s">
        <v>11</v>
      </c>
      <c r="E102">
        <f>VLOOKUP(all_lmics[[Setting]:[Setting]],populations[],9,FALSE)</f>
        <v>2930450</v>
      </c>
      <c r="F102">
        <f>VLOOKUP(all_lmics[[Setting]:[Setting]],birthrate[],3,FALSE)</f>
        <v>1.3455999999999999E-2</v>
      </c>
      <c r="G102">
        <f>all_lmics[[#This Row],[2017_population]]*all_lmics[[#This Row],[2016_birthrate]]</f>
        <v>39432.135199999997</v>
      </c>
      <c r="H102">
        <f>VLOOKUP(all_lmics[[Setting]:[Setting]],birthdose[],4,FALSE)</f>
        <v>0.97</v>
      </c>
      <c r="I102">
        <f>VLOOKUP(all_lmics[[Setting]:[Setting]],fullvax[],4,FALSE)</f>
        <v>0.94</v>
      </c>
      <c r="J102">
        <f>IFERROR(VLOOKUP(all_lmics[[Setting]:[Setting]],prev[],3,FALSE),0)</f>
        <v>1.9E-2</v>
      </c>
      <c r="K102">
        <f>IFERROR(VLOOKUP(all_lmics[[Setting]:[Setting]],prev[],4,FALSE),0)</f>
        <v>1.7000000000000001E-2</v>
      </c>
      <c r="L102">
        <f>IFERROR(VLOOKUP(all_lmics[[Setting]:[Setting]],prev[],5,FALSE),0)</f>
        <v>2.1000000000000001E-2</v>
      </c>
      <c r="M102">
        <f>IFERROR(VLOOKUP(all_lmics[[Setting]:[Setting]],prev[],7,FALSE),0)</f>
        <v>1.0204081632653071E-3</v>
      </c>
      <c r="N102">
        <f>IFERROR(VLOOKUP(all_lmics[[Setting]:[Setting]],prev[],6,FALSE),0)</f>
        <v>2930450</v>
      </c>
      <c r="O102">
        <f>IFERROR(VLOOKUP(all_lmics[[Setting]:[Setting]],SBA[],4,FALSE),0)</f>
        <v>0.998</v>
      </c>
      <c r="P102">
        <f>IFERROR(VLOOKUP(all_lmics[[Setting]:[Setting]], facility[], 3,FALSE),0)</f>
        <v>0.99299999999999999</v>
      </c>
      <c r="Q102">
        <f>IFERROR(VLOOKUP(all_lmics[[Setting]:[Setting]],all_cause_mort[],4,FALSE),0)</f>
        <v>1.0875249E-2</v>
      </c>
      <c r="R102">
        <f>IFERROR(VLOOKUP(all_lmics[[Setting]:[Setting]],all_cause_mort[],5,FALSE),0)</f>
        <v>6.0602273999999998E-4</v>
      </c>
      <c r="S102">
        <f>IFERROR(VLOOKUP(all_lmics[[Setting]:[Setting]],all_cause_mort[],6,FALSE),0)</f>
        <v>1.9401853000000001E-4</v>
      </c>
      <c r="T102">
        <f>IFERROR(VLOOKUP(all_lmics[[Setting]:[Setting]],all_cause_mort[],7,FALSE),0)</f>
        <v>2.4846362E-4</v>
      </c>
      <c r="U102">
        <f>IFERROR(VLOOKUP(all_lmics[[Setting]:[Setting]],all_cause_mort[],8,FALSE),0)</f>
        <v>6.3081814999999995E-4</v>
      </c>
      <c r="V102">
        <f>IFERROR(VLOOKUP(all_lmics[[Setting]:[Setting]],all_cause_mort[],9,FALSE),0)</f>
        <v>6.1818780999999998E-4</v>
      </c>
      <c r="W102">
        <f>IFERROR(VLOOKUP(all_lmics[[Setting]:[Setting]],all_cause_mort[],10,FALSE),0)</f>
        <v>5.8468406000000001E-4</v>
      </c>
      <c r="X102">
        <f>IFERROR(VLOOKUP(all_lmics[[Setting]:[Setting]],all_cause_mort[],11,FALSE),0)</f>
        <v>7.7021220999999996E-4</v>
      </c>
      <c r="Y102">
        <f>IFERROR(VLOOKUP(all_lmics[[Setting]:[Setting]],all_cause_mort[],12,FALSE),0)</f>
        <v>1.1592479000000001E-3</v>
      </c>
      <c r="Z102">
        <f>IFERROR(VLOOKUP(all_lmics[[Setting]:[Setting]],all_cause_mort[],13,FALSE),0)</f>
        <v>2.1859376E-3</v>
      </c>
      <c r="AA102">
        <f>IFERROR(VLOOKUP(all_lmics[[Setting]:[Setting]],all_cause_mort[],14,FALSE),0)</f>
        <v>3.6414761999999999E-3</v>
      </c>
      <c r="AB102">
        <f>IFERROR(VLOOKUP(all_lmics[[Setting]:[Setting]],all_cause_mort[],15,FALSE),0)</f>
        <v>6.0217667999999999E-3</v>
      </c>
      <c r="AC102">
        <f>IFERROR(VLOOKUP(all_lmics[[Setting]:[Setting]],all_cause_mort[],16,FALSE),0)</f>
        <v>9.1165529999999995E-3</v>
      </c>
      <c r="AD102">
        <f>IFERROR(VLOOKUP(all_lmics[[Setting]:[Setting]],all_cause_mort[],17,FALSE),0)</f>
        <v>1.4371807E-2</v>
      </c>
      <c r="AE102">
        <f>IFERROR(VLOOKUP(all_lmics[[Setting]:[Setting]],all_cause_mort[],18,FALSE),0)</f>
        <v>2.2072959E-2</v>
      </c>
      <c r="AF102">
        <f>IFERROR(VLOOKUP(all_lmics[[Setting]:[Setting]],all_cause_mort[],19,FALSE),0)</f>
        <v>3.6256084000000001E-2</v>
      </c>
      <c r="AG102">
        <f>IFERROR(VLOOKUP(all_lmics[[Setting]:[Setting]],all_cause_mort[],20,FALSE),0)</f>
        <v>6.2951646999999999E-2</v>
      </c>
      <c r="AH102">
        <f>IFERROR(VLOOKUP(all_lmics[[Setting]:[Setting]],all_cause_mort[],21,FALSE),0)</f>
        <v>0.10475371</v>
      </c>
      <c r="AI102">
        <f>IFERROR(VLOOKUP(all_lmics[[Setting]:[Setting]],all_cause_mort[],22,FALSE),0)</f>
        <v>0.16786499999999999</v>
      </c>
      <c r="AJ102">
        <f>IFERROR(VLOOKUP(all_lmics[[Setting]:[Setting]],all_cause_mort[],23,FALSE),0)</f>
        <v>0.26166815999999998</v>
      </c>
      <c r="AK102">
        <f>IFERROR(VLOOKUP(all_lmics[[Setting]:[Setting]],all_cause_mort[],24,FALSE),0)</f>
        <v>0.36546420000000002</v>
      </c>
      <c r="AL102">
        <f>IFERROR(VLOOKUP(all_lmics[[Setting]:[Setting]],all_cause_mort[],25,FALSE),0)</f>
        <v>0.50571150574589396</v>
      </c>
      <c r="AM102">
        <f>VLOOKUP(all_lmics[[worldbank_region]:[worldbank_region]],Table13[],2,FALSE)</f>
        <v>44.525141999999995</v>
      </c>
      <c r="AN102">
        <f>VLOOKUP(all_lmics[[worldbank_region]:[worldbank_region]],Table13[],3,FALSE)</f>
        <v>44.525141999999995</v>
      </c>
      <c r="AO102">
        <f>VLOOKUP(all_lmics[[worldbank_region]:[worldbank_region]],Table13[],4,FALSE)</f>
        <v>92.254001999999986</v>
      </c>
      <c r="AP102">
        <f>VLOOKUP(all_lmics[[worldbank_region]:[worldbank_region]],Table13[],5,FALSE)</f>
        <v>92.254001999999986</v>
      </c>
      <c r="AQ102">
        <f>VLOOKUP(all_lmics[[worldbank_region]:[worldbank_region]],Table13[],6,FALSE)</f>
        <v>92.254001999999986</v>
      </c>
      <c r="AR102">
        <f>VLOOKUP(all_lmics[[worldbank_region]:[worldbank_region]],Table14[],2,FALSE)</f>
        <v>6.4182919999999992</v>
      </c>
      <c r="AS102">
        <f>VLOOKUP(all_lmics[[worldbank_region]:[worldbank_region]],Table14[],3,FALSE)</f>
        <v>7.0357919999999998</v>
      </c>
      <c r="AT102">
        <f>VLOOKUP(all_lmics[[worldbank_region]:[worldbank_region]],Table14[],4,FALSE)</f>
        <v>10.482872999999998</v>
      </c>
      <c r="AU102">
        <f>VLOOKUP(all_lmics[[worldbank_region]:[worldbank_region]],Table14[],5,FALSE)</f>
        <v>11.100372999999999</v>
      </c>
      <c r="AV102">
        <f>VLOOKUP(all_lmics[[worldbank_region]:[worldbank_region]],Table14[],6,FALSE)</f>
        <v>11.670624999999999</v>
      </c>
      <c r="AW102">
        <f>IFERROR(VLOOKUP(all_lmics[[Setting]:[Setting]],nFacSBA[],4,FALSE),0)</f>
        <v>0.57842837152352633</v>
      </c>
      <c r="AX102">
        <f>VLOOKUP(all_lmics[[worldbank_region]:[worldbank_region]],hbe[],2)</f>
        <v>0.3</v>
      </c>
      <c r="AY102">
        <f>VLOOKUP(all_lmics[[worldbank_region]:[worldbank_region]],hbe[],5)</f>
        <v>0.875</v>
      </c>
      <c r="AZ102">
        <f>VLOOKUP(all_lmics[[worldbank_region]:[worldbank_region]],hbe[],8)</f>
        <v>0.15</v>
      </c>
    </row>
    <row r="103" spans="1:52" x14ac:dyDescent="0.35">
      <c r="A103" s="8" t="s">
        <v>30</v>
      </c>
      <c r="B103" s="10" t="s">
        <v>10</v>
      </c>
      <c r="C103" s="8" t="s">
        <v>9</v>
      </c>
      <c r="D103" s="11" t="s">
        <v>11</v>
      </c>
      <c r="E103">
        <f>VLOOKUP(all_lmics[[Setting]:[Setting]],populations[],9,FALSE)</f>
        <v>9862429</v>
      </c>
      <c r="F103">
        <f>VLOOKUP(all_lmics[[Setting]:[Setting]],birthrate[],3,FALSE)</f>
        <v>1.6300000000000002E-2</v>
      </c>
      <c r="G103">
        <f>all_lmics[[#This Row],[2017_population]]*all_lmics[[#This Row],[2016_birthrate]]</f>
        <v>160757.59270000001</v>
      </c>
      <c r="H103">
        <f>VLOOKUP(all_lmics[[Setting]:[Setting]],birthdose[],4,FALSE)</f>
        <v>0.99</v>
      </c>
      <c r="I103">
        <f>VLOOKUP(all_lmics[[Setting]:[Setting]],fullvax[],4,FALSE)</f>
        <v>0.95</v>
      </c>
      <c r="J103">
        <f>IFERROR(VLOOKUP(all_lmics[[Setting]:[Setting]],prev[],3,FALSE),0)</f>
        <v>1.7999999999999999E-2</v>
      </c>
      <c r="K103">
        <f>IFERROR(VLOOKUP(all_lmics[[Setting]:[Setting]],prev[],4,FALSE),0)</f>
        <v>1.4999999999999999E-2</v>
      </c>
      <c r="L103">
        <f>IFERROR(VLOOKUP(all_lmics[[Setting]:[Setting]],prev[],5,FALSE),0)</f>
        <v>2.1000000000000001E-2</v>
      </c>
      <c r="M103">
        <f>IFERROR(VLOOKUP(all_lmics[[Setting]:[Setting]],prev[],7,FALSE),0)</f>
        <v>1.5306122448979606E-3</v>
      </c>
      <c r="N103">
        <f>IFERROR(VLOOKUP(all_lmics[[Setting]:[Setting]],prev[],6,FALSE),0)</f>
        <v>9862429</v>
      </c>
      <c r="O103">
        <f>IFERROR(VLOOKUP(all_lmics[[Setting]:[Setting]],SBA[],4,FALSE),0)</f>
        <v>0.998</v>
      </c>
      <c r="P103">
        <f>IFERROR(VLOOKUP(all_lmics[[Setting]:[Setting]], facility[], 3,FALSE),0)</f>
        <v>0.93099999999999994</v>
      </c>
      <c r="Q103">
        <f>IFERROR(VLOOKUP(all_lmics[[Setting]:[Setting]],all_cause_mort[],4,FALSE),0)</f>
        <v>2.1199749E-2</v>
      </c>
      <c r="R103">
        <f>IFERROR(VLOOKUP(all_lmics[[Setting]:[Setting]],all_cause_mort[],5,FALSE),0)</f>
        <v>1.1263363E-3</v>
      </c>
      <c r="S103">
        <f>IFERROR(VLOOKUP(all_lmics[[Setting]:[Setting]],all_cause_mort[],6,FALSE),0)</f>
        <v>3.8352024E-4</v>
      </c>
      <c r="T103">
        <f>IFERROR(VLOOKUP(all_lmics[[Setting]:[Setting]],all_cause_mort[],7,FALSE),0)</f>
        <v>3.2779069000000001E-4</v>
      </c>
      <c r="U103">
        <f>IFERROR(VLOOKUP(all_lmics[[Setting]:[Setting]],all_cause_mort[],8,FALSE),0)</f>
        <v>6.7210206000000003E-4</v>
      </c>
      <c r="V103">
        <f>IFERROR(VLOOKUP(all_lmics[[Setting]:[Setting]],all_cause_mort[],9,FALSE),0)</f>
        <v>8.3594362000000003E-4</v>
      </c>
      <c r="W103">
        <f>IFERROR(VLOOKUP(all_lmics[[Setting]:[Setting]],all_cause_mort[],10,FALSE),0)</f>
        <v>8.4207751000000002E-4</v>
      </c>
      <c r="X103">
        <f>IFERROR(VLOOKUP(all_lmics[[Setting]:[Setting]],all_cause_mort[],11,FALSE),0)</f>
        <v>1.0102522E-3</v>
      </c>
      <c r="Y103">
        <f>IFERROR(VLOOKUP(all_lmics[[Setting]:[Setting]],all_cause_mort[],12,FALSE),0)</f>
        <v>1.4160430999999999E-3</v>
      </c>
      <c r="Z103">
        <f>IFERROR(VLOOKUP(all_lmics[[Setting]:[Setting]],all_cause_mort[],13,FALSE),0)</f>
        <v>2.1447404000000002E-3</v>
      </c>
      <c r="AA103">
        <f>IFERROR(VLOOKUP(all_lmics[[Setting]:[Setting]],all_cause_mort[],14,FALSE),0)</f>
        <v>3.4919490999999999E-3</v>
      </c>
      <c r="AB103">
        <f>IFERROR(VLOOKUP(all_lmics[[Setting]:[Setting]],all_cause_mort[],15,FALSE),0)</f>
        <v>5.7081539000000004E-3</v>
      </c>
      <c r="AC103">
        <f>IFERROR(VLOOKUP(all_lmics[[Setting]:[Setting]],all_cause_mort[],16,FALSE),0)</f>
        <v>9.3298307999999993E-3</v>
      </c>
      <c r="AD103">
        <f>IFERROR(VLOOKUP(all_lmics[[Setting]:[Setting]],all_cause_mort[],17,FALSE),0)</f>
        <v>1.5432393000000001E-2</v>
      </c>
      <c r="AE103">
        <f>IFERROR(VLOOKUP(all_lmics[[Setting]:[Setting]],all_cause_mort[],18,FALSE),0)</f>
        <v>2.5527603999999999E-2</v>
      </c>
      <c r="AF103">
        <f>IFERROR(VLOOKUP(all_lmics[[Setting]:[Setting]],all_cause_mort[],19,FALSE),0)</f>
        <v>4.2851643000000002E-2</v>
      </c>
      <c r="AG103">
        <f>IFERROR(VLOOKUP(all_lmics[[Setting]:[Setting]],all_cause_mort[],20,FALSE),0)</f>
        <v>7.2515651E-2</v>
      </c>
      <c r="AH103">
        <f>IFERROR(VLOOKUP(all_lmics[[Setting]:[Setting]],all_cause_mort[],21,FALSE),0)</f>
        <v>0.11925278</v>
      </c>
      <c r="AI103">
        <f>IFERROR(VLOOKUP(all_lmics[[Setting]:[Setting]],all_cause_mort[],22,FALSE),0)</f>
        <v>0.19011253</v>
      </c>
      <c r="AJ103">
        <f>IFERROR(VLOOKUP(all_lmics[[Setting]:[Setting]],all_cause_mort[],23,FALSE),0)</f>
        <v>0.28295354</v>
      </c>
      <c r="AK103">
        <f>IFERROR(VLOOKUP(all_lmics[[Setting]:[Setting]],all_cause_mort[],24,FALSE),0)</f>
        <v>0.38343492000000001</v>
      </c>
      <c r="AL103">
        <f>IFERROR(VLOOKUP(all_lmics[[Setting]:[Setting]],all_cause_mort[],25,FALSE),0)</f>
        <v>0.51834965555924595</v>
      </c>
      <c r="AM103">
        <f>VLOOKUP(all_lmics[[worldbank_region]:[worldbank_region]],Table13[],2,FALSE)</f>
        <v>44.525141999999995</v>
      </c>
      <c r="AN103">
        <f>VLOOKUP(all_lmics[[worldbank_region]:[worldbank_region]],Table13[],3,FALSE)</f>
        <v>44.525141999999995</v>
      </c>
      <c r="AO103">
        <f>VLOOKUP(all_lmics[[worldbank_region]:[worldbank_region]],Table13[],4,FALSE)</f>
        <v>92.254001999999986</v>
      </c>
      <c r="AP103">
        <f>VLOOKUP(all_lmics[[worldbank_region]:[worldbank_region]],Table13[],5,FALSE)</f>
        <v>92.254001999999986</v>
      </c>
      <c r="AQ103">
        <f>VLOOKUP(all_lmics[[worldbank_region]:[worldbank_region]],Table13[],6,FALSE)</f>
        <v>92.254001999999986</v>
      </c>
      <c r="AR103">
        <f>VLOOKUP(all_lmics[[worldbank_region]:[worldbank_region]],Table14[],2,FALSE)</f>
        <v>6.4182919999999992</v>
      </c>
      <c r="AS103">
        <f>VLOOKUP(all_lmics[[worldbank_region]:[worldbank_region]],Table14[],3,FALSE)</f>
        <v>7.0357919999999998</v>
      </c>
      <c r="AT103">
        <f>VLOOKUP(all_lmics[[worldbank_region]:[worldbank_region]],Table14[],4,FALSE)</f>
        <v>10.482872999999998</v>
      </c>
      <c r="AU103">
        <f>VLOOKUP(all_lmics[[worldbank_region]:[worldbank_region]],Table14[],5,FALSE)</f>
        <v>11.100372999999999</v>
      </c>
      <c r="AV103">
        <f>VLOOKUP(all_lmics[[worldbank_region]:[worldbank_region]],Table14[],6,FALSE)</f>
        <v>11.670624999999999</v>
      </c>
      <c r="AW103">
        <f>IFERROR(VLOOKUP(all_lmics[[Setting]:[Setting]],nFacSBA[],4,FALSE),0)</f>
        <v>0.51234113609262666</v>
      </c>
      <c r="AX103">
        <f>VLOOKUP(all_lmics[[worldbank_region]:[worldbank_region]],hbe[],2)</f>
        <v>0.3</v>
      </c>
      <c r="AY103">
        <f>VLOOKUP(all_lmics[[worldbank_region]:[worldbank_region]],hbe[],5)</f>
        <v>0.875</v>
      </c>
      <c r="AZ103">
        <f>VLOOKUP(all_lmics[[worldbank_region]:[worldbank_region]],hbe[],8)</f>
        <v>0.15</v>
      </c>
    </row>
    <row r="104" spans="1:52" x14ac:dyDescent="0.35">
      <c r="A104" s="12" t="s">
        <v>47</v>
      </c>
      <c r="B104" s="13" t="s">
        <v>10</v>
      </c>
      <c r="C104" s="12" t="s">
        <v>9</v>
      </c>
      <c r="D104" s="14" t="s">
        <v>11</v>
      </c>
      <c r="E104">
        <f>VLOOKUP(all_lmics[[Setting]:[Setting]],populations[],9,FALSE)</f>
        <v>3507017</v>
      </c>
      <c r="F104">
        <f>VLOOKUP(all_lmics[[Setting]:[Setting]],birthrate[],3,FALSE)</f>
        <v>9.1579999999999995E-3</v>
      </c>
      <c r="G104">
        <f>all_lmics[[#This Row],[2017_population]]*all_lmics[[#This Row],[2016_birthrate]]</f>
        <v>32117.261685999998</v>
      </c>
      <c r="H104">
        <f>VLOOKUP(all_lmics[[Setting]:[Setting]],birthdose[],4,FALSE)</f>
        <v>0</v>
      </c>
      <c r="I104">
        <f>VLOOKUP(all_lmics[[Setting]:[Setting]],fullvax[],4,FALSE)</f>
        <v>0.77</v>
      </c>
      <c r="J104">
        <f>IFERROR(VLOOKUP(all_lmics[[Setting]:[Setting]],prev[],3,FALSE),0)</f>
        <v>1.11E-2</v>
      </c>
      <c r="K104">
        <f>IFERROR(VLOOKUP(all_lmics[[Setting]:[Setting]],prev[],4,FALSE),0)</f>
        <v>9.1000000000000004E-3</v>
      </c>
      <c r="L104">
        <f>IFERROR(VLOOKUP(all_lmics[[Setting]:[Setting]],prev[],5,FALSE),0)</f>
        <v>1.35E-2</v>
      </c>
      <c r="M104">
        <f>IFERROR(VLOOKUP(all_lmics[[Setting]:[Setting]],prev[],7,FALSE),0)</f>
        <v>1.2244897959183671E-3</v>
      </c>
      <c r="N104">
        <f>IFERROR(VLOOKUP(all_lmics[[Setting]:[Setting]],prev[],6,FALSE),0)</f>
        <v>3722084</v>
      </c>
      <c r="O104">
        <f>IFERROR(VLOOKUP(all_lmics[[Setting]:[Setting]],SBA[],4,FALSE),0)</f>
        <v>0.99900000000000011</v>
      </c>
      <c r="P104">
        <f>IFERROR(VLOOKUP(all_lmics[[Setting]:[Setting]], facility[], 3,FALSE),0)</f>
        <v>0.997</v>
      </c>
      <c r="Q104">
        <f>IFERROR(VLOOKUP(all_lmics[[Setting]:[Setting]],all_cause_mort[],4,FALSE),0)</f>
        <v>6.0402325000000002E-3</v>
      </c>
      <c r="R104">
        <f>IFERROR(VLOOKUP(all_lmics[[Setting]:[Setting]],all_cause_mort[],5,FALSE),0)</f>
        <v>1.939159E-4</v>
      </c>
      <c r="S104">
        <f>IFERROR(VLOOKUP(all_lmics[[Setting]:[Setting]],all_cause_mort[],6,FALSE),0)</f>
        <v>7.8832053999999994E-5</v>
      </c>
      <c r="T104">
        <f>IFERROR(VLOOKUP(all_lmics[[Setting]:[Setting]],all_cause_mort[],7,FALSE),0)</f>
        <v>1.4240849E-4</v>
      </c>
      <c r="U104">
        <f>IFERROR(VLOOKUP(all_lmics[[Setting]:[Setting]],all_cause_mort[],8,FALSE),0)</f>
        <v>2.3229245000000001E-4</v>
      </c>
      <c r="V104">
        <f>IFERROR(VLOOKUP(all_lmics[[Setting]:[Setting]],all_cause_mort[],9,FALSE),0)</f>
        <v>3.5424140000000001E-4</v>
      </c>
      <c r="W104">
        <f>IFERROR(VLOOKUP(all_lmics[[Setting]:[Setting]],all_cause_mort[],10,FALSE),0)</f>
        <v>4.1942398999999999E-4</v>
      </c>
      <c r="X104">
        <f>IFERROR(VLOOKUP(all_lmics[[Setting]:[Setting]],all_cause_mort[],11,FALSE),0)</f>
        <v>6.3370710999999995E-4</v>
      </c>
      <c r="Y104">
        <f>IFERROR(VLOOKUP(all_lmics[[Setting]:[Setting]],all_cause_mort[],12,FALSE),0)</f>
        <v>8.7284910000000001E-4</v>
      </c>
      <c r="Z104">
        <f>IFERROR(VLOOKUP(all_lmics[[Setting]:[Setting]],all_cause_mort[],13,FALSE),0)</f>
        <v>1.4318649E-3</v>
      </c>
      <c r="AA104">
        <f>IFERROR(VLOOKUP(all_lmics[[Setting]:[Setting]],all_cause_mort[],14,FALSE),0)</f>
        <v>2.5983379999999999E-3</v>
      </c>
      <c r="AB104">
        <f>IFERROR(VLOOKUP(all_lmics[[Setting]:[Setting]],all_cause_mort[],15,FALSE),0)</f>
        <v>4.6078689000000001E-3</v>
      </c>
      <c r="AC104">
        <f>IFERROR(VLOOKUP(all_lmics[[Setting]:[Setting]],all_cause_mort[],16,FALSE),0)</f>
        <v>7.4053047000000004E-3</v>
      </c>
      <c r="AD104">
        <f>IFERROR(VLOOKUP(all_lmics[[Setting]:[Setting]],all_cause_mort[],17,FALSE),0)</f>
        <v>1.2136341E-2</v>
      </c>
      <c r="AE104">
        <f>IFERROR(VLOOKUP(all_lmics[[Setting]:[Setting]],all_cause_mort[],18,FALSE),0)</f>
        <v>1.9539249000000002E-2</v>
      </c>
      <c r="AF104">
        <f>IFERROR(VLOOKUP(all_lmics[[Setting]:[Setting]],all_cause_mort[],19,FALSE),0)</f>
        <v>3.3116898999999998E-2</v>
      </c>
      <c r="AG104">
        <f>IFERROR(VLOOKUP(all_lmics[[Setting]:[Setting]],all_cause_mort[],20,FALSE),0)</f>
        <v>5.7350312000000001E-2</v>
      </c>
      <c r="AH104">
        <f>IFERROR(VLOOKUP(all_lmics[[Setting]:[Setting]],all_cause_mort[],21,FALSE),0)</f>
        <v>9.3549371000000006E-2</v>
      </c>
      <c r="AI104">
        <f>IFERROR(VLOOKUP(all_lmics[[Setting]:[Setting]],all_cause_mort[],22,FALSE),0)</f>
        <v>0.15065823</v>
      </c>
      <c r="AJ104">
        <f>IFERROR(VLOOKUP(all_lmics[[Setting]:[Setting]],all_cause_mort[],23,FALSE),0)</f>
        <v>0.23397577999999999</v>
      </c>
      <c r="AK104">
        <f>IFERROR(VLOOKUP(all_lmics[[Setting]:[Setting]],all_cause_mort[],24,FALSE),0)</f>
        <v>0.34715161999999999</v>
      </c>
      <c r="AL104">
        <f>IFERROR(VLOOKUP(all_lmics[[Setting]:[Setting]],all_cause_mort[],25,FALSE),0)</f>
        <v>0.49513735506339301</v>
      </c>
      <c r="AM104">
        <f>VLOOKUP(all_lmics[[worldbank_region]:[worldbank_region]],Table13[],2,FALSE)</f>
        <v>44.525141999999995</v>
      </c>
      <c r="AN104">
        <f>VLOOKUP(all_lmics[[worldbank_region]:[worldbank_region]],Table13[],3,FALSE)</f>
        <v>44.525141999999995</v>
      </c>
      <c r="AO104">
        <f>VLOOKUP(all_lmics[[worldbank_region]:[worldbank_region]],Table13[],4,FALSE)</f>
        <v>92.254001999999986</v>
      </c>
      <c r="AP104">
        <f>VLOOKUP(all_lmics[[worldbank_region]:[worldbank_region]],Table13[],5,FALSE)</f>
        <v>92.254001999999986</v>
      </c>
      <c r="AQ104">
        <f>VLOOKUP(all_lmics[[worldbank_region]:[worldbank_region]],Table13[],6,FALSE)</f>
        <v>92.254001999999986</v>
      </c>
      <c r="AR104">
        <f>VLOOKUP(all_lmics[[worldbank_region]:[worldbank_region]],Table14[],2,FALSE)</f>
        <v>6.4182919999999992</v>
      </c>
      <c r="AS104">
        <f>VLOOKUP(all_lmics[[worldbank_region]:[worldbank_region]],Table14[],3,FALSE)</f>
        <v>7.0357919999999998</v>
      </c>
      <c r="AT104">
        <f>VLOOKUP(all_lmics[[worldbank_region]:[worldbank_region]],Table14[],4,FALSE)</f>
        <v>10.482872999999998</v>
      </c>
      <c r="AU104">
        <f>VLOOKUP(all_lmics[[worldbank_region]:[worldbank_region]],Table14[],5,FALSE)</f>
        <v>11.100372999999999</v>
      </c>
      <c r="AV104">
        <f>VLOOKUP(all_lmics[[worldbank_region]:[worldbank_region]],Table14[],6,FALSE)</f>
        <v>11.670624999999999</v>
      </c>
      <c r="AW104">
        <f>IFERROR(VLOOKUP(all_lmics[[Setting]:[Setting]],nFacSBA[],4,FALSE),0)</f>
        <v>0.66665430542164206</v>
      </c>
      <c r="AX104">
        <f>VLOOKUP(all_lmics[[worldbank_region]:[worldbank_region]],hbe[],2)</f>
        <v>0.3</v>
      </c>
      <c r="AY104">
        <f>VLOOKUP(all_lmics[[worldbank_region]:[worldbank_region]],hbe[],5)</f>
        <v>0.875</v>
      </c>
      <c r="AZ104">
        <f>VLOOKUP(all_lmics[[worldbank_region]:[worldbank_region]],hbe[],8)</f>
        <v>0.15</v>
      </c>
    </row>
    <row r="105" spans="1:52" x14ac:dyDescent="0.35">
      <c r="A105" s="12" t="s">
        <v>52</v>
      </c>
      <c r="B105" s="13" t="s">
        <v>10</v>
      </c>
      <c r="C105" s="12" t="s">
        <v>9</v>
      </c>
      <c r="D105" s="14" t="s">
        <v>11</v>
      </c>
      <c r="E105">
        <f>VLOOKUP(all_lmics[[Setting]:[Setting]],populations[],9,FALSE)</f>
        <v>7075991</v>
      </c>
      <c r="F105">
        <f>VLOOKUP(all_lmics[[Setting]:[Setting]],birthrate[],3,FALSE)</f>
        <v>9.1000000000000004E-3</v>
      </c>
      <c r="G105">
        <f>all_lmics[[#This Row],[2017_population]]*all_lmics[[#This Row],[2016_birthrate]]</f>
        <v>64391.518100000001</v>
      </c>
      <c r="H105">
        <f>VLOOKUP(all_lmics[[Setting]:[Setting]],birthdose[],4,FALSE)</f>
        <v>0.97</v>
      </c>
      <c r="I105">
        <f>VLOOKUP(all_lmics[[Setting]:[Setting]],fullvax[],4,FALSE)</f>
        <v>0.92</v>
      </c>
      <c r="J105">
        <f>IFERROR(VLOOKUP(all_lmics[[Setting]:[Setting]],prev[],3,FALSE),0)</f>
        <v>3.2000000000000001E-2</v>
      </c>
      <c r="K105">
        <f>IFERROR(VLOOKUP(all_lmics[[Setting]:[Setting]],prev[],4,FALSE),0)</f>
        <v>1.9E-2</v>
      </c>
      <c r="L105">
        <f>IFERROR(VLOOKUP(all_lmics[[Setting]:[Setting]],prev[],5,FALSE),0)</f>
        <v>5.6000000000000001E-2</v>
      </c>
      <c r="M105">
        <f>IFERROR(VLOOKUP(all_lmics[[Setting]:[Setting]],prev[],7,FALSE),0)</f>
        <v>1.2244897959183675E-2</v>
      </c>
      <c r="N105">
        <f>IFERROR(VLOOKUP(all_lmics[[Setting]:[Setting]],prev[],6,FALSE),0)</f>
        <v>7075991</v>
      </c>
      <c r="O105">
        <f>IFERROR(VLOOKUP(all_lmics[[Setting]:[Setting]],SBA[],4,FALSE),0)</f>
        <v>0.998</v>
      </c>
      <c r="P105">
        <f>IFERROR(VLOOKUP(all_lmics[[Setting]:[Setting]], facility[], 3,FALSE),0)</f>
        <v>0.93799999999999994</v>
      </c>
      <c r="Q105">
        <f>IFERROR(VLOOKUP(all_lmics[[Setting]:[Setting]],all_cause_mort[],4,FALSE),0)</f>
        <v>6.3243541000000004E-3</v>
      </c>
      <c r="R105">
        <f>IFERROR(VLOOKUP(all_lmics[[Setting]:[Setting]],all_cause_mort[],5,FALSE),0)</f>
        <v>2.9440324000000001E-4</v>
      </c>
      <c r="S105">
        <f>IFERROR(VLOOKUP(all_lmics[[Setting]:[Setting]],all_cause_mort[],6,FALSE),0)</f>
        <v>1.4204616000000001E-4</v>
      </c>
      <c r="T105">
        <f>IFERROR(VLOOKUP(all_lmics[[Setting]:[Setting]],all_cause_mort[],7,FALSE),0)</f>
        <v>1.6843173000000001E-4</v>
      </c>
      <c r="U105">
        <f>IFERROR(VLOOKUP(all_lmics[[Setting]:[Setting]],all_cause_mort[],8,FALSE),0)</f>
        <v>4.4165676000000001E-4</v>
      </c>
      <c r="V105">
        <f>IFERROR(VLOOKUP(all_lmics[[Setting]:[Setting]],all_cause_mort[],9,FALSE),0)</f>
        <v>5.8318457000000005E-4</v>
      </c>
      <c r="W105">
        <f>IFERROR(VLOOKUP(all_lmics[[Setting]:[Setting]],all_cause_mort[],10,FALSE),0)</f>
        <v>6.8126362E-4</v>
      </c>
      <c r="X105">
        <f>IFERROR(VLOOKUP(all_lmics[[Setting]:[Setting]],all_cause_mort[],11,FALSE),0)</f>
        <v>9.7934057000000009E-4</v>
      </c>
      <c r="Y105">
        <f>IFERROR(VLOOKUP(all_lmics[[Setting]:[Setting]],all_cause_mort[],12,FALSE),0)</f>
        <v>1.4567264999999999E-3</v>
      </c>
      <c r="Z105">
        <f>IFERROR(VLOOKUP(all_lmics[[Setting]:[Setting]],all_cause_mort[],13,FALSE),0)</f>
        <v>2.4462739E-3</v>
      </c>
      <c r="AA105">
        <f>IFERROR(VLOOKUP(all_lmics[[Setting]:[Setting]],all_cause_mort[],14,FALSE),0)</f>
        <v>4.3520086000000003E-3</v>
      </c>
      <c r="AB105">
        <f>IFERROR(VLOOKUP(all_lmics[[Setting]:[Setting]],all_cause_mort[],15,FALSE),0)</f>
        <v>7.1978516000000001E-3</v>
      </c>
      <c r="AC105">
        <f>IFERROR(VLOOKUP(all_lmics[[Setting]:[Setting]],all_cause_mort[],16,FALSE),0)</f>
        <v>1.1178314999999999E-2</v>
      </c>
      <c r="AD105">
        <f>IFERROR(VLOOKUP(all_lmics[[Setting]:[Setting]],all_cause_mort[],17,FALSE),0)</f>
        <v>1.6307233000000001E-2</v>
      </c>
      <c r="AE105">
        <f>IFERROR(VLOOKUP(all_lmics[[Setting]:[Setting]],all_cause_mort[],18,FALSE),0)</f>
        <v>2.3210957000000001E-2</v>
      </c>
      <c r="AF105">
        <f>IFERROR(VLOOKUP(all_lmics[[Setting]:[Setting]],all_cause_mort[],19,FALSE),0)</f>
        <v>3.3853842000000002E-2</v>
      </c>
      <c r="AG105">
        <f>IFERROR(VLOOKUP(all_lmics[[Setting]:[Setting]],all_cause_mort[],20,FALSE),0)</f>
        <v>5.4165828999999999E-2</v>
      </c>
      <c r="AH105">
        <f>IFERROR(VLOOKUP(all_lmics[[Setting]:[Setting]],all_cause_mort[],21,FALSE),0)</f>
        <v>9.5032077000000006E-2</v>
      </c>
      <c r="AI105">
        <f>IFERROR(VLOOKUP(all_lmics[[Setting]:[Setting]],all_cause_mort[],22,FALSE),0)</f>
        <v>0.19775761</v>
      </c>
      <c r="AJ105">
        <f>IFERROR(VLOOKUP(all_lmics[[Setting]:[Setting]],all_cause_mort[],23,FALSE),0)</f>
        <v>0.26826402999999999</v>
      </c>
      <c r="AK105">
        <f>IFERROR(VLOOKUP(all_lmics[[Setting]:[Setting]],all_cause_mort[],24,FALSE),0)</f>
        <v>0.40889629999999999</v>
      </c>
      <c r="AL105">
        <f>IFERROR(VLOOKUP(all_lmics[[Setting]:[Setting]],all_cause_mort[],25,FALSE),0)</f>
        <v>0.57599287059064497</v>
      </c>
      <c r="AM105">
        <f>VLOOKUP(all_lmics[[worldbank_region]:[worldbank_region]],Table13[],2,FALSE)</f>
        <v>44.525141999999995</v>
      </c>
      <c r="AN105">
        <f>VLOOKUP(all_lmics[[worldbank_region]:[worldbank_region]],Table13[],3,FALSE)</f>
        <v>44.525141999999995</v>
      </c>
      <c r="AO105">
        <f>VLOOKUP(all_lmics[[worldbank_region]:[worldbank_region]],Table13[],4,FALSE)</f>
        <v>92.254001999999986</v>
      </c>
      <c r="AP105">
        <f>VLOOKUP(all_lmics[[worldbank_region]:[worldbank_region]],Table13[],5,FALSE)</f>
        <v>92.254001999999986</v>
      </c>
      <c r="AQ105">
        <f>VLOOKUP(all_lmics[[worldbank_region]:[worldbank_region]],Table13[],6,FALSE)</f>
        <v>92.254001999999986</v>
      </c>
      <c r="AR105">
        <f>VLOOKUP(all_lmics[[worldbank_region]:[worldbank_region]],Table14[],2,FALSE)</f>
        <v>6.4182919999999992</v>
      </c>
      <c r="AS105">
        <f>VLOOKUP(all_lmics[[worldbank_region]:[worldbank_region]],Table14[],3,FALSE)</f>
        <v>7.0357919999999998</v>
      </c>
      <c r="AT105">
        <f>VLOOKUP(all_lmics[[worldbank_region]:[worldbank_region]],Table14[],4,FALSE)</f>
        <v>10.482872999999998</v>
      </c>
      <c r="AU105">
        <f>VLOOKUP(all_lmics[[worldbank_region]:[worldbank_region]],Table14[],5,FALSE)</f>
        <v>11.100372999999999</v>
      </c>
      <c r="AV105">
        <f>VLOOKUP(all_lmics[[worldbank_region]:[worldbank_region]],Table14[],6,FALSE)</f>
        <v>11.670624999999999</v>
      </c>
      <c r="AW105">
        <f>IFERROR(VLOOKUP(all_lmics[[Setting]:[Setting]],nFacSBA[],4,FALSE),0)</f>
        <v>0</v>
      </c>
      <c r="AX105">
        <f>VLOOKUP(all_lmics[[worldbank_region]:[worldbank_region]],hbe[],2)</f>
        <v>0.3</v>
      </c>
      <c r="AY105">
        <f>VLOOKUP(all_lmics[[worldbank_region]:[worldbank_region]],hbe[],5)</f>
        <v>0.875</v>
      </c>
      <c r="AZ105">
        <f>VLOOKUP(all_lmics[[worldbank_region]:[worldbank_region]],hbe[],8)</f>
        <v>0.15</v>
      </c>
    </row>
    <row r="106" spans="1:52" x14ac:dyDescent="0.35">
      <c r="A106" s="8" t="s">
        <v>94</v>
      </c>
      <c r="B106" s="10" t="s">
        <v>10</v>
      </c>
      <c r="C106" s="8" t="s">
        <v>9</v>
      </c>
      <c r="D106" s="11" t="s">
        <v>11</v>
      </c>
      <c r="E106">
        <f>VLOOKUP(all_lmics[[Setting]:[Setting]],populations[],9,FALSE)</f>
        <v>3717100</v>
      </c>
      <c r="F106">
        <f>VLOOKUP(all_lmics[[Setting]:[Setting]],birthrate[],3,FALSE)</f>
        <v>1.3499000000000001E-2</v>
      </c>
      <c r="G106">
        <f>all_lmics[[#This Row],[2017_population]]*all_lmics[[#This Row],[2016_birthrate]]</f>
        <v>50177.132900000004</v>
      </c>
      <c r="H106">
        <f>VLOOKUP(all_lmics[[Setting]:[Setting]],birthdose[],4,FALSE)</f>
        <v>0.94</v>
      </c>
      <c r="I106">
        <f>VLOOKUP(all_lmics[[Setting]:[Setting]],fullvax[],4,FALSE)</f>
        <v>0.91</v>
      </c>
      <c r="J106">
        <f>IFERROR(VLOOKUP(all_lmics[[Setting]:[Setting]],prev[],3,FALSE),0)</f>
        <v>2.5000000000000001E-2</v>
      </c>
      <c r="K106">
        <f>IFERROR(VLOOKUP(all_lmics[[Setting]:[Setting]],prev[],4,FALSE),0)</f>
        <v>1.9E-2</v>
      </c>
      <c r="L106">
        <f>IFERROR(VLOOKUP(all_lmics[[Setting]:[Setting]],prev[],5,FALSE),0)</f>
        <v>3.5999999999999997E-2</v>
      </c>
      <c r="M106">
        <f>IFERROR(VLOOKUP(all_lmics[[Setting]:[Setting]],prev[],7,FALSE),0)</f>
        <v>5.6122448979591816E-3</v>
      </c>
      <c r="N106">
        <f>IFERROR(VLOOKUP(all_lmics[[Setting]:[Setting]],prev[],6,FALSE),0)</f>
        <v>3717100</v>
      </c>
      <c r="O106">
        <f>IFERROR(VLOOKUP(all_lmics[[Setting]:[Setting]],SBA[],4,FALSE),0)</f>
        <v>0.99900000000000011</v>
      </c>
      <c r="P106">
        <f>IFERROR(VLOOKUP(all_lmics[[Setting]:[Setting]], facility[], 3,FALSE),0)</f>
        <v>0.998</v>
      </c>
      <c r="Q106">
        <f>IFERROR(VLOOKUP(all_lmics[[Setting]:[Setting]],all_cause_mort[],4,FALSE),0)</f>
        <v>9.4546308000000006E-3</v>
      </c>
      <c r="R106">
        <f>IFERROR(VLOOKUP(all_lmics[[Setting]:[Setting]],all_cause_mort[],5,FALSE),0)</f>
        <v>1.9807228E-4</v>
      </c>
      <c r="S106">
        <f>IFERROR(VLOOKUP(all_lmics[[Setting]:[Setting]],all_cause_mort[],6,FALSE),0)</f>
        <v>2.0746067999999999E-4</v>
      </c>
      <c r="T106">
        <f>IFERROR(VLOOKUP(all_lmics[[Setting]:[Setting]],all_cause_mort[],7,FALSE),0)</f>
        <v>2.4017242000000001E-4</v>
      </c>
      <c r="U106">
        <f>IFERROR(VLOOKUP(all_lmics[[Setting]:[Setting]],all_cause_mort[],8,FALSE),0)</f>
        <v>4.5800474E-4</v>
      </c>
      <c r="V106">
        <f>IFERROR(VLOOKUP(all_lmics[[Setting]:[Setting]],all_cause_mort[],9,FALSE),0)</f>
        <v>7.6180599E-4</v>
      </c>
      <c r="W106">
        <f>IFERROR(VLOOKUP(all_lmics[[Setting]:[Setting]],all_cause_mort[],10,FALSE),0)</f>
        <v>9.4038273999999999E-4</v>
      </c>
      <c r="X106">
        <f>IFERROR(VLOOKUP(all_lmics[[Setting]:[Setting]],all_cause_mort[],11,FALSE),0)</f>
        <v>1.4049372000000001E-3</v>
      </c>
      <c r="Y106">
        <f>IFERROR(VLOOKUP(all_lmics[[Setting]:[Setting]],all_cause_mort[],12,FALSE),0)</f>
        <v>1.9982443999999999E-3</v>
      </c>
      <c r="Z106">
        <f>IFERROR(VLOOKUP(all_lmics[[Setting]:[Setting]],all_cause_mort[],13,FALSE),0)</f>
        <v>3.099475E-3</v>
      </c>
      <c r="AA106">
        <f>IFERROR(VLOOKUP(all_lmics[[Setting]:[Setting]],all_cause_mort[],14,FALSE),0)</f>
        <v>5.0938577000000001E-3</v>
      </c>
      <c r="AB106">
        <f>IFERROR(VLOOKUP(all_lmics[[Setting]:[Setting]],all_cause_mort[],15,FALSE),0)</f>
        <v>7.5443478999999997E-3</v>
      </c>
      <c r="AC106">
        <f>IFERROR(VLOOKUP(all_lmics[[Setting]:[Setting]],all_cause_mort[],16,FALSE),0)</f>
        <v>1.1202004E-2</v>
      </c>
      <c r="AD106">
        <f>IFERROR(VLOOKUP(all_lmics[[Setting]:[Setting]],all_cause_mort[],17,FALSE),0)</f>
        <v>1.6347832999999999E-2</v>
      </c>
      <c r="AE106">
        <f>IFERROR(VLOOKUP(all_lmics[[Setting]:[Setting]],all_cause_mort[],18,FALSE),0)</f>
        <v>2.3644893E-2</v>
      </c>
      <c r="AF106">
        <f>IFERROR(VLOOKUP(all_lmics[[Setting]:[Setting]],all_cause_mort[],19,FALSE),0)</f>
        <v>3.9309016000000002E-2</v>
      </c>
      <c r="AG106">
        <f>IFERROR(VLOOKUP(all_lmics[[Setting]:[Setting]],all_cause_mort[],20,FALSE),0)</f>
        <v>6.6808330999999999E-2</v>
      </c>
      <c r="AH106">
        <f>IFERROR(VLOOKUP(all_lmics[[Setting]:[Setting]],all_cause_mort[],21,FALSE),0)</f>
        <v>0.10964259</v>
      </c>
      <c r="AI106">
        <f>IFERROR(VLOOKUP(all_lmics[[Setting]:[Setting]],all_cause_mort[],22,FALSE),0)</f>
        <v>0.17324039999999999</v>
      </c>
      <c r="AJ106">
        <f>IFERROR(VLOOKUP(all_lmics[[Setting]:[Setting]],all_cause_mort[],23,FALSE),0)</f>
        <v>0.26773670999999999</v>
      </c>
      <c r="AK106">
        <f>IFERROR(VLOOKUP(all_lmics[[Setting]:[Setting]],all_cause_mort[],24,FALSE),0)</f>
        <v>0.38496724999999998</v>
      </c>
      <c r="AL106">
        <f>IFERROR(VLOOKUP(all_lmics[[Setting]:[Setting]],all_cause_mort[],25,FALSE),0)</f>
        <v>0.52787808634480704</v>
      </c>
      <c r="AM106">
        <f>VLOOKUP(all_lmics[[worldbank_region]:[worldbank_region]],Table13[],2,FALSE)</f>
        <v>44.525141999999995</v>
      </c>
      <c r="AN106">
        <f>VLOOKUP(all_lmics[[worldbank_region]:[worldbank_region]],Table13[],3,FALSE)</f>
        <v>44.525141999999995</v>
      </c>
      <c r="AO106">
        <f>VLOOKUP(all_lmics[[worldbank_region]:[worldbank_region]],Table13[],4,FALSE)</f>
        <v>92.254001999999986</v>
      </c>
      <c r="AP106">
        <f>VLOOKUP(all_lmics[[worldbank_region]:[worldbank_region]],Table13[],5,FALSE)</f>
        <v>92.254001999999986</v>
      </c>
      <c r="AQ106">
        <f>VLOOKUP(all_lmics[[worldbank_region]:[worldbank_region]],Table13[],6,FALSE)</f>
        <v>92.254001999999986</v>
      </c>
      <c r="AR106">
        <f>VLOOKUP(all_lmics[[worldbank_region]:[worldbank_region]],Table14[],2,FALSE)</f>
        <v>6.4182919999999992</v>
      </c>
      <c r="AS106">
        <f>VLOOKUP(all_lmics[[worldbank_region]:[worldbank_region]],Table14[],3,FALSE)</f>
        <v>7.0357919999999998</v>
      </c>
      <c r="AT106">
        <f>VLOOKUP(all_lmics[[worldbank_region]:[worldbank_region]],Table14[],4,FALSE)</f>
        <v>10.482872999999998</v>
      </c>
      <c r="AU106">
        <f>VLOOKUP(all_lmics[[worldbank_region]:[worldbank_region]],Table14[],5,FALSE)</f>
        <v>11.100372999999999</v>
      </c>
      <c r="AV106">
        <f>VLOOKUP(all_lmics[[worldbank_region]:[worldbank_region]],Table14[],6,FALSE)</f>
        <v>11.670624999999999</v>
      </c>
      <c r="AW106">
        <f>IFERROR(VLOOKUP(all_lmics[[Setting]:[Setting]],nFacSBA[],4,FALSE),0)</f>
        <v>0</v>
      </c>
      <c r="AX106">
        <f>VLOOKUP(all_lmics[[worldbank_region]:[worldbank_region]],hbe[],2)</f>
        <v>0.3</v>
      </c>
      <c r="AY106">
        <f>VLOOKUP(all_lmics[[worldbank_region]:[worldbank_region]],hbe[],5)</f>
        <v>0.875</v>
      </c>
      <c r="AZ106">
        <f>VLOOKUP(all_lmics[[worldbank_region]:[worldbank_region]],hbe[],8)</f>
        <v>0.15</v>
      </c>
    </row>
    <row r="107" spans="1:52" x14ac:dyDescent="0.35">
      <c r="A107" s="12" t="s">
        <v>122</v>
      </c>
      <c r="B107" s="13" t="s">
        <v>10</v>
      </c>
      <c r="C107" s="12" t="s">
        <v>9</v>
      </c>
      <c r="D107" s="14" t="s">
        <v>11</v>
      </c>
      <c r="E107">
        <f>VLOOKUP(all_lmics[[Setting]:[Setting]],populations[],9,FALSE)</f>
        <v>6201500</v>
      </c>
      <c r="F107">
        <f>VLOOKUP(all_lmics[[Setting]:[Setting]],birthrate[],3,FALSE)</f>
        <v>2.5999999999999999E-2</v>
      </c>
      <c r="G107">
        <f>all_lmics[[#This Row],[2017_population]]*all_lmics[[#This Row],[2016_birthrate]]</f>
        <v>161239</v>
      </c>
      <c r="H107">
        <f>VLOOKUP(all_lmics[[Setting]:[Setting]],birthdose[],4,FALSE)</f>
        <v>0.97</v>
      </c>
      <c r="I107">
        <f>VLOOKUP(all_lmics[[Setting]:[Setting]],fullvax[],4,FALSE)</f>
        <v>0.92</v>
      </c>
      <c r="J107">
        <f>IFERROR(VLOOKUP(all_lmics[[Setting]:[Setting]],prev[],3,FALSE),0)</f>
        <v>0.1032</v>
      </c>
      <c r="K107">
        <f>IFERROR(VLOOKUP(all_lmics[[Setting]:[Setting]],prev[],4,FALSE),0)</f>
        <v>8.5599999999999996E-2</v>
      </c>
      <c r="L107">
        <f>IFERROR(VLOOKUP(all_lmics[[Setting]:[Setting]],prev[],5,FALSE),0)</f>
        <v>0.12379999999999999</v>
      </c>
      <c r="M107">
        <f>IFERROR(VLOOKUP(all_lmics[[Setting]:[Setting]],prev[],7,FALSE),0)</f>
        <v>1.0510204081632649E-2</v>
      </c>
      <c r="N107">
        <f>IFERROR(VLOOKUP(all_lmics[[Setting]:[Setting]],prev[],6,FALSE),0)</f>
        <v>5447900</v>
      </c>
      <c r="O107">
        <f>IFERROR(VLOOKUP(all_lmics[[Setting]:[Setting]],SBA[],4,FALSE),0)</f>
        <v>0.9840000000000001</v>
      </c>
      <c r="P107">
        <f>IFERROR(VLOOKUP(all_lmics[[Setting]:[Setting]], facility[], 3,FALSE),0)</f>
        <v>0.98299999999999998</v>
      </c>
      <c r="Q107">
        <f>IFERROR(VLOOKUP(all_lmics[[Setting]:[Setting]],all_cause_mort[],4,FALSE),0)</f>
        <v>1.5727785000000001E-2</v>
      </c>
      <c r="R107">
        <f>IFERROR(VLOOKUP(all_lmics[[Setting]:[Setting]],all_cause_mort[],5,FALSE),0)</f>
        <v>7.1811705999999997E-4</v>
      </c>
      <c r="S107">
        <f>IFERROR(VLOOKUP(all_lmics[[Setting]:[Setting]],all_cause_mort[],6,FALSE),0)</f>
        <v>3.0060545E-4</v>
      </c>
      <c r="T107">
        <f>IFERROR(VLOOKUP(all_lmics[[Setting]:[Setting]],all_cause_mort[],7,FALSE),0)</f>
        <v>3.6132355000000001E-4</v>
      </c>
      <c r="U107">
        <f>IFERROR(VLOOKUP(all_lmics[[Setting]:[Setting]],all_cause_mort[],8,FALSE),0)</f>
        <v>5.6747291999999997E-4</v>
      </c>
      <c r="V107">
        <f>IFERROR(VLOOKUP(all_lmics[[Setting]:[Setting]],all_cause_mort[],9,FALSE),0)</f>
        <v>7.7501877E-4</v>
      </c>
      <c r="W107">
        <f>IFERROR(VLOOKUP(all_lmics[[Setting]:[Setting]],all_cause_mort[],10,FALSE),0)</f>
        <v>9.959079200000001E-4</v>
      </c>
      <c r="X107">
        <f>IFERROR(VLOOKUP(all_lmics[[Setting]:[Setting]],all_cause_mort[],11,FALSE),0)</f>
        <v>1.6006384000000001E-3</v>
      </c>
      <c r="Y107">
        <f>IFERROR(VLOOKUP(all_lmics[[Setting]:[Setting]],all_cause_mort[],12,FALSE),0)</f>
        <v>2.3872924999999998E-3</v>
      </c>
      <c r="Z107">
        <f>IFERROR(VLOOKUP(all_lmics[[Setting]:[Setting]],all_cause_mort[],13,FALSE),0)</f>
        <v>3.6333010999999998E-3</v>
      </c>
      <c r="AA107">
        <f>IFERROR(VLOOKUP(all_lmics[[Setting]:[Setting]],all_cause_mort[],14,FALSE),0)</f>
        <v>5.0741264000000001E-3</v>
      </c>
      <c r="AB107">
        <f>IFERROR(VLOOKUP(all_lmics[[Setting]:[Setting]],all_cause_mort[],15,FALSE),0)</f>
        <v>7.3526902000000003E-3</v>
      </c>
      <c r="AC107">
        <f>IFERROR(VLOOKUP(all_lmics[[Setting]:[Setting]],all_cause_mort[],16,FALSE),0)</f>
        <v>1.0857634999999999E-2</v>
      </c>
      <c r="AD107">
        <f>IFERROR(VLOOKUP(all_lmics[[Setting]:[Setting]],all_cause_mort[],17,FALSE),0)</f>
        <v>1.7382872000000001E-2</v>
      </c>
      <c r="AE107">
        <f>IFERROR(VLOOKUP(all_lmics[[Setting]:[Setting]],all_cause_mort[],18,FALSE),0)</f>
        <v>2.5685850999999999E-2</v>
      </c>
      <c r="AF107">
        <f>IFERROR(VLOOKUP(all_lmics[[Setting]:[Setting]],all_cause_mort[],19,FALSE),0)</f>
        <v>5.4997487999999997E-2</v>
      </c>
      <c r="AG107">
        <f>IFERROR(VLOOKUP(all_lmics[[Setting]:[Setting]],all_cause_mort[],20,FALSE),0)</f>
        <v>0.10414904</v>
      </c>
      <c r="AH107">
        <f>IFERROR(VLOOKUP(all_lmics[[Setting]:[Setting]],all_cause_mort[],21,FALSE),0)</f>
        <v>0.14897086000000001</v>
      </c>
      <c r="AI107">
        <f>IFERROR(VLOOKUP(all_lmics[[Setting]:[Setting]],all_cause_mort[],22,FALSE),0)</f>
        <v>0.19453814999999999</v>
      </c>
      <c r="AJ107">
        <f>IFERROR(VLOOKUP(all_lmics[[Setting]:[Setting]],all_cause_mort[],23,FALSE),0)</f>
        <v>0.23881168</v>
      </c>
      <c r="AK107">
        <f>IFERROR(VLOOKUP(all_lmics[[Setting]:[Setting]],all_cause_mort[],24,FALSE),0)</f>
        <v>0.29880145000000002</v>
      </c>
      <c r="AL107">
        <f>IFERROR(VLOOKUP(all_lmics[[Setting]:[Setting]],all_cause_mort[],25,FALSE),0)</f>
        <v>0.43965534713889198</v>
      </c>
      <c r="AM107">
        <f>VLOOKUP(all_lmics[[worldbank_region]:[worldbank_region]],Table13[],2,FALSE)</f>
        <v>44.525141999999995</v>
      </c>
      <c r="AN107">
        <f>VLOOKUP(all_lmics[[worldbank_region]:[worldbank_region]],Table13[],3,FALSE)</f>
        <v>44.525141999999995</v>
      </c>
      <c r="AO107">
        <f>VLOOKUP(all_lmics[[worldbank_region]:[worldbank_region]],Table13[],4,FALSE)</f>
        <v>92.254001999999986</v>
      </c>
      <c r="AP107">
        <f>VLOOKUP(all_lmics[[worldbank_region]:[worldbank_region]],Table13[],5,FALSE)</f>
        <v>92.254001999999986</v>
      </c>
      <c r="AQ107">
        <f>VLOOKUP(all_lmics[[worldbank_region]:[worldbank_region]],Table13[],6,FALSE)</f>
        <v>92.254001999999986</v>
      </c>
      <c r="AR107">
        <f>VLOOKUP(all_lmics[[worldbank_region]:[worldbank_region]],Table14[],2,FALSE)</f>
        <v>6.4182919999999992</v>
      </c>
      <c r="AS107">
        <f>VLOOKUP(all_lmics[[worldbank_region]:[worldbank_region]],Table14[],3,FALSE)</f>
        <v>7.0357919999999998</v>
      </c>
      <c r="AT107">
        <f>VLOOKUP(all_lmics[[worldbank_region]:[worldbank_region]],Table14[],4,FALSE)</f>
        <v>10.482872999999998</v>
      </c>
      <c r="AU107">
        <f>VLOOKUP(all_lmics[[worldbank_region]:[worldbank_region]],Table14[],5,FALSE)</f>
        <v>11.100372999999999</v>
      </c>
      <c r="AV107">
        <f>VLOOKUP(all_lmics[[worldbank_region]:[worldbank_region]],Table14[],6,FALSE)</f>
        <v>11.670624999999999</v>
      </c>
      <c r="AW107">
        <f>IFERROR(VLOOKUP(all_lmics[[Setting]:[Setting]],nFacSBA[],4,FALSE),0)</f>
        <v>0</v>
      </c>
      <c r="AX107">
        <f>VLOOKUP(all_lmics[[worldbank_region]:[worldbank_region]],hbe[],2)</f>
        <v>0.3</v>
      </c>
      <c r="AY107">
        <f>VLOOKUP(all_lmics[[worldbank_region]:[worldbank_region]],hbe[],5)</f>
        <v>0.875</v>
      </c>
      <c r="AZ107">
        <f>VLOOKUP(all_lmics[[worldbank_region]:[worldbank_region]],hbe[],8)</f>
        <v>0.15</v>
      </c>
    </row>
    <row r="108" spans="1:52" x14ac:dyDescent="0.35">
      <c r="A108" s="12" t="s">
        <v>166</v>
      </c>
      <c r="B108" s="13" t="s">
        <v>10</v>
      </c>
      <c r="C108" s="12" t="s">
        <v>9</v>
      </c>
      <c r="D108" s="14" t="s">
        <v>11</v>
      </c>
      <c r="E108">
        <f>VLOOKUP(all_lmics[[Setting]:[Setting]],populations[],9,FALSE)</f>
        <v>37975841</v>
      </c>
      <c r="F108">
        <f>VLOOKUP(all_lmics[[Setting]:[Setting]],birthrate[],3,FALSE)</f>
        <v>1.01E-2</v>
      </c>
      <c r="G108">
        <f>all_lmics[[#This Row],[2017_population]]*all_lmics[[#This Row],[2016_birthrate]]</f>
        <v>383555.99410000001</v>
      </c>
      <c r="H108">
        <f>VLOOKUP(all_lmics[[Setting]:[Setting]],birthdose[],4,FALSE)</f>
        <v>0.93</v>
      </c>
      <c r="I108">
        <f>VLOOKUP(all_lmics[[Setting]:[Setting]],fullvax[],4,FALSE)</f>
        <v>0.95</v>
      </c>
      <c r="J108">
        <f>IFERROR(VLOOKUP(all_lmics[[Setting]:[Setting]],prev[],3,FALSE),0)</f>
        <v>8.9999999999999993E-3</v>
      </c>
      <c r="K108">
        <f>IFERROR(VLOOKUP(all_lmics[[Setting]:[Setting]],prev[],4,FALSE),0)</f>
        <v>7.0000000000000001E-3</v>
      </c>
      <c r="L108">
        <f>IFERROR(VLOOKUP(all_lmics[[Setting]:[Setting]],prev[],5,FALSE),0)</f>
        <v>1.0999999999999999E-2</v>
      </c>
      <c r="M108">
        <f>IFERROR(VLOOKUP(all_lmics[[Setting]:[Setting]],prev[],7,FALSE),0)</f>
        <v>1.0204081632653062E-3</v>
      </c>
      <c r="N108">
        <f>IFERROR(VLOOKUP(all_lmics[[Setting]:[Setting]],prev[],6,FALSE),0)</f>
        <v>37975841</v>
      </c>
      <c r="O108">
        <f>IFERROR(VLOOKUP(all_lmics[[Setting]:[Setting]],SBA[],4,FALSE),0)</f>
        <v>0.998</v>
      </c>
      <c r="P108">
        <f>IFERROR(VLOOKUP(all_lmics[[Setting]:[Setting]], facility[], 3,FALSE),0)</f>
        <v>0.998</v>
      </c>
      <c r="Q108">
        <f>IFERROR(VLOOKUP(all_lmics[[Setting]:[Setting]],all_cause_mort[],4,FALSE),0)</f>
        <v>3.2868499E-3</v>
      </c>
      <c r="R108">
        <f>IFERROR(VLOOKUP(all_lmics[[Setting]:[Setting]],all_cause_mort[],5,FALSE),0)</f>
        <v>1.4441934000000001E-4</v>
      </c>
      <c r="S108">
        <f>IFERROR(VLOOKUP(all_lmics[[Setting]:[Setting]],all_cause_mort[],6,FALSE),0)</f>
        <v>8.0743470999999998E-5</v>
      </c>
      <c r="T108">
        <f>IFERROR(VLOOKUP(all_lmics[[Setting]:[Setting]],all_cause_mort[],7,FALSE),0)</f>
        <v>1.1545408E-4</v>
      </c>
      <c r="U108">
        <f>IFERROR(VLOOKUP(all_lmics[[Setting]:[Setting]],all_cause_mort[],8,FALSE),0)</f>
        <v>3.4240079999999998E-4</v>
      </c>
      <c r="V108">
        <f>IFERROR(VLOOKUP(all_lmics[[Setting]:[Setting]],all_cause_mort[],9,FALSE),0)</f>
        <v>5.4388965999999995E-4</v>
      </c>
      <c r="W108">
        <f>IFERROR(VLOOKUP(all_lmics[[Setting]:[Setting]],all_cause_mort[],10,FALSE),0)</f>
        <v>6.0641749000000004E-4</v>
      </c>
      <c r="X108">
        <f>IFERROR(VLOOKUP(all_lmics[[Setting]:[Setting]],all_cause_mort[],11,FALSE),0)</f>
        <v>7.9691007999999996E-4</v>
      </c>
      <c r="Y108">
        <f>IFERROR(VLOOKUP(all_lmics[[Setting]:[Setting]],all_cause_mort[],12,FALSE),0)</f>
        <v>1.1931641000000001E-3</v>
      </c>
      <c r="Z108">
        <f>IFERROR(VLOOKUP(all_lmics[[Setting]:[Setting]],all_cause_mort[],13,FALSE),0)</f>
        <v>1.9504971000000001E-3</v>
      </c>
      <c r="AA108">
        <f>IFERROR(VLOOKUP(all_lmics[[Setting]:[Setting]],all_cause_mort[],14,FALSE),0)</f>
        <v>3.3166645000000002E-3</v>
      </c>
      <c r="AB108">
        <f>IFERROR(VLOOKUP(all_lmics[[Setting]:[Setting]],all_cause_mort[],15,FALSE),0)</f>
        <v>5.5350829000000001E-3</v>
      </c>
      <c r="AC108">
        <f>IFERROR(VLOOKUP(all_lmics[[Setting]:[Setting]],all_cause_mort[],16,FALSE),0)</f>
        <v>8.7180399999999998E-3</v>
      </c>
      <c r="AD108">
        <f>IFERROR(VLOOKUP(all_lmics[[Setting]:[Setting]],all_cause_mort[],17,FALSE),0)</f>
        <v>1.2937382000000001E-2</v>
      </c>
      <c r="AE108">
        <f>IFERROR(VLOOKUP(all_lmics[[Setting]:[Setting]],all_cause_mort[],18,FALSE),0)</f>
        <v>1.815172E-2</v>
      </c>
      <c r="AF108">
        <f>IFERROR(VLOOKUP(all_lmics[[Setting]:[Setting]],all_cause_mort[],19,FALSE),0)</f>
        <v>2.5476608000000001E-2</v>
      </c>
      <c r="AG108">
        <f>IFERROR(VLOOKUP(all_lmics[[Setting]:[Setting]],all_cause_mort[],20,FALSE),0)</f>
        <v>3.9213273E-2</v>
      </c>
      <c r="AH108">
        <f>IFERROR(VLOOKUP(all_lmics[[Setting]:[Setting]],all_cause_mort[],21,FALSE),0)</f>
        <v>6.5766910999999997E-2</v>
      </c>
      <c r="AI108">
        <f>IFERROR(VLOOKUP(all_lmics[[Setting]:[Setting]],all_cause_mort[],22,FALSE),0)</f>
        <v>0.10937877</v>
      </c>
      <c r="AJ108">
        <f>IFERROR(VLOOKUP(all_lmics[[Setting]:[Setting]],all_cause_mort[],23,FALSE),0)</f>
        <v>0.17670791999999999</v>
      </c>
      <c r="AK108">
        <f>IFERROR(VLOOKUP(all_lmics[[Setting]:[Setting]],all_cause_mort[],24,FALSE),0)</f>
        <v>0.26991391999999997</v>
      </c>
      <c r="AL108">
        <f>IFERROR(VLOOKUP(all_lmics[[Setting]:[Setting]],all_cause_mort[],25,FALSE),0)</f>
        <v>0.40399169651626698</v>
      </c>
      <c r="AM108">
        <f>VLOOKUP(all_lmics[[worldbank_region]:[worldbank_region]],Table13[],2,FALSE)</f>
        <v>44.525141999999995</v>
      </c>
      <c r="AN108">
        <f>VLOOKUP(all_lmics[[worldbank_region]:[worldbank_region]],Table13[],3,FALSE)</f>
        <v>44.525141999999995</v>
      </c>
      <c r="AO108">
        <f>VLOOKUP(all_lmics[[worldbank_region]:[worldbank_region]],Table13[],4,FALSE)</f>
        <v>92.254001999999986</v>
      </c>
      <c r="AP108">
        <f>VLOOKUP(all_lmics[[worldbank_region]:[worldbank_region]],Table13[],5,FALSE)</f>
        <v>92.254001999999986</v>
      </c>
      <c r="AQ108">
        <f>VLOOKUP(all_lmics[[worldbank_region]:[worldbank_region]],Table13[],6,FALSE)</f>
        <v>92.254001999999986</v>
      </c>
      <c r="AR108">
        <f>VLOOKUP(all_lmics[[worldbank_region]:[worldbank_region]],Table14[],2,FALSE)</f>
        <v>6.4182919999999992</v>
      </c>
      <c r="AS108">
        <f>VLOOKUP(all_lmics[[worldbank_region]:[worldbank_region]],Table14[],3,FALSE)</f>
        <v>7.0357919999999998</v>
      </c>
      <c r="AT108">
        <f>VLOOKUP(all_lmics[[worldbank_region]:[worldbank_region]],Table14[],4,FALSE)</f>
        <v>10.482872999999998</v>
      </c>
      <c r="AU108">
        <f>VLOOKUP(all_lmics[[worldbank_region]:[worldbank_region]],Table14[],5,FALSE)</f>
        <v>11.100372999999999</v>
      </c>
      <c r="AV108">
        <f>VLOOKUP(all_lmics[[worldbank_region]:[worldbank_region]],Table14[],6,FALSE)</f>
        <v>11.670624999999999</v>
      </c>
      <c r="AW108">
        <f>IFERROR(VLOOKUP(all_lmics[[Setting]:[Setting]],nFacSBA[],4,FALSE),0)</f>
        <v>0</v>
      </c>
      <c r="AX108">
        <f>VLOOKUP(all_lmics[[worldbank_region]:[worldbank_region]],hbe[],2)</f>
        <v>0.3</v>
      </c>
      <c r="AY108">
        <f>VLOOKUP(all_lmics[[worldbank_region]:[worldbank_region]],hbe[],5)</f>
        <v>0.875</v>
      </c>
      <c r="AZ108">
        <f>VLOOKUP(all_lmics[[worldbank_region]:[worldbank_region]],hbe[],8)</f>
        <v>0.15</v>
      </c>
    </row>
    <row r="109" spans="1:52" x14ac:dyDescent="0.35">
      <c r="A109" s="8" t="s">
        <v>171</v>
      </c>
      <c r="B109" s="10" t="s">
        <v>10</v>
      </c>
      <c r="C109" s="8" t="s">
        <v>9</v>
      </c>
      <c r="D109" s="11" t="s">
        <v>11</v>
      </c>
      <c r="E109">
        <f>VLOOKUP(all_lmics[[Setting]:[Setting]],populations[],9,FALSE)</f>
        <v>19586539</v>
      </c>
      <c r="F109">
        <f>VLOOKUP(all_lmics[[Setting]:[Setting]],birthrate[],3,FALSE)</f>
        <v>9.5999999999999992E-3</v>
      </c>
      <c r="G109">
        <f>all_lmics[[#This Row],[2017_population]]*all_lmics[[#This Row],[2016_birthrate]]</f>
        <v>188030.77439999999</v>
      </c>
      <c r="H109">
        <f>VLOOKUP(all_lmics[[Setting]:[Setting]],birthdose[],4,FALSE)</f>
        <v>0.93</v>
      </c>
      <c r="I109">
        <f>VLOOKUP(all_lmics[[Setting]:[Setting]],fullvax[],4,FALSE)</f>
        <v>0.92</v>
      </c>
      <c r="J109">
        <f>IFERROR(VLOOKUP(all_lmics[[Setting]:[Setting]],prev[],3,FALSE),0)</f>
        <v>3.4000000000000002E-2</v>
      </c>
      <c r="K109">
        <f>IFERROR(VLOOKUP(all_lmics[[Setting]:[Setting]],prev[],4,FALSE),0)</f>
        <v>3.2000000000000001E-2</v>
      </c>
      <c r="L109">
        <f>IFERROR(VLOOKUP(all_lmics[[Setting]:[Setting]],prev[],5,FALSE),0)</f>
        <v>3.6999999999999998E-2</v>
      </c>
      <c r="M109">
        <f>IFERROR(VLOOKUP(all_lmics[[Setting]:[Setting]],prev[],7,FALSE),0)</f>
        <v>1.5306122448979569E-3</v>
      </c>
      <c r="N109">
        <f>IFERROR(VLOOKUP(all_lmics[[Setting]:[Setting]],prev[],6,FALSE),0)</f>
        <v>19586539</v>
      </c>
      <c r="O109">
        <f>IFERROR(VLOOKUP(all_lmics[[Setting]:[Setting]],SBA[],4,FALSE),0)</f>
        <v>0.95200000000000007</v>
      </c>
      <c r="P109">
        <f>IFERROR(VLOOKUP(all_lmics[[Setting]:[Setting]], facility[], 3,FALSE),0)</f>
        <v>0.94900000000000007</v>
      </c>
      <c r="Q109">
        <f>IFERROR(VLOOKUP(all_lmics[[Setting]:[Setting]],all_cause_mort[],4,FALSE),0)</f>
        <v>6.7261932999999998E-3</v>
      </c>
      <c r="R109">
        <f>IFERROR(VLOOKUP(all_lmics[[Setting]:[Setting]],all_cause_mort[],5,FALSE),0)</f>
        <v>3.0340724999999998E-4</v>
      </c>
      <c r="S109">
        <f>IFERROR(VLOOKUP(all_lmics[[Setting]:[Setting]],all_cause_mort[],6,FALSE),0)</f>
        <v>1.4255436E-4</v>
      </c>
      <c r="T109">
        <f>IFERROR(VLOOKUP(all_lmics[[Setting]:[Setting]],all_cause_mort[],7,FALSE),0)</f>
        <v>1.9492794E-4</v>
      </c>
      <c r="U109">
        <f>IFERROR(VLOOKUP(all_lmics[[Setting]:[Setting]],all_cause_mort[],8,FALSE),0)</f>
        <v>3.6145421999999997E-4</v>
      </c>
      <c r="V109">
        <f>IFERROR(VLOOKUP(all_lmics[[Setting]:[Setting]],all_cause_mort[],9,FALSE),0)</f>
        <v>4.6977742E-4</v>
      </c>
      <c r="W109">
        <f>IFERROR(VLOOKUP(all_lmics[[Setting]:[Setting]],all_cause_mort[],10,FALSE),0)</f>
        <v>6.5225114000000005E-4</v>
      </c>
      <c r="X109">
        <f>IFERROR(VLOOKUP(all_lmics[[Setting]:[Setting]],all_cause_mort[],11,FALSE),0)</f>
        <v>7.4660329999999997E-4</v>
      </c>
      <c r="Y109">
        <f>IFERROR(VLOOKUP(all_lmics[[Setting]:[Setting]],all_cause_mort[],12,FALSE),0)</f>
        <v>1.2057799E-3</v>
      </c>
      <c r="Z109">
        <f>IFERROR(VLOOKUP(all_lmics[[Setting]:[Setting]],all_cause_mort[],13,FALSE),0)</f>
        <v>2.2559578000000001E-3</v>
      </c>
      <c r="AA109">
        <f>IFERROR(VLOOKUP(all_lmics[[Setting]:[Setting]],all_cause_mort[],14,FALSE),0)</f>
        <v>3.5659852999999999E-3</v>
      </c>
      <c r="AB109">
        <f>IFERROR(VLOOKUP(all_lmics[[Setting]:[Setting]],all_cause_mort[],15,FALSE),0)</f>
        <v>6.4333741999999996E-3</v>
      </c>
      <c r="AC109">
        <f>IFERROR(VLOOKUP(all_lmics[[Setting]:[Setting]],all_cause_mort[],16,FALSE),0)</f>
        <v>1.0907198E-2</v>
      </c>
      <c r="AD109">
        <f>IFERROR(VLOOKUP(all_lmics[[Setting]:[Setting]],all_cause_mort[],17,FALSE),0)</f>
        <v>1.5947491000000001E-2</v>
      </c>
      <c r="AE109">
        <f>IFERROR(VLOOKUP(all_lmics[[Setting]:[Setting]],all_cause_mort[],18,FALSE),0)</f>
        <v>2.0975173E-2</v>
      </c>
      <c r="AF109">
        <f>IFERROR(VLOOKUP(all_lmics[[Setting]:[Setting]],all_cause_mort[],19,FALSE),0)</f>
        <v>3.1056001E-2</v>
      </c>
      <c r="AG109">
        <f>IFERROR(VLOOKUP(all_lmics[[Setting]:[Setting]],all_cause_mort[],20,FALSE),0)</f>
        <v>5.1986715000000003E-2</v>
      </c>
      <c r="AH109">
        <f>IFERROR(VLOOKUP(all_lmics[[Setting]:[Setting]],all_cause_mort[],21,FALSE),0)</f>
        <v>8.9787669000000001E-2</v>
      </c>
      <c r="AI109">
        <f>IFERROR(VLOOKUP(all_lmics[[Setting]:[Setting]],all_cause_mort[],22,FALSE),0)</f>
        <v>0.15165044</v>
      </c>
      <c r="AJ109">
        <f>IFERROR(VLOOKUP(all_lmics[[Setting]:[Setting]],all_cause_mort[],23,FALSE),0)</f>
        <v>0.23939450000000001</v>
      </c>
      <c r="AK109">
        <f>IFERROR(VLOOKUP(all_lmics[[Setting]:[Setting]],all_cause_mort[],24,FALSE),0)</f>
        <v>0.34927784000000001</v>
      </c>
      <c r="AL109">
        <f>IFERROR(VLOOKUP(all_lmics[[Setting]:[Setting]],all_cause_mort[],25,FALSE),0)</f>
        <v>0.490322624932366</v>
      </c>
      <c r="AM109">
        <f>VLOOKUP(all_lmics[[worldbank_region]:[worldbank_region]],Table13[],2,FALSE)</f>
        <v>44.525141999999995</v>
      </c>
      <c r="AN109">
        <f>VLOOKUP(all_lmics[[worldbank_region]:[worldbank_region]],Table13[],3,FALSE)</f>
        <v>44.525141999999995</v>
      </c>
      <c r="AO109">
        <f>VLOOKUP(all_lmics[[worldbank_region]:[worldbank_region]],Table13[],4,FALSE)</f>
        <v>92.254001999999986</v>
      </c>
      <c r="AP109">
        <f>VLOOKUP(all_lmics[[worldbank_region]:[worldbank_region]],Table13[],5,FALSE)</f>
        <v>92.254001999999986</v>
      </c>
      <c r="AQ109">
        <f>VLOOKUP(all_lmics[[worldbank_region]:[worldbank_region]],Table13[],6,FALSE)</f>
        <v>92.254001999999986</v>
      </c>
      <c r="AR109">
        <f>VLOOKUP(all_lmics[[worldbank_region]:[worldbank_region]],Table14[],2,FALSE)</f>
        <v>6.4182919999999992</v>
      </c>
      <c r="AS109">
        <f>VLOOKUP(all_lmics[[worldbank_region]:[worldbank_region]],Table14[],3,FALSE)</f>
        <v>7.0357919999999998</v>
      </c>
      <c r="AT109">
        <f>VLOOKUP(all_lmics[[worldbank_region]:[worldbank_region]],Table14[],4,FALSE)</f>
        <v>10.482872999999998</v>
      </c>
      <c r="AU109">
        <f>VLOOKUP(all_lmics[[worldbank_region]:[worldbank_region]],Table14[],5,FALSE)</f>
        <v>11.100372999999999</v>
      </c>
      <c r="AV109">
        <f>VLOOKUP(all_lmics[[worldbank_region]:[worldbank_region]],Table14[],6,FALSE)</f>
        <v>11.670624999999999</v>
      </c>
      <c r="AW109">
        <f>IFERROR(VLOOKUP(all_lmics[[Setting]:[Setting]],nFacSBA[],4,FALSE),0)</f>
        <v>0</v>
      </c>
      <c r="AX109">
        <f>VLOOKUP(all_lmics[[worldbank_region]:[worldbank_region]],hbe[],2)</f>
        <v>0.3</v>
      </c>
      <c r="AY109">
        <f>VLOOKUP(all_lmics[[worldbank_region]:[worldbank_region]],hbe[],5)</f>
        <v>0.875</v>
      </c>
      <c r="AZ109">
        <f>VLOOKUP(all_lmics[[worldbank_region]:[worldbank_region]],hbe[],8)</f>
        <v>0.15</v>
      </c>
    </row>
    <row r="110" spans="1:52" x14ac:dyDescent="0.35">
      <c r="A110" s="12" t="s">
        <v>186</v>
      </c>
      <c r="B110" s="13" t="s">
        <v>10</v>
      </c>
      <c r="C110" s="12" t="s">
        <v>9</v>
      </c>
      <c r="D110" s="14" t="s">
        <v>11</v>
      </c>
      <c r="E110">
        <f>VLOOKUP(all_lmics[[Setting]:[Setting]],populations[],9,FALSE)</f>
        <v>5439892</v>
      </c>
      <c r="F110">
        <f>VLOOKUP(all_lmics[[Setting]:[Setting]],birthrate[],3,FALSE)</f>
        <v>1.06E-2</v>
      </c>
      <c r="G110">
        <f>all_lmics[[#This Row],[2017_population]]*all_lmics[[#This Row],[2016_birthrate]]</f>
        <v>57662.855199999998</v>
      </c>
      <c r="H110">
        <f>VLOOKUP(all_lmics[[Setting]:[Setting]],birthdose[],4,FALSE)</f>
        <v>0</v>
      </c>
      <c r="I110">
        <f>VLOOKUP(all_lmics[[Setting]:[Setting]],fullvax[],4,FALSE)</f>
        <v>0.96</v>
      </c>
      <c r="J110">
        <f>IFERROR(VLOOKUP(all_lmics[[Setting]:[Setting]],prev[],3,FALSE),0)</f>
        <v>1.6E-2</v>
      </c>
      <c r="K110">
        <f>IFERROR(VLOOKUP(all_lmics[[Setting]:[Setting]],prev[],4,FALSE),0)</f>
        <v>7.0000000000000001E-3</v>
      </c>
      <c r="L110">
        <f>IFERROR(VLOOKUP(all_lmics[[Setting]:[Setting]],prev[],5,FALSE),0)</f>
        <v>1.7999999999999999E-2</v>
      </c>
      <c r="M110">
        <f>IFERROR(VLOOKUP(all_lmics[[Setting]:[Setting]],prev[],7,FALSE),0)</f>
        <v>1.0204081632653053E-3</v>
      </c>
      <c r="N110">
        <f>IFERROR(VLOOKUP(all_lmics[[Setting]:[Setting]],prev[],6,FALSE),0)</f>
        <v>5439892</v>
      </c>
      <c r="O110">
        <f>IFERROR(VLOOKUP(all_lmics[[Setting]:[Setting]],SBA[],4,FALSE),0)</f>
        <v>0.98499999999999999</v>
      </c>
      <c r="P110">
        <f>IFERROR(VLOOKUP(all_lmics[[Setting]:[Setting]], facility[], 3,FALSE),0)</f>
        <v>0</v>
      </c>
      <c r="Q110">
        <f>IFERROR(VLOOKUP(all_lmics[[Setting]:[Setting]],all_cause_mort[],4,FALSE),0)</f>
        <v>4.7810960999999999E-3</v>
      </c>
      <c r="R110">
        <f>IFERROR(VLOOKUP(all_lmics[[Setting]:[Setting]],all_cause_mort[],5,FALSE),0)</f>
        <v>2.3301611999999999E-4</v>
      </c>
      <c r="S110">
        <f>IFERROR(VLOOKUP(all_lmics[[Setting]:[Setting]],all_cause_mort[],6,FALSE),0)</f>
        <v>1.1320912E-4</v>
      </c>
      <c r="T110">
        <f>IFERROR(VLOOKUP(all_lmics[[Setting]:[Setting]],all_cause_mort[],7,FALSE),0)</f>
        <v>1.2963436E-4</v>
      </c>
      <c r="U110">
        <f>IFERROR(VLOOKUP(all_lmics[[Setting]:[Setting]],all_cause_mort[],8,FALSE),0)</f>
        <v>3.468419E-4</v>
      </c>
      <c r="V110">
        <f>IFERROR(VLOOKUP(all_lmics[[Setting]:[Setting]],all_cause_mort[],9,FALSE),0)</f>
        <v>4.9431408000000004E-4</v>
      </c>
      <c r="W110">
        <f>IFERROR(VLOOKUP(all_lmics[[Setting]:[Setting]],all_cause_mort[],10,FALSE),0)</f>
        <v>5.5980380000000005E-4</v>
      </c>
      <c r="X110">
        <f>IFERROR(VLOOKUP(all_lmics[[Setting]:[Setting]],all_cause_mort[],11,FALSE),0)</f>
        <v>7.2783338E-4</v>
      </c>
      <c r="Y110">
        <f>IFERROR(VLOOKUP(all_lmics[[Setting]:[Setting]],all_cause_mort[],12,FALSE),0)</f>
        <v>1.0861054999999999E-3</v>
      </c>
      <c r="Z110">
        <f>IFERROR(VLOOKUP(all_lmics[[Setting]:[Setting]],all_cause_mort[],13,FALSE),0)</f>
        <v>1.8135708999999999E-3</v>
      </c>
      <c r="AA110">
        <f>IFERROR(VLOOKUP(all_lmics[[Setting]:[Setting]],all_cause_mort[],14,FALSE),0)</f>
        <v>3.1116971000000001E-3</v>
      </c>
      <c r="AB110">
        <f>IFERROR(VLOOKUP(all_lmics[[Setting]:[Setting]],all_cause_mort[],15,FALSE),0)</f>
        <v>5.422362E-3</v>
      </c>
      <c r="AC110">
        <f>IFERROR(VLOOKUP(all_lmics[[Setting]:[Setting]],all_cause_mort[],16,FALSE),0)</f>
        <v>8.4119841000000004E-3</v>
      </c>
      <c r="AD110">
        <f>IFERROR(VLOOKUP(all_lmics[[Setting]:[Setting]],all_cause_mort[],17,FALSE),0)</f>
        <v>1.3451371E-2</v>
      </c>
      <c r="AE110">
        <f>IFERROR(VLOOKUP(all_lmics[[Setting]:[Setting]],all_cause_mort[],18,FALSE),0)</f>
        <v>1.8940954999999999E-2</v>
      </c>
      <c r="AF110">
        <f>IFERROR(VLOOKUP(all_lmics[[Setting]:[Setting]],all_cause_mort[],19,FALSE),0)</f>
        <v>2.8285491999999999E-2</v>
      </c>
      <c r="AG110">
        <f>IFERROR(VLOOKUP(all_lmics[[Setting]:[Setting]],all_cause_mort[],20,FALSE),0)</f>
        <v>4.5669538000000003E-2</v>
      </c>
      <c r="AH110">
        <f>IFERROR(VLOOKUP(all_lmics[[Setting]:[Setting]],all_cause_mort[],21,FALSE),0)</f>
        <v>8.2348149999999995E-2</v>
      </c>
      <c r="AI110">
        <f>IFERROR(VLOOKUP(all_lmics[[Setting]:[Setting]],all_cause_mort[],22,FALSE),0)</f>
        <v>0.14435397</v>
      </c>
      <c r="AJ110">
        <f>IFERROR(VLOOKUP(all_lmics[[Setting]:[Setting]],all_cause_mort[],23,FALSE),0)</f>
        <v>0.25274701999999999</v>
      </c>
      <c r="AK110">
        <f>IFERROR(VLOOKUP(all_lmics[[Setting]:[Setting]],all_cause_mort[],24,FALSE),0)</f>
        <v>0.39711840999999998</v>
      </c>
      <c r="AL110">
        <f>IFERROR(VLOOKUP(all_lmics[[Setting]:[Setting]],all_cause_mort[],25,FALSE),0)</f>
        <v>0.53873023223690597</v>
      </c>
      <c r="AM110">
        <f>VLOOKUP(all_lmics[[worldbank_region]:[worldbank_region]],Table13[],2,FALSE)</f>
        <v>44.525141999999995</v>
      </c>
      <c r="AN110">
        <f>VLOOKUP(all_lmics[[worldbank_region]:[worldbank_region]],Table13[],3,FALSE)</f>
        <v>44.525141999999995</v>
      </c>
      <c r="AO110">
        <f>VLOOKUP(all_lmics[[worldbank_region]:[worldbank_region]],Table13[],4,FALSE)</f>
        <v>92.254001999999986</v>
      </c>
      <c r="AP110">
        <f>VLOOKUP(all_lmics[[worldbank_region]:[worldbank_region]],Table13[],5,FALSE)</f>
        <v>92.254001999999986</v>
      </c>
      <c r="AQ110">
        <f>VLOOKUP(all_lmics[[worldbank_region]:[worldbank_region]],Table13[],6,FALSE)</f>
        <v>92.254001999999986</v>
      </c>
      <c r="AR110">
        <f>VLOOKUP(all_lmics[[worldbank_region]:[worldbank_region]],Table14[],2,FALSE)</f>
        <v>6.4182919999999992</v>
      </c>
      <c r="AS110">
        <f>VLOOKUP(all_lmics[[worldbank_region]:[worldbank_region]],Table14[],3,FALSE)</f>
        <v>7.0357919999999998</v>
      </c>
      <c r="AT110">
        <f>VLOOKUP(all_lmics[[worldbank_region]:[worldbank_region]],Table14[],4,FALSE)</f>
        <v>10.482872999999998</v>
      </c>
      <c r="AU110">
        <f>VLOOKUP(all_lmics[[worldbank_region]:[worldbank_region]],Table14[],5,FALSE)</f>
        <v>11.100372999999999</v>
      </c>
      <c r="AV110">
        <f>VLOOKUP(all_lmics[[worldbank_region]:[worldbank_region]],Table14[],6,FALSE)</f>
        <v>11.670624999999999</v>
      </c>
      <c r="AW110">
        <f>IFERROR(VLOOKUP(all_lmics[[Setting]:[Setting]],nFacSBA[],4,FALSE),0)</f>
        <v>0</v>
      </c>
      <c r="AX110">
        <f>VLOOKUP(all_lmics[[worldbank_region]:[worldbank_region]],hbe[],2)</f>
        <v>0.3</v>
      </c>
      <c r="AY110">
        <f>VLOOKUP(all_lmics[[worldbank_region]:[worldbank_region]],hbe[],5)</f>
        <v>0.875</v>
      </c>
      <c r="AZ110">
        <f>VLOOKUP(all_lmics[[worldbank_region]:[worldbank_region]],hbe[],8)</f>
        <v>0.15</v>
      </c>
    </row>
    <row r="111" spans="1:52" x14ac:dyDescent="0.35">
      <c r="A111" s="12" t="s">
        <v>200</v>
      </c>
      <c r="B111" s="13" t="s">
        <v>10</v>
      </c>
      <c r="C111" s="12" t="s">
        <v>9</v>
      </c>
      <c r="D111" s="14" t="s">
        <v>11</v>
      </c>
      <c r="E111">
        <f>VLOOKUP(all_lmics[[Setting]:[Setting]],populations[],9,FALSE)</f>
        <v>8921343</v>
      </c>
      <c r="F111">
        <f>VLOOKUP(all_lmics[[Setting]:[Setting]],birthrate[],3,FALSE)</f>
        <v>2.8842E-2</v>
      </c>
      <c r="G111">
        <f>all_lmics[[#This Row],[2017_population]]*all_lmics[[#This Row],[2016_birthrate]]</f>
        <v>257309.37480600001</v>
      </c>
      <c r="H111">
        <f>VLOOKUP(all_lmics[[Setting]:[Setting]],birthdose[],4,FALSE)</f>
        <v>0.99</v>
      </c>
      <c r="I111">
        <f>VLOOKUP(all_lmics[[Setting]:[Setting]],fullvax[],4,FALSE)</f>
        <v>0.96</v>
      </c>
      <c r="J111">
        <f>IFERROR(VLOOKUP(all_lmics[[Setting]:[Setting]],prev[],3,FALSE),0)</f>
        <v>6.7000000000000004E-2</v>
      </c>
      <c r="K111">
        <f>IFERROR(VLOOKUP(all_lmics[[Setting]:[Setting]],prev[],4,FALSE),0)</f>
        <v>5.6000000000000001E-2</v>
      </c>
      <c r="L111">
        <f>IFERROR(VLOOKUP(all_lmics[[Setting]:[Setting]],prev[],5,FALSE),0)</f>
        <v>8.5999999999999993E-2</v>
      </c>
      <c r="M111">
        <f>IFERROR(VLOOKUP(all_lmics[[Setting]:[Setting]],prev[],7,FALSE),0)</f>
        <v>9.693877551020403E-3</v>
      </c>
      <c r="N111">
        <f>IFERROR(VLOOKUP(all_lmics[[Setting]:[Setting]],prev[],6,FALSE),0)</f>
        <v>8921343</v>
      </c>
      <c r="O111">
        <f>IFERROR(VLOOKUP(all_lmics[[Setting]:[Setting]],SBA[],4,FALSE),0)</f>
        <v>0.90300000000000002</v>
      </c>
      <c r="P111">
        <f>IFERROR(VLOOKUP(all_lmics[[Setting]:[Setting]], facility[], 3,FALSE),0)</f>
        <v>0.76500000000000001</v>
      </c>
      <c r="Q111">
        <f>IFERROR(VLOOKUP(all_lmics[[Setting]:[Setting]],all_cause_mort[],4,FALSE),0)</f>
        <v>3.0038674000000001E-2</v>
      </c>
      <c r="R111">
        <f>IFERROR(VLOOKUP(all_lmics[[Setting]:[Setting]],all_cause_mort[],5,FALSE),0)</f>
        <v>7.7731125999999998E-4</v>
      </c>
      <c r="S111">
        <f>IFERROR(VLOOKUP(all_lmics[[Setting]:[Setting]],all_cause_mort[],6,FALSE),0)</f>
        <v>1.9162699E-4</v>
      </c>
      <c r="T111">
        <f>IFERROR(VLOOKUP(all_lmics[[Setting]:[Setting]],all_cause_mort[],7,FALSE),0)</f>
        <v>2.0042804999999999E-4</v>
      </c>
      <c r="U111">
        <f>IFERROR(VLOOKUP(all_lmics[[Setting]:[Setting]],all_cause_mort[],8,FALSE),0)</f>
        <v>3.3223292000000002E-4</v>
      </c>
      <c r="V111">
        <f>IFERROR(VLOOKUP(all_lmics[[Setting]:[Setting]],all_cause_mort[],9,FALSE),0)</f>
        <v>5.1142513000000005E-4</v>
      </c>
      <c r="W111">
        <f>IFERROR(VLOOKUP(all_lmics[[Setting]:[Setting]],all_cause_mort[],10,FALSE),0)</f>
        <v>8.5731543E-4</v>
      </c>
      <c r="X111">
        <f>IFERROR(VLOOKUP(all_lmics[[Setting]:[Setting]],all_cause_mort[],11,FALSE),0)</f>
        <v>1.3192203E-3</v>
      </c>
      <c r="Y111">
        <f>IFERROR(VLOOKUP(all_lmics[[Setting]:[Setting]],all_cause_mort[],12,FALSE),0)</f>
        <v>2.0217367999999999E-3</v>
      </c>
      <c r="Z111">
        <f>IFERROR(VLOOKUP(all_lmics[[Setting]:[Setting]],all_cause_mort[],13,FALSE),0)</f>
        <v>2.5677905000000001E-3</v>
      </c>
      <c r="AA111">
        <f>IFERROR(VLOOKUP(all_lmics[[Setting]:[Setting]],all_cause_mort[],14,FALSE),0)</f>
        <v>3.6706819000000002E-3</v>
      </c>
      <c r="AB111">
        <f>IFERROR(VLOOKUP(all_lmics[[Setting]:[Setting]],all_cause_mort[],15,FALSE),0)</f>
        <v>6.0686122999999998E-3</v>
      </c>
      <c r="AC111">
        <f>IFERROR(VLOOKUP(all_lmics[[Setting]:[Setting]],all_cause_mort[],16,FALSE),0)</f>
        <v>1.0921818999999999E-2</v>
      </c>
      <c r="AD111">
        <f>IFERROR(VLOOKUP(all_lmics[[Setting]:[Setting]],all_cause_mort[],17,FALSE),0)</f>
        <v>1.9224537E-2</v>
      </c>
      <c r="AE111">
        <f>IFERROR(VLOOKUP(all_lmics[[Setting]:[Setting]],all_cause_mort[],18,FALSE),0)</f>
        <v>3.0931002999999999E-2</v>
      </c>
      <c r="AF111">
        <f>IFERROR(VLOOKUP(all_lmics[[Setting]:[Setting]],all_cause_mort[],19,FALSE),0)</f>
        <v>5.3721215000000003E-2</v>
      </c>
      <c r="AG111">
        <f>IFERROR(VLOOKUP(all_lmics[[Setting]:[Setting]],all_cause_mort[],20,FALSE),0)</f>
        <v>9.0489539999999993E-2</v>
      </c>
      <c r="AH111">
        <f>IFERROR(VLOOKUP(all_lmics[[Setting]:[Setting]],all_cause_mort[],21,FALSE),0)</f>
        <v>0.14604988999999999</v>
      </c>
      <c r="AI111">
        <f>IFERROR(VLOOKUP(all_lmics[[Setting]:[Setting]],all_cause_mort[],22,FALSE),0)</f>
        <v>0.2217179</v>
      </c>
      <c r="AJ111">
        <f>IFERROR(VLOOKUP(all_lmics[[Setting]:[Setting]],all_cause_mort[],23,FALSE),0)</f>
        <v>0.32571319999999998</v>
      </c>
      <c r="AK111">
        <f>IFERROR(VLOOKUP(all_lmics[[Setting]:[Setting]],all_cause_mort[],24,FALSE),0)</f>
        <v>0.45069177999999999</v>
      </c>
      <c r="AL111">
        <f>IFERROR(VLOOKUP(all_lmics[[Setting]:[Setting]],all_cause_mort[],25,FALSE),0)</f>
        <v>0.58963303657299104</v>
      </c>
      <c r="AM111">
        <f>VLOOKUP(all_lmics[[worldbank_region]:[worldbank_region]],Table13[],2,FALSE)</f>
        <v>44.525141999999995</v>
      </c>
      <c r="AN111">
        <f>VLOOKUP(all_lmics[[worldbank_region]:[worldbank_region]],Table13[],3,FALSE)</f>
        <v>44.525141999999995</v>
      </c>
      <c r="AO111">
        <f>VLOOKUP(all_lmics[[worldbank_region]:[worldbank_region]],Table13[],4,FALSE)</f>
        <v>92.254001999999986</v>
      </c>
      <c r="AP111">
        <f>VLOOKUP(all_lmics[[worldbank_region]:[worldbank_region]],Table13[],5,FALSE)</f>
        <v>92.254001999999986</v>
      </c>
      <c r="AQ111">
        <f>VLOOKUP(all_lmics[[worldbank_region]:[worldbank_region]],Table13[],6,FALSE)</f>
        <v>92.254001999999986</v>
      </c>
      <c r="AR111">
        <f>VLOOKUP(all_lmics[[worldbank_region]:[worldbank_region]],Table14[],2,FALSE)</f>
        <v>6.4182919999999992</v>
      </c>
      <c r="AS111">
        <f>VLOOKUP(all_lmics[[worldbank_region]:[worldbank_region]],Table14[],3,FALSE)</f>
        <v>7.0357919999999998</v>
      </c>
      <c r="AT111">
        <f>VLOOKUP(all_lmics[[worldbank_region]:[worldbank_region]],Table14[],4,FALSE)</f>
        <v>10.482872999999998</v>
      </c>
      <c r="AU111">
        <f>VLOOKUP(all_lmics[[worldbank_region]:[worldbank_region]],Table14[],5,FALSE)</f>
        <v>11.100372999999999</v>
      </c>
      <c r="AV111">
        <f>VLOOKUP(all_lmics[[worldbank_region]:[worldbank_region]],Table14[],6,FALSE)</f>
        <v>11.670624999999999</v>
      </c>
      <c r="AW111">
        <f>IFERROR(VLOOKUP(all_lmics[[Setting]:[Setting]],nFacSBA[],4,FALSE),0)</f>
        <v>0.49143471089085361</v>
      </c>
      <c r="AX111">
        <f>VLOOKUP(all_lmics[[worldbank_region]:[worldbank_region]],hbe[],2)</f>
        <v>0.3</v>
      </c>
      <c r="AY111">
        <f>VLOOKUP(all_lmics[[worldbank_region]:[worldbank_region]],hbe[],5)</f>
        <v>0.875</v>
      </c>
      <c r="AZ111">
        <f>VLOOKUP(all_lmics[[worldbank_region]:[worldbank_region]],hbe[],8)</f>
        <v>0.15</v>
      </c>
    </row>
    <row r="112" spans="1:52" x14ac:dyDescent="0.35">
      <c r="A112" s="12" t="s">
        <v>202</v>
      </c>
      <c r="B112" s="13" t="s">
        <v>10</v>
      </c>
      <c r="C112" s="12" t="s">
        <v>9</v>
      </c>
      <c r="D112" s="14" t="s">
        <v>11</v>
      </c>
      <c r="E112">
        <f>VLOOKUP(all_lmics[[Setting]:[Setting]],populations[],9,FALSE)</f>
        <v>2083160</v>
      </c>
      <c r="F112">
        <f>VLOOKUP(all_lmics[[Setting]:[Setting]],birthrate[],3,FALSE)</f>
        <v>1.1276999999999999E-2</v>
      </c>
      <c r="G112">
        <f>all_lmics[[#This Row],[2017_population]]*all_lmics[[#This Row],[2016_birthrate]]</f>
        <v>23491.795319999997</v>
      </c>
      <c r="H112">
        <f>VLOOKUP(all_lmics[[Setting]:[Setting]],birthdose[],4,FALSE)</f>
        <v>0.98</v>
      </c>
      <c r="I112">
        <f>VLOOKUP(all_lmics[[Setting]:[Setting]],fullvax[],4,FALSE)</f>
        <v>0.91</v>
      </c>
      <c r="J112">
        <f>IFERROR(VLOOKUP(all_lmics[[Setting]:[Setting]],prev[],3,FALSE),0)</f>
        <v>0</v>
      </c>
      <c r="K112">
        <f>IFERROR(VLOOKUP(all_lmics[[Setting]:[Setting]],prev[],4,FALSE),0)</f>
        <v>0</v>
      </c>
      <c r="L112">
        <f>IFERROR(VLOOKUP(all_lmics[[Setting]:[Setting]],prev[],5,FALSE),0)</f>
        <v>0</v>
      </c>
      <c r="M112">
        <f>IFERROR(VLOOKUP(all_lmics[[Setting]:[Setting]],prev[],7,FALSE),0)</f>
        <v>0</v>
      </c>
      <c r="N112">
        <f>IFERROR(VLOOKUP(all_lmics[[Setting]:[Setting]],prev[],6,FALSE),0)</f>
        <v>0</v>
      </c>
      <c r="O112">
        <f>IFERROR(VLOOKUP(all_lmics[[Setting]:[Setting]],SBA[],4,FALSE),0)</f>
        <v>0.99900000000000011</v>
      </c>
      <c r="P112">
        <f>IFERROR(VLOOKUP(all_lmics[[Setting]:[Setting]], facility[], 3,FALSE),0)</f>
        <v>0.99918000000000007</v>
      </c>
      <c r="Q112">
        <f>IFERROR(VLOOKUP(all_lmics[[Setting]:[Setting]],all_cause_mort[],4,FALSE),0)</f>
        <v>1.079575E-2</v>
      </c>
      <c r="R112">
        <f>IFERROR(VLOOKUP(all_lmics[[Setting]:[Setting]],all_cause_mort[],5,FALSE),0)</f>
        <v>2.8490589999999999E-4</v>
      </c>
      <c r="S112">
        <f>IFERROR(VLOOKUP(all_lmics[[Setting]:[Setting]],all_cause_mort[],6,FALSE),0)</f>
        <v>1.3952435000000001E-4</v>
      </c>
      <c r="T112">
        <f>IFERROR(VLOOKUP(all_lmics[[Setting]:[Setting]],all_cause_mort[],7,FALSE),0)</f>
        <v>1.8527794999999999E-4</v>
      </c>
      <c r="U112">
        <f>IFERROR(VLOOKUP(all_lmics[[Setting]:[Setting]],all_cause_mort[],8,FALSE),0)</f>
        <v>2.9174696000000002E-4</v>
      </c>
      <c r="V112">
        <f>IFERROR(VLOOKUP(all_lmics[[Setting]:[Setting]],all_cause_mort[],9,FALSE),0)</f>
        <v>3.1394585000000001E-4</v>
      </c>
      <c r="W112">
        <f>IFERROR(VLOOKUP(all_lmics[[Setting]:[Setting]],all_cause_mort[],10,FALSE),0)</f>
        <v>4.6821371999999998E-4</v>
      </c>
      <c r="X112">
        <f>IFERROR(VLOOKUP(all_lmics[[Setting]:[Setting]],all_cause_mort[],11,FALSE),0)</f>
        <v>5.5946596000000005E-4</v>
      </c>
      <c r="Y112">
        <f>IFERROR(VLOOKUP(all_lmics[[Setting]:[Setting]],all_cause_mort[],12,FALSE),0)</f>
        <v>8.928861E-4</v>
      </c>
      <c r="Z112">
        <f>IFERROR(VLOOKUP(all_lmics[[Setting]:[Setting]],all_cause_mort[],13,FALSE),0)</f>
        <v>1.6335216E-3</v>
      </c>
      <c r="AA112">
        <f>IFERROR(VLOOKUP(all_lmics[[Setting]:[Setting]],all_cause_mort[],14,FALSE),0)</f>
        <v>2.5281460000000002E-3</v>
      </c>
      <c r="AB112">
        <f>IFERROR(VLOOKUP(all_lmics[[Setting]:[Setting]],all_cause_mort[],15,FALSE),0)</f>
        <v>4.7393223000000003E-3</v>
      </c>
      <c r="AC112">
        <f>IFERROR(VLOOKUP(all_lmics[[Setting]:[Setting]],all_cause_mort[],16,FALSE),0)</f>
        <v>8.1192898000000003E-3</v>
      </c>
      <c r="AD112">
        <f>IFERROR(VLOOKUP(all_lmics[[Setting]:[Setting]],all_cause_mort[],17,FALSE),0)</f>
        <v>1.3586753E-2</v>
      </c>
      <c r="AE112">
        <f>IFERROR(VLOOKUP(all_lmics[[Setting]:[Setting]],all_cause_mort[],18,FALSE),0)</f>
        <v>2.1408777E-2</v>
      </c>
      <c r="AF112">
        <f>IFERROR(VLOOKUP(all_lmics[[Setting]:[Setting]],all_cause_mort[],19,FALSE),0)</f>
        <v>3.4609589000000003E-2</v>
      </c>
      <c r="AG112">
        <f>IFERROR(VLOOKUP(all_lmics[[Setting]:[Setting]],all_cause_mort[],20,FALSE),0)</f>
        <v>6.5700938E-2</v>
      </c>
      <c r="AH112">
        <f>IFERROR(VLOOKUP(all_lmics[[Setting]:[Setting]],all_cause_mort[],21,FALSE),0)</f>
        <v>0.11891127</v>
      </c>
      <c r="AI112">
        <f>IFERROR(VLOOKUP(all_lmics[[Setting]:[Setting]],all_cause_mort[],22,FALSE),0)</f>
        <v>0.19994326000000001</v>
      </c>
      <c r="AJ112">
        <f>IFERROR(VLOOKUP(all_lmics[[Setting]:[Setting]],all_cause_mort[],23,FALSE),0)</f>
        <v>0.33394143999999998</v>
      </c>
      <c r="AK112">
        <f>IFERROR(VLOOKUP(all_lmics[[Setting]:[Setting]],all_cause_mort[],24,FALSE),0)</f>
        <v>0.49029510999999998</v>
      </c>
      <c r="AL112">
        <f>IFERROR(VLOOKUP(all_lmics[[Setting]:[Setting]],all_cause_mort[],25,FALSE),0)</f>
        <v>0.65437685851207505</v>
      </c>
      <c r="AM112">
        <f>VLOOKUP(all_lmics[[worldbank_region]:[worldbank_region]],Table13[],2,FALSE)</f>
        <v>44.525141999999995</v>
      </c>
      <c r="AN112">
        <f>VLOOKUP(all_lmics[[worldbank_region]:[worldbank_region]],Table13[],3,FALSE)</f>
        <v>44.525141999999995</v>
      </c>
      <c r="AO112">
        <f>VLOOKUP(all_lmics[[worldbank_region]:[worldbank_region]],Table13[],4,FALSE)</f>
        <v>92.254001999999986</v>
      </c>
      <c r="AP112">
        <f>VLOOKUP(all_lmics[[worldbank_region]:[worldbank_region]],Table13[],5,FALSE)</f>
        <v>92.254001999999986</v>
      </c>
      <c r="AQ112">
        <f>VLOOKUP(all_lmics[[worldbank_region]:[worldbank_region]],Table13[],6,FALSE)</f>
        <v>92.254001999999986</v>
      </c>
      <c r="AR112">
        <f>VLOOKUP(all_lmics[[worldbank_region]:[worldbank_region]],Table14[],2,FALSE)</f>
        <v>6.4182919999999992</v>
      </c>
      <c r="AS112">
        <f>VLOOKUP(all_lmics[[worldbank_region]:[worldbank_region]],Table14[],3,FALSE)</f>
        <v>7.0357919999999998</v>
      </c>
      <c r="AT112">
        <f>VLOOKUP(all_lmics[[worldbank_region]:[worldbank_region]],Table14[],4,FALSE)</f>
        <v>10.482872999999998</v>
      </c>
      <c r="AU112">
        <f>VLOOKUP(all_lmics[[worldbank_region]:[worldbank_region]],Table14[],5,FALSE)</f>
        <v>11.100372999999999</v>
      </c>
      <c r="AV112">
        <f>VLOOKUP(all_lmics[[worldbank_region]:[worldbank_region]],Table14[],6,FALSE)</f>
        <v>11.670624999999999</v>
      </c>
      <c r="AW112">
        <f>IFERROR(VLOOKUP(all_lmics[[Setting]:[Setting]],nFacSBA[],4,FALSE),0)</f>
        <v>0</v>
      </c>
      <c r="AX112">
        <f>VLOOKUP(all_lmics[[worldbank_region]:[worldbank_region]],hbe[],2)</f>
        <v>0.3</v>
      </c>
      <c r="AY112">
        <f>VLOOKUP(all_lmics[[worldbank_region]:[worldbank_region]],hbe[],5)</f>
        <v>0.875</v>
      </c>
      <c r="AZ112">
        <f>VLOOKUP(all_lmics[[worldbank_region]:[worldbank_region]],hbe[],8)</f>
        <v>0.15</v>
      </c>
    </row>
    <row r="113" spans="1:52" x14ac:dyDescent="0.35">
      <c r="A113" s="12" t="s">
        <v>208</v>
      </c>
      <c r="B113" s="13" t="s">
        <v>10</v>
      </c>
      <c r="C113" s="12" t="s">
        <v>9</v>
      </c>
      <c r="D113" s="14" t="s">
        <v>11</v>
      </c>
      <c r="E113">
        <f>VLOOKUP(all_lmics[[Setting]:[Setting]],populations[],9,FALSE)</f>
        <v>80745020</v>
      </c>
      <c r="F113">
        <f>VLOOKUP(all_lmics[[Setting]:[Setting]],birthrate[],3,FALSE)</f>
        <v>1.6240999999999998E-2</v>
      </c>
      <c r="G113">
        <f>all_lmics[[#This Row],[2017_population]]*all_lmics[[#This Row],[2016_birthrate]]</f>
        <v>1311379.8698199999</v>
      </c>
      <c r="H113">
        <f>VLOOKUP(all_lmics[[Setting]:[Setting]],birthdose[],4,FALSE)</f>
        <v>0.99</v>
      </c>
      <c r="I113">
        <f>VLOOKUP(all_lmics[[Setting]:[Setting]],fullvax[],4,FALSE)</f>
        <v>0.96</v>
      </c>
      <c r="J113">
        <f>IFERROR(VLOOKUP(all_lmics[[Setting]:[Setting]],prev[],3,FALSE),0)</f>
        <v>2.5999999999999999E-2</v>
      </c>
      <c r="K113">
        <f>IFERROR(VLOOKUP(all_lmics[[Setting]:[Setting]],prev[],4,FALSE),0)</f>
        <v>1.9E-2</v>
      </c>
      <c r="L113">
        <f>IFERROR(VLOOKUP(all_lmics[[Setting]:[Setting]],prev[],5,FALSE),0)</f>
        <v>3.5000000000000003E-2</v>
      </c>
      <c r="M113">
        <f>IFERROR(VLOOKUP(all_lmics[[Setting]:[Setting]],prev[],7,FALSE),0)</f>
        <v>4.5918367346938797E-3</v>
      </c>
      <c r="N113">
        <f>IFERROR(VLOOKUP(all_lmics[[Setting]:[Setting]],prev[],6,FALSE),0)</f>
        <v>80745020</v>
      </c>
      <c r="O113">
        <f>IFERROR(VLOOKUP(all_lmics[[Setting]:[Setting]],SBA[],4,FALSE),0)</f>
        <v>0.97400000000000009</v>
      </c>
      <c r="P113">
        <f>IFERROR(VLOOKUP(all_lmics[[Setting]:[Setting]], facility[], 3,FALSE),0)</f>
        <v>0.97199999999999998</v>
      </c>
      <c r="Q113">
        <f>IFERROR(VLOOKUP(all_lmics[[Setting]:[Setting]],all_cause_mort[],4,FALSE),0)</f>
        <v>8.9758821000000006E-3</v>
      </c>
      <c r="R113">
        <f>IFERROR(VLOOKUP(all_lmics[[Setting]:[Setting]],all_cause_mort[],5,FALSE),0)</f>
        <v>1.0998576999999999E-3</v>
      </c>
      <c r="S113">
        <f>IFERROR(VLOOKUP(all_lmics[[Setting]:[Setting]],all_cause_mort[],6,FALSE),0)</f>
        <v>6.8350275000000004E-4</v>
      </c>
      <c r="T113">
        <f>IFERROR(VLOOKUP(all_lmics[[Setting]:[Setting]],all_cause_mort[],7,FALSE),0)</f>
        <v>5.8378824000000003E-4</v>
      </c>
      <c r="U113">
        <f>IFERROR(VLOOKUP(all_lmics[[Setting]:[Setting]],all_cause_mort[],8,FALSE),0)</f>
        <v>6.9276107000000001E-4</v>
      </c>
      <c r="V113">
        <f>IFERROR(VLOOKUP(all_lmics[[Setting]:[Setting]],all_cause_mort[],9,FALSE),0)</f>
        <v>9.6323236000000003E-4</v>
      </c>
      <c r="W113">
        <f>IFERROR(VLOOKUP(all_lmics[[Setting]:[Setting]],all_cause_mort[],10,FALSE),0)</f>
        <v>1.1777116999999999E-3</v>
      </c>
      <c r="X113">
        <f>IFERROR(VLOOKUP(all_lmics[[Setting]:[Setting]],all_cause_mort[],11,FALSE),0)</f>
        <v>1.3820001E-3</v>
      </c>
      <c r="Y113">
        <f>IFERROR(VLOOKUP(all_lmics[[Setting]:[Setting]],all_cause_mort[],12,FALSE),0)</f>
        <v>1.6388512E-3</v>
      </c>
      <c r="Z113">
        <f>IFERROR(VLOOKUP(all_lmics[[Setting]:[Setting]],all_cause_mort[],13,FALSE),0)</f>
        <v>2.0133665000000001E-3</v>
      </c>
      <c r="AA113">
        <f>IFERROR(VLOOKUP(all_lmics[[Setting]:[Setting]],all_cause_mort[],14,FALSE),0)</f>
        <v>2.6066143999999999E-3</v>
      </c>
      <c r="AB113">
        <f>IFERROR(VLOOKUP(all_lmics[[Setting]:[Setting]],all_cause_mort[],15,FALSE),0)</f>
        <v>3.5633887E-3</v>
      </c>
      <c r="AC113">
        <f>IFERROR(VLOOKUP(all_lmics[[Setting]:[Setting]],all_cause_mort[],16,FALSE),0)</f>
        <v>5.2989691000000002E-3</v>
      </c>
      <c r="AD113">
        <f>IFERROR(VLOOKUP(all_lmics[[Setting]:[Setting]],all_cause_mort[],17,FALSE),0)</f>
        <v>8.2979382000000004E-3</v>
      </c>
      <c r="AE113">
        <f>IFERROR(VLOOKUP(all_lmics[[Setting]:[Setting]],all_cause_mort[],18,FALSE),0)</f>
        <v>1.3670112E-2</v>
      </c>
      <c r="AF113">
        <f>IFERROR(VLOOKUP(all_lmics[[Setting]:[Setting]],all_cause_mort[],19,FALSE),0)</f>
        <v>2.5049207E-2</v>
      </c>
      <c r="AG113">
        <f>IFERROR(VLOOKUP(all_lmics[[Setting]:[Setting]],all_cause_mort[],20,FALSE),0)</f>
        <v>4.6487158000000001E-2</v>
      </c>
      <c r="AH113">
        <f>IFERROR(VLOOKUP(all_lmics[[Setting]:[Setting]],all_cause_mort[],21,FALSE),0)</f>
        <v>8.3415056000000001E-2</v>
      </c>
      <c r="AI113">
        <f>IFERROR(VLOOKUP(all_lmics[[Setting]:[Setting]],all_cause_mort[],22,FALSE),0)</f>
        <v>0.14180856999999999</v>
      </c>
      <c r="AJ113">
        <f>IFERROR(VLOOKUP(all_lmics[[Setting]:[Setting]],all_cause_mort[],23,FALSE),0)</f>
        <v>0.22865009</v>
      </c>
      <c r="AK113">
        <f>IFERROR(VLOOKUP(all_lmics[[Setting]:[Setting]],all_cause_mort[],24,FALSE),0)</f>
        <v>0.34751042999999998</v>
      </c>
      <c r="AL113">
        <f>IFERROR(VLOOKUP(all_lmics[[Setting]:[Setting]],all_cause_mort[],25,FALSE),0)</f>
        <v>0.47483590502085299</v>
      </c>
      <c r="AM113">
        <f>VLOOKUP(all_lmics[[worldbank_region]:[worldbank_region]],Table13[],2,FALSE)</f>
        <v>44.525141999999995</v>
      </c>
      <c r="AN113">
        <f>VLOOKUP(all_lmics[[worldbank_region]:[worldbank_region]],Table13[],3,FALSE)</f>
        <v>44.525141999999995</v>
      </c>
      <c r="AO113">
        <f>VLOOKUP(all_lmics[[worldbank_region]:[worldbank_region]],Table13[],4,FALSE)</f>
        <v>92.254001999999986</v>
      </c>
      <c r="AP113">
        <f>VLOOKUP(all_lmics[[worldbank_region]:[worldbank_region]],Table13[],5,FALSE)</f>
        <v>92.254001999999986</v>
      </c>
      <c r="AQ113">
        <f>VLOOKUP(all_lmics[[worldbank_region]:[worldbank_region]],Table13[],6,FALSE)</f>
        <v>92.254001999999986</v>
      </c>
      <c r="AR113">
        <f>VLOOKUP(all_lmics[[worldbank_region]:[worldbank_region]],Table14[],2,FALSE)</f>
        <v>6.4182919999999992</v>
      </c>
      <c r="AS113">
        <f>VLOOKUP(all_lmics[[worldbank_region]:[worldbank_region]],Table14[],3,FALSE)</f>
        <v>7.0357919999999998</v>
      </c>
      <c r="AT113">
        <f>VLOOKUP(all_lmics[[worldbank_region]:[worldbank_region]],Table14[],4,FALSE)</f>
        <v>10.482872999999998</v>
      </c>
      <c r="AU113">
        <f>VLOOKUP(all_lmics[[worldbank_region]:[worldbank_region]],Table14[],5,FALSE)</f>
        <v>11.100372999999999</v>
      </c>
      <c r="AV113">
        <f>VLOOKUP(all_lmics[[worldbank_region]:[worldbank_region]],Table14[],6,FALSE)</f>
        <v>11.670624999999999</v>
      </c>
      <c r="AW113">
        <f>IFERROR(VLOOKUP(all_lmics[[Setting]:[Setting]],nFacSBA[],4,FALSE),0)</f>
        <v>0</v>
      </c>
      <c r="AX113">
        <f>VLOOKUP(all_lmics[[worldbank_region]:[worldbank_region]],hbe[],2)</f>
        <v>0.3</v>
      </c>
      <c r="AY113">
        <f>VLOOKUP(all_lmics[[worldbank_region]:[worldbank_region]],hbe[],5)</f>
        <v>0.875</v>
      </c>
      <c r="AZ113">
        <f>VLOOKUP(all_lmics[[worldbank_region]:[worldbank_region]],hbe[],8)</f>
        <v>0.15</v>
      </c>
    </row>
    <row r="114" spans="1:52" x14ac:dyDescent="0.35">
      <c r="A114" s="8" t="s">
        <v>209</v>
      </c>
      <c r="B114" s="10" t="s">
        <v>10</v>
      </c>
      <c r="C114" s="8" t="s">
        <v>9</v>
      </c>
      <c r="D114" s="11" t="s">
        <v>11</v>
      </c>
      <c r="E114">
        <f>VLOOKUP(all_lmics[[Setting]:[Setting]],populations[],9,FALSE)</f>
        <v>5758075</v>
      </c>
      <c r="F114">
        <f>VLOOKUP(all_lmics[[Setting]:[Setting]],birthrate[],3,FALSE)</f>
        <v>2.5373E-2</v>
      </c>
      <c r="G114">
        <f>all_lmics[[#This Row],[2017_population]]*all_lmics[[#This Row],[2016_birthrate]]</f>
        <v>146099.636975</v>
      </c>
      <c r="H114">
        <f>VLOOKUP(all_lmics[[Setting]:[Setting]],birthdose[],4,FALSE)</f>
        <v>0.99</v>
      </c>
      <c r="I114">
        <f>VLOOKUP(all_lmics[[Setting]:[Setting]],fullvax[],4,FALSE)</f>
        <v>0.99</v>
      </c>
      <c r="J114">
        <f>IFERROR(VLOOKUP(all_lmics[[Setting]:[Setting]],prev[],3,FALSE),0)</f>
        <v>9.5000000000000001E-2</v>
      </c>
      <c r="K114">
        <f>IFERROR(VLOOKUP(all_lmics[[Setting]:[Setting]],prev[],4,FALSE),0)</f>
        <v>8.6999999999999994E-2</v>
      </c>
      <c r="L114">
        <f>IFERROR(VLOOKUP(all_lmics[[Setting]:[Setting]],prev[],5,FALSE),0)</f>
        <v>0.114</v>
      </c>
      <c r="M114">
        <f>IFERROR(VLOOKUP(all_lmics[[Setting]:[Setting]],prev[],7,FALSE),0)</f>
        <v>9.6938775510204099E-3</v>
      </c>
      <c r="N114">
        <f>IFERROR(VLOOKUP(all_lmics[[Setting]:[Setting]],prev[],6,FALSE),0)</f>
        <v>5758075</v>
      </c>
      <c r="O114">
        <f>IFERROR(VLOOKUP(all_lmics[[Setting]:[Setting]],SBA[],4,FALSE),0)</f>
        <v>0.9998999999999999</v>
      </c>
      <c r="P114">
        <f>IFERROR(VLOOKUP(all_lmics[[Setting]:[Setting]], facility[], 3,FALSE),0)</f>
        <v>0.995</v>
      </c>
      <c r="Q114">
        <f>IFERROR(VLOOKUP(all_lmics[[Setting]:[Setting]],all_cause_mort[],4,FALSE),0)</f>
        <v>4.4921488000000002E-2</v>
      </c>
      <c r="R114">
        <f>IFERROR(VLOOKUP(all_lmics[[Setting]:[Setting]],all_cause_mort[],5,FALSE),0)</f>
        <v>2.1412040999999999E-3</v>
      </c>
      <c r="S114">
        <f>IFERROR(VLOOKUP(all_lmics[[Setting]:[Setting]],all_cause_mort[],6,FALSE),0)</f>
        <v>3.8652032999999999E-4</v>
      </c>
      <c r="T114">
        <f>IFERROR(VLOOKUP(all_lmics[[Setting]:[Setting]],all_cause_mort[],7,FALSE),0)</f>
        <v>3.7888500999999999E-4</v>
      </c>
      <c r="U114">
        <f>IFERROR(VLOOKUP(all_lmics[[Setting]:[Setting]],all_cause_mort[],8,FALSE),0)</f>
        <v>8.7431423999999997E-4</v>
      </c>
      <c r="V114">
        <f>IFERROR(VLOOKUP(all_lmics[[Setting]:[Setting]],all_cause_mort[],9,FALSE),0)</f>
        <v>1.1724845000000001E-3</v>
      </c>
      <c r="W114">
        <f>IFERROR(VLOOKUP(all_lmics[[Setting]:[Setting]],all_cause_mort[],10,FALSE),0)</f>
        <v>1.5136035E-3</v>
      </c>
      <c r="X114">
        <f>IFERROR(VLOOKUP(all_lmics[[Setting]:[Setting]],all_cause_mort[],11,FALSE),0)</f>
        <v>2.0689542000000001E-3</v>
      </c>
      <c r="Y114">
        <f>IFERROR(VLOOKUP(all_lmics[[Setting]:[Setting]],all_cause_mort[],12,FALSE),0)</f>
        <v>2.9294181000000001E-3</v>
      </c>
      <c r="Z114">
        <f>IFERROR(VLOOKUP(all_lmics[[Setting]:[Setting]],all_cause_mort[],13,FALSE),0)</f>
        <v>4.1454880000000001E-3</v>
      </c>
      <c r="AA114">
        <f>IFERROR(VLOOKUP(all_lmics[[Setting]:[Setting]],all_cause_mort[],14,FALSE),0)</f>
        <v>5.7744653E-3</v>
      </c>
      <c r="AB114">
        <f>IFERROR(VLOOKUP(all_lmics[[Setting]:[Setting]],all_cause_mort[],15,FALSE),0)</f>
        <v>9.1371339000000003E-3</v>
      </c>
      <c r="AC114">
        <f>IFERROR(VLOOKUP(all_lmics[[Setting]:[Setting]],all_cause_mort[],16,FALSE),0)</f>
        <v>1.3560139000000001E-2</v>
      </c>
      <c r="AD114">
        <f>IFERROR(VLOOKUP(all_lmics[[Setting]:[Setting]],all_cause_mort[],17,FALSE),0)</f>
        <v>2.2809203E-2</v>
      </c>
      <c r="AE114">
        <f>IFERROR(VLOOKUP(all_lmics[[Setting]:[Setting]],all_cause_mort[],18,FALSE),0)</f>
        <v>2.9850709999999999E-2</v>
      </c>
      <c r="AF114">
        <f>IFERROR(VLOOKUP(all_lmics[[Setting]:[Setting]],all_cause_mort[],19,FALSE),0)</f>
        <v>5.7313920999999997E-2</v>
      </c>
      <c r="AG114">
        <f>IFERROR(VLOOKUP(all_lmics[[Setting]:[Setting]],all_cause_mort[],20,FALSE),0)</f>
        <v>6.3375656000000002E-2</v>
      </c>
      <c r="AH114">
        <f>IFERROR(VLOOKUP(all_lmics[[Setting]:[Setting]],all_cause_mort[],21,FALSE),0)</f>
        <v>0.11624036</v>
      </c>
      <c r="AI114">
        <f>IFERROR(VLOOKUP(all_lmics[[Setting]:[Setting]],all_cause_mort[],22,FALSE),0)</f>
        <v>0.17533162999999999</v>
      </c>
      <c r="AJ114">
        <f>IFERROR(VLOOKUP(all_lmics[[Setting]:[Setting]],all_cause_mort[],23,FALSE),0)</f>
        <v>0.25575086000000002</v>
      </c>
      <c r="AK114">
        <f>IFERROR(VLOOKUP(all_lmics[[Setting]:[Setting]],all_cause_mort[],24,FALSE),0)</f>
        <v>0.35418404999999997</v>
      </c>
      <c r="AL114">
        <f>IFERROR(VLOOKUP(all_lmics[[Setting]:[Setting]],all_cause_mort[],25,FALSE),0)</f>
        <v>0.46928567493275802</v>
      </c>
      <c r="AM114">
        <f>VLOOKUP(all_lmics[[worldbank_region]:[worldbank_region]],Table13[],2,FALSE)</f>
        <v>44.525141999999995</v>
      </c>
      <c r="AN114">
        <f>VLOOKUP(all_lmics[[worldbank_region]:[worldbank_region]],Table13[],3,FALSE)</f>
        <v>44.525141999999995</v>
      </c>
      <c r="AO114">
        <f>VLOOKUP(all_lmics[[worldbank_region]:[worldbank_region]],Table13[],4,FALSE)</f>
        <v>92.254001999999986</v>
      </c>
      <c r="AP114">
        <f>VLOOKUP(all_lmics[[worldbank_region]:[worldbank_region]],Table13[],5,FALSE)</f>
        <v>92.254001999999986</v>
      </c>
      <c r="AQ114">
        <f>VLOOKUP(all_lmics[[worldbank_region]:[worldbank_region]],Table13[],6,FALSE)</f>
        <v>92.254001999999986</v>
      </c>
      <c r="AR114">
        <f>VLOOKUP(all_lmics[[worldbank_region]:[worldbank_region]],Table14[],2,FALSE)</f>
        <v>6.4182919999999992</v>
      </c>
      <c r="AS114">
        <f>VLOOKUP(all_lmics[[worldbank_region]:[worldbank_region]],Table14[],3,FALSE)</f>
        <v>7.0357919999999998</v>
      </c>
      <c r="AT114">
        <f>VLOOKUP(all_lmics[[worldbank_region]:[worldbank_region]],Table14[],4,FALSE)</f>
        <v>10.482872999999998</v>
      </c>
      <c r="AU114">
        <f>VLOOKUP(all_lmics[[worldbank_region]:[worldbank_region]],Table14[],5,FALSE)</f>
        <v>11.100372999999999</v>
      </c>
      <c r="AV114">
        <f>VLOOKUP(all_lmics[[worldbank_region]:[worldbank_region]],Table14[],6,FALSE)</f>
        <v>11.670624999999999</v>
      </c>
      <c r="AW114">
        <f>IFERROR(VLOOKUP(all_lmics[[Setting]:[Setting]],nFacSBA[],4,FALSE),0)</f>
        <v>0</v>
      </c>
      <c r="AX114">
        <f>VLOOKUP(all_lmics[[worldbank_region]:[worldbank_region]],hbe[],2)</f>
        <v>0.3</v>
      </c>
      <c r="AY114">
        <f>VLOOKUP(all_lmics[[worldbank_region]:[worldbank_region]],hbe[],5)</f>
        <v>0.875</v>
      </c>
      <c r="AZ114">
        <f>VLOOKUP(all_lmics[[worldbank_region]:[worldbank_region]],hbe[],8)</f>
        <v>0.15</v>
      </c>
    </row>
    <row r="115" spans="1:52" x14ac:dyDescent="0.35">
      <c r="A115" s="12" t="s">
        <v>218</v>
      </c>
      <c r="B115" s="13" t="s">
        <v>10</v>
      </c>
      <c r="C115" s="12" t="s">
        <v>9</v>
      </c>
      <c r="D115" s="14" t="s">
        <v>11</v>
      </c>
      <c r="E115">
        <f>VLOOKUP(all_lmics[[Setting]:[Setting]],populations[],9,FALSE)</f>
        <v>32387200</v>
      </c>
      <c r="F115">
        <f>VLOOKUP(all_lmics[[Setting]:[Setting]],birthrate[],3,FALSE)</f>
        <v>2.2800000000000001E-2</v>
      </c>
      <c r="G115">
        <f>all_lmics[[#This Row],[2017_population]]*all_lmics[[#This Row],[2016_birthrate]]</f>
        <v>738428.16</v>
      </c>
      <c r="H115">
        <f>VLOOKUP(all_lmics[[Setting]:[Setting]],birthdose[],4,FALSE)</f>
        <v>0.99</v>
      </c>
      <c r="I115">
        <f>VLOOKUP(all_lmics[[Setting]:[Setting]],fullvax[],4,FALSE)</f>
        <v>0.99</v>
      </c>
      <c r="J115">
        <f>IFERROR(VLOOKUP(all_lmics[[Setting]:[Setting]],prev[],3,FALSE),0)</f>
        <v>0.08</v>
      </c>
      <c r="K115">
        <f>IFERROR(VLOOKUP(all_lmics[[Setting]:[Setting]],prev[],4,FALSE),0)</f>
        <v>4.1000000000000002E-2</v>
      </c>
      <c r="L115">
        <f>IFERROR(VLOOKUP(all_lmics[[Setting]:[Setting]],prev[],5,FALSE),0)</f>
        <v>0.11700000000000001</v>
      </c>
      <c r="M115">
        <f>IFERROR(VLOOKUP(all_lmics[[Setting]:[Setting]],prev[],7,FALSE),0)</f>
        <v>1.8877551020408168E-2</v>
      </c>
      <c r="N115">
        <f>IFERROR(VLOOKUP(all_lmics[[Setting]:[Setting]],prev[],6,FALSE),0)</f>
        <v>32387200</v>
      </c>
      <c r="O115">
        <f>IFERROR(VLOOKUP(all_lmics[[Setting]:[Setting]],SBA[],4,FALSE),0)</f>
        <v>0.9998999999999999</v>
      </c>
      <c r="P115">
        <f>IFERROR(VLOOKUP(all_lmics[[Setting]:[Setting]], facility[], 3,FALSE),0)</f>
        <v>0.995</v>
      </c>
      <c r="Q115">
        <f>IFERROR(VLOOKUP(all_lmics[[Setting]:[Setting]],all_cause_mort[],4,FALSE),0)</f>
        <v>2.1230355999999999E-2</v>
      </c>
      <c r="R115">
        <f>IFERROR(VLOOKUP(all_lmics[[Setting]:[Setting]],all_cause_mort[],5,FALSE),0)</f>
        <v>1.225877E-3</v>
      </c>
      <c r="S115">
        <f>IFERROR(VLOOKUP(all_lmics[[Setting]:[Setting]],all_cause_mort[],6,FALSE),0)</f>
        <v>2.8780549000000002E-4</v>
      </c>
      <c r="T115">
        <f>IFERROR(VLOOKUP(all_lmics[[Setting]:[Setting]],all_cause_mort[],7,FALSE),0)</f>
        <v>3.0668539999999998E-4</v>
      </c>
      <c r="U115">
        <f>IFERROR(VLOOKUP(all_lmics[[Setting]:[Setting]],all_cause_mort[],8,FALSE),0)</f>
        <v>5.0506537999999996E-4</v>
      </c>
      <c r="V115">
        <f>IFERROR(VLOOKUP(all_lmics[[Setting]:[Setting]],all_cause_mort[],9,FALSE),0)</f>
        <v>7.2571156999999998E-4</v>
      </c>
      <c r="W115">
        <f>IFERROR(VLOOKUP(all_lmics[[Setting]:[Setting]],all_cause_mort[],10,FALSE),0)</f>
        <v>9.7574669000000005E-4</v>
      </c>
      <c r="X115">
        <f>IFERROR(VLOOKUP(all_lmics[[Setting]:[Setting]],all_cause_mort[],11,FALSE),0)</f>
        <v>1.3240076999999999E-3</v>
      </c>
      <c r="Y115">
        <f>IFERROR(VLOOKUP(all_lmics[[Setting]:[Setting]],all_cause_mort[],12,FALSE),0)</f>
        <v>1.8484399E-3</v>
      </c>
      <c r="Z115">
        <f>IFERROR(VLOOKUP(all_lmics[[Setting]:[Setting]],all_cause_mort[],13,FALSE),0)</f>
        <v>2.5851782000000001E-3</v>
      </c>
      <c r="AA115">
        <f>IFERROR(VLOOKUP(all_lmics[[Setting]:[Setting]],all_cause_mort[],14,FALSE),0)</f>
        <v>3.9321835999999999E-3</v>
      </c>
      <c r="AB115">
        <f>IFERROR(VLOOKUP(all_lmics[[Setting]:[Setting]],all_cause_mort[],15,FALSE),0)</f>
        <v>6.3526088000000003E-3</v>
      </c>
      <c r="AC115">
        <f>IFERROR(VLOOKUP(all_lmics[[Setting]:[Setting]],all_cause_mort[],16,FALSE),0)</f>
        <v>1.0857489999999999E-2</v>
      </c>
      <c r="AD115">
        <f>IFERROR(VLOOKUP(all_lmics[[Setting]:[Setting]],all_cause_mort[],17,FALSE),0)</f>
        <v>1.8961295999999999E-2</v>
      </c>
      <c r="AE115">
        <f>IFERROR(VLOOKUP(all_lmics[[Setting]:[Setting]],all_cause_mort[],18,FALSE),0)</f>
        <v>3.0691217999999999E-2</v>
      </c>
      <c r="AF115">
        <f>IFERROR(VLOOKUP(all_lmics[[Setting]:[Setting]],all_cause_mort[],19,FALSE),0)</f>
        <v>4.9566286000000001E-2</v>
      </c>
      <c r="AG115">
        <f>IFERROR(VLOOKUP(all_lmics[[Setting]:[Setting]],all_cause_mort[],20,FALSE),0)</f>
        <v>8.0209772999999998E-2</v>
      </c>
      <c r="AH115">
        <f>IFERROR(VLOOKUP(all_lmics[[Setting]:[Setting]],all_cause_mort[],21,FALSE),0)</f>
        <v>0.12648421000000001</v>
      </c>
      <c r="AI115">
        <f>IFERROR(VLOOKUP(all_lmics[[Setting]:[Setting]],all_cause_mort[],22,FALSE),0)</f>
        <v>0.19134798</v>
      </c>
      <c r="AJ115">
        <f>IFERROR(VLOOKUP(all_lmics[[Setting]:[Setting]],all_cause_mort[],23,FALSE),0)</f>
        <v>0.2794681</v>
      </c>
      <c r="AK115">
        <f>IFERROR(VLOOKUP(all_lmics[[Setting]:[Setting]],all_cause_mort[],24,FALSE),0)</f>
        <v>0.38955024999999999</v>
      </c>
      <c r="AL115">
        <f>IFERROR(VLOOKUP(all_lmics[[Setting]:[Setting]],all_cause_mort[],25,FALSE),0)</f>
        <v>0.50008726522778202</v>
      </c>
      <c r="AM115">
        <f>VLOOKUP(all_lmics[[worldbank_region]:[worldbank_region]],Table13[],2,FALSE)</f>
        <v>44.525141999999995</v>
      </c>
      <c r="AN115">
        <f>VLOOKUP(all_lmics[[worldbank_region]:[worldbank_region]],Table13[],3,FALSE)</f>
        <v>44.525141999999995</v>
      </c>
      <c r="AO115">
        <f>VLOOKUP(all_lmics[[worldbank_region]:[worldbank_region]],Table13[],4,FALSE)</f>
        <v>92.254001999999986</v>
      </c>
      <c r="AP115">
        <f>VLOOKUP(all_lmics[[worldbank_region]:[worldbank_region]],Table13[],5,FALSE)</f>
        <v>92.254001999999986</v>
      </c>
      <c r="AQ115">
        <f>VLOOKUP(all_lmics[[worldbank_region]:[worldbank_region]],Table13[],6,FALSE)</f>
        <v>92.254001999999986</v>
      </c>
      <c r="AR115">
        <f>VLOOKUP(all_lmics[[worldbank_region]:[worldbank_region]],Table14[],2,FALSE)</f>
        <v>6.4182919999999992</v>
      </c>
      <c r="AS115">
        <f>VLOOKUP(all_lmics[[worldbank_region]:[worldbank_region]],Table14[],3,FALSE)</f>
        <v>7.0357919999999998</v>
      </c>
      <c r="AT115">
        <f>VLOOKUP(all_lmics[[worldbank_region]:[worldbank_region]],Table14[],4,FALSE)</f>
        <v>10.482872999999998</v>
      </c>
      <c r="AU115">
        <f>VLOOKUP(all_lmics[[worldbank_region]:[worldbank_region]],Table14[],5,FALSE)</f>
        <v>11.100372999999999</v>
      </c>
      <c r="AV115">
        <f>VLOOKUP(all_lmics[[worldbank_region]:[worldbank_region]],Table14[],6,FALSE)</f>
        <v>11.670624999999999</v>
      </c>
      <c r="AW115">
        <f>IFERROR(VLOOKUP(all_lmics[[Setting]:[Setting]],nFacSBA[],4,FALSE),0)</f>
        <v>0</v>
      </c>
      <c r="AX115">
        <f>VLOOKUP(all_lmics[[worldbank_region]:[worldbank_region]],hbe[],2)</f>
        <v>0.3</v>
      </c>
      <c r="AY115">
        <f>VLOOKUP(all_lmics[[worldbank_region]:[worldbank_region]],hbe[],5)</f>
        <v>0.875</v>
      </c>
      <c r="AZ115">
        <f>VLOOKUP(all_lmics[[worldbank_region]:[worldbank_region]],hbe[],8)</f>
        <v>0.15</v>
      </c>
    </row>
    <row r="116" spans="1:52" x14ac:dyDescent="0.35">
      <c r="A116" s="12" t="s">
        <v>39</v>
      </c>
      <c r="B116" s="13" t="s">
        <v>40</v>
      </c>
      <c r="C116" s="12" t="s">
        <v>9</v>
      </c>
      <c r="D116" s="14" t="s">
        <v>11</v>
      </c>
      <c r="E116">
        <f>VLOOKUP(all_lmics[[Setting]:[Setting]],populations[],9,FALSE)</f>
        <v>9507875</v>
      </c>
      <c r="F116">
        <f>VLOOKUP(all_lmics[[Setting]:[Setting]],birthrate[],3,FALSE)</f>
        <v>1.24E-2</v>
      </c>
      <c r="G116">
        <f>all_lmics[[#This Row],[2017_population]]*all_lmics[[#This Row],[2016_birthrate]]</f>
        <v>117897.65</v>
      </c>
      <c r="H116">
        <f>VLOOKUP(all_lmics[[Setting]:[Setting]],birthdose[],4,FALSE)</f>
        <v>0.98</v>
      </c>
      <c r="I116">
        <f>VLOOKUP(all_lmics[[Setting]:[Setting]],fullvax[],4,FALSE)</f>
        <v>0.98</v>
      </c>
      <c r="J116">
        <f>IFERROR(VLOOKUP(all_lmics[[Setting]:[Setting]],prev[],3,FALSE),0)</f>
        <v>4.2999999999999997E-2</v>
      </c>
      <c r="K116">
        <f>IFERROR(VLOOKUP(all_lmics[[Setting]:[Setting]],prev[],4,FALSE),0)</f>
        <v>3.9E-2</v>
      </c>
      <c r="L116">
        <f>IFERROR(VLOOKUP(all_lmics[[Setting]:[Setting]],prev[],5,FALSE),0)</f>
        <v>4.8000000000000001E-2</v>
      </c>
      <c r="M116">
        <f>IFERROR(VLOOKUP(all_lmics[[Setting]:[Setting]],prev[],7,FALSE),0)</f>
        <v>2.5510204081632677E-3</v>
      </c>
      <c r="N116">
        <f>IFERROR(VLOOKUP(all_lmics[[Setting]:[Setting]],prev[],6,FALSE),0)</f>
        <v>9507875</v>
      </c>
      <c r="O116">
        <f>IFERROR(VLOOKUP(all_lmics[[Setting]:[Setting]],SBA[],4,FALSE),0)</f>
        <v>0.998</v>
      </c>
      <c r="P116">
        <f>IFERROR(VLOOKUP(all_lmics[[Setting]:[Setting]], facility[], 3,FALSE),0)</f>
        <v>0.99900000000000011</v>
      </c>
      <c r="Q116">
        <f>IFERROR(VLOOKUP(all_lmics[[Setting]:[Setting]],all_cause_mort[],4,FALSE),0)</f>
        <v>2.9742570000000001E-3</v>
      </c>
      <c r="R116">
        <f>IFERROR(VLOOKUP(all_lmics[[Setting]:[Setting]],all_cause_mort[],5,FALSE),0)</f>
        <v>2.1824527999999999E-4</v>
      </c>
      <c r="S116">
        <f>IFERROR(VLOOKUP(all_lmics[[Setting]:[Setting]],all_cause_mort[],6,FALSE),0)</f>
        <v>1.3874520999999999E-4</v>
      </c>
      <c r="T116">
        <f>IFERROR(VLOOKUP(all_lmics[[Setting]:[Setting]],all_cause_mort[],7,FALSE),0)</f>
        <v>1.3172581000000001E-4</v>
      </c>
      <c r="U116">
        <f>IFERROR(VLOOKUP(all_lmics[[Setting]:[Setting]],all_cause_mort[],8,FALSE),0)</f>
        <v>3.5196734000000001E-4</v>
      </c>
      <c r="V116">
        <f>IFERROR(VLOOKUP(all_lmics[[Setting]:[Setting]],all_cause_mort[],9,FALSE),0)</f>
        <v>5.9955608000000001E-4</v>
      </c>
      <c r="W116">
        <f>IFERROR(VLOOKUP(all_lmics[[Setting]:[Setting]],all_cause_mort[],10,FALSE),0)</f>
        <v>8.7638316999999997E-4</v>
      </c>
      <c r="X116">
        <f>IFERROR(VLOOKUP(all_lmics[[Setting]:[Setting]],all_cause_mort[],11,FALSE),0)</f>
        <v>1.4378284000000001E-3</v>
      </c>
      <c r="Y116">
        <f>IFERROR(VLOOKUP(all_lmics[[Setting]:[Setting]],all_cause_mort[],12,FALSE),0)</f>
        <v>2.3068186000000002E-3</v>
      </c>
      <c r="Z116">
        <f>IFERROR(VLOOKUP(all_lmics[[Setting]:[Setting]],all_cause_mort[],13,FALSE),0)</f>
        <v>3.3415919E-3</v>
      </c>
      <c r="AA116">
        <f>IFERROR(VLOOKUP(all_lmics[[Setting]:[Setting]],all_cause_mort[],14,FALSE),0)</f>
        <v>5.0345516999999998E-3</v>
      </c>
      <c r="AB116">
        <f>IFERROR(VLOOKUP(all_lmics[[Setting]:[Setting]],all_cause_mort[],15,FALSE),0)</f>
        <v>7.4313358000000001E-3</v>
      </c>
      <c r="AC116">
        <f>IFERROR(VLOOKUP(all_lmics[[Setting]:[Setting]],all_cause_mort[],16,FALSE),0)</f>
        <v>1.1150152E-2</v>
      </c>
      <c r="AD116">
        <f>IFERROR(VLOOKUP(all_lmics[[Setting]:[Setting]],all_cause_mort[],17,FALSE),0)</f>
        <v>1.7102638E-2</v>
      </c>
      <c r="AE116">
        <f>IFERROR(VLOOKUP(all_lmics[[Setting]:[Setting]],all_cause_mort[],18,FALSE),0)</f>
        <v>2.4527950999999999E-2</v>
      </c>
      <c r="AF116">
        <f>IFERROR(VLOOKUP(all_lmics[[Setting]:[Setting]],all_cause_mort[],19,FALSE),0)</f>
        <v>3.6169323000000003E-2</v>
      </c>
      <c r="AG116">
        <f>IFERROR(VLOOKUP(all_lmics[[Setting]:[Setting]],all_cause_mort[],20,FALSE),0)</f>
        <v>5.7294831999999997E-2</v>
      </c>
      <c r="AH116">
        <f>IFERROR(VLOOKUP(all_lmics[[Setting]:[Setting]],all_cause_mort[],21,FALSE),0)</f>
        <v>9.5849866000000006E-2</v>
      </c>
      <c r="AI116">
        <f>IFERROR(VLOOKUP(all_lmics[[Setting]:[Setting]],all_cause_mort[],22,FALSE),0)</f>
        <v>0.15385720999999999</v>
      </c>
      <c r="AJ116">
        <f>IFERROR(VLOOKUP(all_lmics[[Setting]:[Setting]],all_cause_mort[],23,FALSE),0)</f>
        <v>0.24604038</v>
      </c>
      <c r="AK116">
        <f>IFERROR(VLOOKUP(all_lmics[[Setting]:[Setting]],all_cause_mort[],24,FALSE),0)</f>
        <v>0.36641779000000002</v>
      </c>
      <c r="AL116">
        <f>IFERROR(VLOOKUP(all_lmics[[Setting]:[Setting]],all_cause_mort[],25,FALSE),0)</f>
        <v>0.51844115941692404</v>
      </c>
      <c r="AM116">
        <f>VLOOKUP(all_lmics[[worldbank_region]:[worldbank_region]],Table13[],2,FALSE)</f>
        <v>44.525141999999995</v>
      </c>
      <c r="AN116">
        <f>VLOOKUP(all_lmics[[worldbank_region]:[worldbank_region]],Table13[],3,FALSE)</f>
        <v>44.525141999999995</v>
      </c>
      <c r="AO116">
        <f>VLOOKUP(all_lmics[[worldbank_region]:[worldbank_region]],Table13[],4,FALSE)</f>
        <v>92.254001999999986</v>
      </c>
      <c r="AP116">
        <f>VLOOKUP(all_lmics[[worldbank_region]:[worldbank_region]],Table13[],5,FALSE)</f>
        <v>92.254001999999986</v>
      </c>
      <c r="AQ116">
        <f>VLOOKUP(all_lmics[[worldbank_region]:[worldbank_region]],Table13[],6,FALSE)</f>
        <v>92.254001999999986</v>
      </c>
      <c r="AR116">
        <f>VLOOKUP(all_lmics[[worldbank_region]:[worldbank_region]],Table14[],2,FALSE)</f>
        <v>6.4182919999999992</v>
      </c>
      <c r="AS116">
        <f>VLOOKUP(all_lmics[[worldbank_region]:[worldbank_region]],Table14[],3,FALSE)</f>
        <v>7.0357919999999998</v>
      </c>
      <c r="AT116">
        <f>VLOOKUP(all_lmics[[worldbank_region]:[worldbank_region]],Table14[],4,FALSE)</f>
        <v>10.482872999999998</v>
      </c>
      <c r="AU116">
        <f>VLOOKUP(all_lmics[[worldbank_region]:[worldbank_region]],Table14[],5,FALSE)</f>
        <v>11.100372999999999</v>
      </c>
      <c r="AV116">
        <f>VLOOKUP(all_lmics[[worldbank_region]:[worldbank_region]],Table14[],6,FALSE)</f>
        <v>11.670624999999999</v>
      </c>
      <c r="AW116">
        <f>IFERROR(VLOOKUP(all_lmics[[Setting]:[Setting]],nFacSBA[],4,FALSE),0)</f>
        <v>0.5387849484969518</v>
      </c>
      <c r="AX116">
        <f>VLOOKUP(all_lmics[[worldbank_region]:[worldbank_region]],hbe[],2)</f>
        <v>0.3</v>
      </c>
      <c r="AY116">
        <f>VLOOKUP(all_lmics[[worldbank_region]:[worldbank_region]],hbe[],5)</f>
        <v>0.875</v>
      </c>
      <c r="AZ116">
        <f>VLOOKUP(all_lmics[[worldbank_region]:[worldbank_region]],hbe[],8)</f>
        <v>0.15</v>
      </c>
    </row>
    <row r="117" spans="1:52" x14ac:dyDescent="0.35">
      <c r="A117" s="12" t="s">
        <v>87</v>
      </c>
      <c r="B117" s="13" t="s">
        <v>40</v>
      </c>
      <c r="C117" s="12" t="s">
        <v>9</v>
      </c>
      <c r="D117" s="14" t="s">
        <v>11</v>
      </c>
      <c r="E117">
        <f>VLOOKUP(all_lmics[[Setting]:[Setting]],populations[],9,FALSE)</f>
        <v>1315480</v>
      </c>
      <c r="F117">
        <f>VLOOKUP(all_lmics[[Setting]:[Setting]],birthrate[],3,FALSE)</f>
        <v>1.0699999999999999E-2</v>
      </c>
      <c r="G117">
        <f>all_lmics[[#This Row],[2017_population]]*all_lmics[[#This Row],[2016_birthrate]]</f>
        <v>14075.635999999999</v>
      </c>
      <c r="H117">
        <f>VLOOKUP(all_lmics[[Setting]:[Setting]],birthdose[],4,FALSE)</f>
        <v>0</v>
      </c>
      <c r="I117">
        <f>VLOOKUP(all_lmics[[Setting]:[Setting]],fullvax[],4,FALSE)</f>
        <v>0.92</v>
      </c>
      <c r="J117">
        <f>IFERROR(VLOOKUP(all_lmics[[Setting]:[Setting]],prev[],3,FALSE),0)</f>
        <v>5.0000000000000001E-3</v>
      </c>
      <c r="K117">
        <f>IFERROR(VLOOKUP(all_lmics[[Setting]:[Setting]],prev[],4,FALSE),0)</f>
        <v>5.0000000000000001E-3</v>
      </c>
      <c r="L117">
        <f>IFERROR(VLOOKUP(all_lmics[[Setting]:[Setting]],prev[],5,FALSE),0)</f>
        <v>6.0000000000000001E-3</v>
      </c>
      <c r="M117">
        <f>IFERROR(VLOOKUP(all_lmics[[Setting]:[Setting]],prev[],7,FALSE),0)</f>
        <v>5.1020408163265311E-4</v>
      </c>
      <c r="N117">
        <f>IFERROR(VLOOKUP(all_lmics[[Setting]:[Setting]],prev[],6,FALSE),0)</f>
        <v>1315480</v>
      </c>
      <c r="O117">
        <f>IFERROR(VLOOKUP(all_lmics[[Setting]:[Setting]],SBA[],4,FALSE),0)</f>
        <v>0.99400000000000011</v>
      </c>
      <c r="P117">
        <f>IFERROR(VLOOKUP(all_lmics[[Setting]:[Setting]], facility[], 3,FALSE),0)</f>
        <v>0.99400000000000011</v>
      </c>
      <c r="Q117">
        <f>IFERROR(VLOOKUP(all_lmics[[Setting]:[Setting]],all_cause_mort[],4,FALSE),0)</f>
        <v>2.0025673999999999E-3</v>
      </c>
      <c r="R117">
        <f>IFERROR(VLOOKUP(all_lmics[[Setting]:[Setting]],all_cause_mort[],5,FALSE),0)</f>
        <v>1.6395107999999999E-4</v>
      </c>
      <c r="S117">
        <f>IFERROR(VLOOKUP(all_lmics[[Setting]:[Setting]],all_cause_mort[],6,FALSE),0)</f>
        <v>8.8189093999999996E-5</v>
      </c>
      <c r="T117">
        <f>IFERROR(VLOOKUP(all_lmics[[Setting]:[Setting]],all_cause_mort[],7,FALSE),0)</f>
        <v>1.4860848E-4</v>
      </c>
      <c r="U117">
        <f>IFERROR(VLOOKUP(all_lmics[[Setting]:[Setting]],all_cause_mort[],8,FALSE),0)</f>
        <v>3.9838900999999998E-4</v>
      </c>
      <c r="V117">
        <f>IFERROR(VLOOKUP(all_lmics[[Setting]:[Setting]],all_cause_mort[],9,FALSE),0)</f>
        <v>5.72611E-4</v>
      </c>
      <c r="W117">
        <f>IFERROR(VLOOKUP(all_lmics[[Setting]:[Setting]],all_cause_mort[],10,FALSE),0)</f>
        <v>7.7138637999999999E-4</v>
      </c>
      <c r="X117">
        <f>IFERROR(VLOOKUP(all_lmics[[Setting]:[Setting]],all_cause_mort[],11,FALSE),0)</f>
        <v>1.1905933999999999E-3</v>
      </c>
      <c r="Y117">
        <f>IFERROR(VLOOKUP(all_lmics[[Setting]:[Setting]],all_cause_mort[],12,FALSE),0)</f>
        <v>1.4488302E-3</v>
      </c>
      <c r="Z117">
        <f>IFERROR(VLOOKUP(all_lmics[[Setting]:[Setting]],all_cause_mort[],13,FALSE),0)</f>
        <v>2.0857893999999999E-3</v>
      </c>
      <c r="AA117">
        <f>IFERROR(VLOOKUP(all_lmics[[Setting]:[Setting]],all_cause_mort[],14,FALSE),0)</f>
        <v>3.0265295999999998E-3</v>
      </c>
      <c r="AB117">
        <f>IFERROR(VLOOKUP(all_lmics[[Setting]:[Setting]],all_cause_mort[],15,FALSE),0)</f>
        <v>4.9620679000000004E-3</v>
      </c>
      <c r="AC117">
        <f>IFERROR(VLOOKUP(all_lmics[[Setting]:[Setting]],all_cause_mort[],16,FALSE),0)</f>
        <v>7.7502541000000003E-3</v>
      </c>
      <c r="AD117">
        <f>IFERROR(VLOOKUP(all_lmics[[Setting]:[Setting]],all_cause_mort[],17,FALSE),0)</f>
        <v>1.2560707000000001E-2</v>
      </c>
      <c r="AE117">
        <f>IFERROR(VLOOKUP(all_lmics[[Setting]:[Setting]],all_cause_mort[],18,FALSE),0)</f>
        <v>1.7728991999999999E-2</v>
      </c>
      <c r="AF117">
        <f>IFERROR(VLOOKUP(all_lmics[[Setting]:[Setting]],all_cause_mort[],19,FALSE),0)</f>
        <v>2.5737333000000001E-2</v>
      </c>
      <c r="AG117">
        <f>IFERROR(VLOOKUP(all_lmics[[Setting]:[Setting]],all_cause_mort[],20,FALSE),0)</f>
        <v>3.8329344000000001E-2</v>
      </c>
      <c r="AH117">
        <f>IFERROR(VLOOKUP(all_lmics[[Setting]:[Setting]],all_cause_mort[],21,FALSE),0)</f>
        <v>6.5757226000000002E-2</v>
      </c>
      <c r="AI117">
        <f>IFERROR(VLOOKUP(all_lmics[[Setting]:[Setting]],all_cause_mort[],22,FALSE),0)</f>
        <v>0.11531692</v>
      </c>
      <c r="AJ117">
        <f>IFERROR(VLOOKUP(all_lmics[[Setting]:[Setting]],all_cause_mort[],23,FALSE),0)</f>
        <v>0.19823071</v>
      </c>
      <c r="AK117">
        <f>IFERROR(VLOOKUP(all_lmics[[Setting]:[Setting]],all_cause_mort[],24,FALSE),0)</f>
        <v>0.32972270999999997</v>
      </c>
      <c r="AL117">
        <f>IFERROR(VLOOKUP(all_lmics[[Setting]:[Setting]],all_cause_mort[],25,FALSE),0)</f>
        <v>0.50337928582157698</v>
      </c>
      <c r="AM117">
        <f>VLOOKUP(all_lmics[[worldbank_region]:[worldbank_region]],Table13[],2,FALSE)</f>
        <v>44.525141999999995</v>
      </c>
      <c r="AN117">
        <f>VLOOKUP(all_lmics[[worldbank_region]:[worldbank_region]],Table13[],3,FALSE)</f>
        <v>44.525141999999995</v>
      </c>
      <c r="AO117">
        <f>VLOOKUP(all_lmics[[worldbank_region]:[worldbank_region]],Table13[],4,FALSE)</f>
        <v>92.254001999999986</v>
      </c>
      <c r="AP117">
        <f>VLOOKUP(all_lmics[[worldbank_region]:[worldbank_region]],Table13[],5,FALSE)</f>
        <v>92.254001999999986</v>
      </c>
      <c r="AQ117">
        <f>VLOOKUP(all_lmics[[worldbank_region]:[worldbank_region]],Table13[],6,FALSE)</f>
        <v>92.254001999999986</v>
      </c>
      <c r="AR117">
        <f>VLOOKUP(all_lmics[[worldbank_region]:[worldbank_region]],Table14[],2,FALSE)</f>
        <v>6.4182919999999992</v>
      </c>
      <c r="AS117">
        <f>VLOOKUP(all_lmics[[worldbank_region]:[worldbank_region]],Table14[],3,FALSE)</f>
        <v>7.0357919999999998</v>
      </c>
      <c r="AT117">
        <f>VLOOKUP(all_lmics[[worldbank_region]:[worldbank_region]],Table14[],4,FALSE)</f>
        <v>10.482872999999998</v>
      </c>
      <c r="AU117">
        <f>VLOOKUP(all_lmics[[worldbank_region]:[worldbank_region]],Table14[],5,FALSE)</f>
        <v>11.100372999999999</v>
      </c>
      <c r="AV117">
        <f>VLOOKUP(all_lmics[[worldbank_region]:[worldbank_region]],Table14[],6,FALSE)</f>
        <v>11.670624999999999</v>
      </c>
      <c r="AW117">
        <f>IFERROR(VLOOKUP(all_lmics[[Setting]:[Setting]],nFacSBA[],4,FALSE),0)</f>
        <v>0</v>
      </c>
      <c r="AX117">
        <f>VLOOKUP(all_lmics[[worldbank_region]:[worldbank_region]],hbe[],2)</f>
        <v>0.3</v>
      </c>
      <c r="AY117">
        <f>VLOOKUP(all_lmics[[worldbank_region]:[worldbank_region]],hbe[],5)</f>
        <v>0.875</v>
      </c>
      <c r="AZ117">
        <f>VLOOKUP(all_lmics[[worldbank_region]:[worldbank_region]],hbe[],8)</f>
        <v>0.15</v>
      </c>
    </row>
    <row r="118" spans="1:52" x14ac:dyDescent="0.35">
      <c r="A118" s="12" t="s">
        <v>105</v>
      </c>
      <c r="B118" s="13" t="s">
        <v>40</v>
      </c>
      <c r="C118" s="12" t="s">
        <v>9</v>
      </c>
      <c r="D118" s="14" t="s">
        <v>11</v>
      </c>
      <c r="E118">
        <f>VLOOKUP(all_lmics[[Setting]:[Setting]],populations[],9,FALSE)</f>
        <v>9781127</v>
      </c>
      <c r="F118">
        <f>VLOOKUP(all_lmics[[Setting]:[Setting]],birthrate[],3,FALSE)</f>
        <v>9.6999999999999986E-3</v>
      </c>
      <c r="G118">
        <f>all_lmics[[#This Row],[2017_population]]*all_lmics[[#This Row],[2016_birthrate]]</f>
        <v>94876.931899999981</v>
      </c>
      <c r="H118">
        <f>VLOOKUP(all_lmics[[Setting]:[Setting]],birthdose[],4,FALSE)</f>
        <v>0</v>
      </c>
      <c r="I118">
        <f>VLOOKUP(all_lmics[[Setting]:[Setting]],fullvax[],4,FALSE)</f>
        <v>0</v>
      </c>
      <c r="J118">
        <f>IFERROR(VLOOKUP(all_lmics[[Setting]:[Setting]],prev[],3,FALSE),0)</f>
        <v>4.0000000000000001E-3</v>
      </c>
      <c r="K118">
        <f>IFERROR(VLOOKUP(all_lmics[[Setting]:[Setting]],prev[],4,FALSE),0)</f>
        <v>4.0000000000000001E-3</v>
      </c>
      <c r="L118">
        <f>IFERROR(VLOOKUP(all_lmics[[Setting]:[Setting]],prev[],5,FALSE),0)</f>
        <v>5.0000000000000001E-3</v>
      </c>
      <c r="M118">
        <f>IFERROR(VLOOKUP(all_lmics[[Setting]:[Setting]],prev[],7,FALSE),0)</f>
        <v>5.1020408163265311E-4</v>
      </c>
      <c r="N118">
        <f>IFERROR(VLOOKUP(all_lmics[[Setting]:[Setting]],prev[],6,FALSE),0)</f>
        <v>9781127</v>
      </c>
      <c r="O118">
        <f>IFERROR(VLOOKUP(all_lmics[[Setting]:[Setting]],SBA[],4,FALSE),0)</f>
        <v>0.99199999999999999</v>
      </c>
      <c r="P118">
        <f>IFERROR(VLOOKUP(all_lmics[[Setting]:[Setting]], facility[], 3,FALSE),0)</f>
        <v>0</v>
      </c>
      <c r="Q118">
        <f>IFERROR(VLOOKUP(all_lmics[[Setting]:[Setting]],all_cause_mort[],4,FALSE),0)</f>
        <v>4.0685549999999997E-3</v>
      </c>
      <c r="R118">
        <f>IFERROR(VLOOKUP(all_lmics[[Setting]:[Setting]],all_cause_mort[],5,FALSE),0)</f>
        <v>1.4737438E-4</v>
      </c>
      <c r="S118">
        <f>IFERROR(VLOOKUP(all_lmics[[Setting]:[Setting]],all_cause_mort[],6,FALSE),0)</f>
        <v>6.9005845000000006E-5</v>
      </c>
      <c r="T118">
        <f>IFERROR(VLOOKUP(all_lmics[[Setting]:[Setting]],all_cause_mort[],7,FALSE),0)</f>
        <v>1.152681E-4</v>
      </c>
      <c r="U118">
        <f>IFERROR(VLOOKUP(all_lmics[[Setting]:[Setting]],all_cause_mort[],8,FALSE),0)</f>
        <v>2.4485403000000001E-4</v>
      </c>
      <c r="V118">
        <f>IFERROR(VLOOKUP(all_lmics[[Setting]:[Setting]],all_cause_mort[],9,FALSE),0)</f>
        <v>3.5455455000000001E-4</v>
      </c>
      <c r="W118">
        <f>IFERROR(VLOOKUP(all_lmics[[Setting]:[Setting]],all_cause_mort[],10,FALSE),0)</f>
        <v>4.3526430999999999E-4</v>
      </c>
      <c r="X118">
        <f>IFERROR(VLOOKUP(all_lmics[[Setting]:[Setting]],all_cause_mort[],11,FALSE),0)</f>
        <v>5.3511688000000004E-4</v>
      </c>
      <c r="Y118">
        <f>IFERROR(VLOOKUP(all_lmics[[Setting]:[Setting]],all_cause_mort[],12,FALSE),0)</f>
        <v>8.4618949000000001E-4</v>
      </c>
      <c r="Z118">
        <f>IFERROR(VLOOKUP(all_lmics[[Setting]:[Setting]],all_cause_mort[],13,FALSE),0)</f>
        <v>1.5839580999999999E-3</v>
      </c>
      <c r="AA118">
        <f>IFERROR(VLOOKUP(all_lmics[[Setting]:[Setting]],all_cause_mort[],14,FALSE),0)</f>
        <v>3.538523E-3</v>
      </c>
      <c r="AB118">
        <f>IFERROR(VLOOKUP(all_lmics[[Setting]:[Setting]],all_cause_mort[],15,FALSE),0)</f>
        <v>7.1646317000000001E-3</v>
      </c>
      <c r="AC118">
        <f>IFERROR(VLOOKUP(all_lmics[[Setting]:[Setting]],all_cause_mort[],16,FALSE),0)</f>
        <v>1.1512700000000001E-2</v>
      </c>
      <c r="AD118">
        <f>IFERROR(VLOOKUP(all_lmics[[Setting]:[Setting]],all_cause_mort[],17,FALSE),0)</f>
        <v>1.6488642000000001E-2</v>
      </c>
      <c r="AE118">
        <f>IFERROR(VLOOKUP(all_lmics[[Setting]:[Setting]],all_cause_mort[],18,FALSE),0)</f>
        <v>2.1142310000000001E-2</v>
      </c>
      <c r="AF118">
        <f>IFERROR(VLOOKUP(all_lmics[[Setting]:[Setting]],all_cause_mort[],19,FALSE),0)</f>
        <v>3.0187375999999998E-2</v>
      </c>
      <c r="AG118">
        <f>IFERROR(VLOOKUP(all_lmics[[Setting]:[Setting]],all_cause_mort[],20,FALSE),0)</f>
        <v>4.7527641000000002E-2</v>
      </c>
      <c r="AH118">
        <f>IFERROR(VLOOKUP(all_lmics[[Setting]:[Setting]],all_cause_mort[],21,FALSE),0)</f>
        <v>8.1036774000000006E-2</v>
      </c>
      <c r="AI118">
        <f>IFERROR(VLOOKUP(all_lmics[[Setting]:[Setting]],all_cause_mort[],22,FALSE),0)</f>
        <v>0.14021042</v>
      </c>
      <c r="AJ118">
        <f>IFERROR(VLOOKUP(all_lmics[[Setting]:[Setting]],all_cause_mort[],23,FALSE),0)</f>
        <v>0.21306493000000001</v>
      </c>
      <c r="AK118">
        <f>IFERROR(VLOOKUP(all_lmics[[Setting]:[Setting]],all_cause_mort[],24,FALSE),0)</f>
        <v>0.33246849000000001</v>
      </c>
      <c r="AL118">
        <f>IFERROR(VLOOKUP(all_lmics[[Setting]:[Setting]],all_cause_mort[],25,FALSE),0)</f>
        <v>0.47954535264206699</v>
      </c>
      <c r="AM118">
        <f>VLOOKUP(all_lmics[[worldbank_region]:[worldbank_region]],Table13[],2,FALSE)</f>
        <v>44.525141999999995</v>
      </c>
      <c r="AN118">
        <f>VLOOKUP(all_lmics[[worldbank_region]:[worldbank_region]],Table13[],3,FALSE)</f>
        <v>44.525141999999995</v>
      </c>
      <c r="AO118">
        <f>VLOOKUP(all_lmics[[worldbank_region]:[worldbank_region]],Table13[],4,FALSE)</f>
        <v>92.254001999999986</v>
      </c>
      <c r="AP118">
        <f>VLOOKUP(all_lmics[[worldbank_region]:[worldbank_region]],Table13[],5,FALSE)</f>
        <v>92.254001999999986</v>
      </c>
      <c r="AQ118">
        <f>VLOOKUP(all_lmics[[worldbank_region]:[worldbank_region]],Table13[],6,FALSE)</f>
        <v>92.254001999999986</v>
      </c>
      <c r="AR118">
        <f>VLOOKUP(all_lmics[[worldbank_region]:[worldbank_region]],Table14[],2,FALSE)</f>
        <v>6.4182919999999992</v>
      </c>
      <c r="AS118">
        <f>VLOOKUP(all_lmics[[worldbank_region]:[worldbank_region]],Table14[],3,FALSE)</f>
        <v>7.0357919999999998</v>
      </c>
      <c r="AT118">
        <f>VLOOKUP(all_lmics[[worldbank_region]:[worldbank_region]],Table14[],4,FALSE)</f>
        <v>10.482872999999998</v>
      </c>
      <c r="AU118">
        <f>VLOOKUP(all_lmics[[worldbank_region]:[worldbank_region]],Table14[],5,FALSE)</f>
        <v>11.100372999999999</v>
      </c>
      <c r="AV118">
        <f>VLOOKUP(all_lmics[[worldbank_region]:[worldbank_region]],Table14[],6,FALSE)</f>
        <v>11.670624999999999</v>
      </c>
      <c r="AW118">
        <f>IFERROR(VLOOKUP(all_lmics[[Setting]:[Setting]],nFacSBA[],4,FALSE),0)</f>
        <v>0</v>
      </c>
      <c r="AX118">
        <f>VLOOKUP(all_lmics[[worldbank_region]:[worldbank_region]],hbe[],2)</f>
        <v>0.3</v>
      </c>
      <c r="AY118">
        <f>VLOOKUP(all_lmics[[worldbank_region]:[worldbank_region]],hbe[],5)</f>
        <v>0.875</v>
      </c>
      <c r="AZ118">
        <f>VLOOKUP(all_lmics[[worldbank_region]:[worldbank_region]],hbe[],8)</f>
        <v>0.15</v>
      </c>
    </row>
    <row r="119" spans="1:52" x14ac:dyDescent="0.35">
      <c r="A119" s="12" t="s">
        <v>118</v>
      </c>
      <c r="B119" s="13" t="s">
        <v>40</v>
      </c>
      <c r="C119" s="12" t="s">
        <v>9</v>
      </c>
      <c r="D119" s="14" t="s">
        <v>11</v>
      </c>
      <c r="E119">
        <f>VLOOKUP(all_lmics[[Setting]:[Setting]],populations[],9,FALSE)</f>
        <v>18037646</v>
      </c>
      <c r="F119">
        <f>VLOOKUP(all_lmics[[Setting]:[Setting]],birthrate[],3,FALSE)</f>
        <v>2.2519999999999998E-2</v>
      </c>
      <c r="G119">
        <f>all_lmics[[#This Row],[2017_population]]*all_lmics[[#This Row],[2016_birthrate]]</f>
        <v>406207.78791999997</v>
      </c>
      <c r="H119">
        <f>VLOOKUP(all_lmics[[Setting]:[Setting]],birthdose[],4,FALSE)</f>
        <v>0.9</v>
      </c>
      <c r="I119">
        <f>VLOOKUP(all_lmics[[Setting]:[Setting]],fullvax[],4,FALSE)</f>
        <v>0.99</v>
      </c>
      <c r="J119">
        <f>IFERROR(VLOOKUP(all_lmics[[Setting]:[Setting]],prev[],3,FALSE),0)</f>
        <v>2.7E-2</v>
      </c>
      <c r="K119">
        <f>IFERROR(VLOOKUP(all_lmics[[Setting]:[Setting]],prev[],4,FALSE),0)</f>
        <v>1.9E-2</v>
      </c>
      <c r="L119">
        <f>IFERROR(VLOOKUP(all_lmics[[Setting]:[Setting]],prev[],5,FALSE),0)</f>
        <v>3.5999999999999997E-2</v>
      </c>
      <c r="M119">
        <f>IFERROR(VLOOKUP(all_lmics[[Setting]:[Setting]],prev[],7,FALSE),0)</f>
        <v>4.5918367346938762E-3</v>
      </c>
      <c r="N119">
        <f>IFERROR(VLOOKUP(all_lmics[[Setting]:[Setting]],prev[],6,FALSE),0)</f>
        <v>18037646</v>
      </c>
      <c r="O119">
        <f>IFERROR(VLOOKUP(all_lmics[[Setting]:[Setting]],SBA[],4,FALSE),0)</f>
        <v>0.99400000000000011</v>
      </c>
      <c r="P119">
        <f>IFERROR(VLOOKUP(all_lmics[[Setting]:[Setting]], facility[], 3,FALSE),0)</f>
        <v>0.99299999999999999</v>
      </c>
      <c r="Q119">
        <f>IFERROR(VLOOKUP(all_lmics[[Setting]:[Setting]],all_cause_mort[],4,FALSE),0)</f>
        <v>7.7288879999999997E-3</v>
      </c>
      <c r="R119">
        <f>IFERROR(VLOOKUP(all_lmics[[Setting]:[Setting]],all_cause_mort[],5,FALSE),0)</f>
        <v>5.5953120999999997E-4</v>
      </c>
      <c r="S119">
        <f>IFERROR(VLOOKUP(all_lmics[[Setting]:[Setting]],all_cause_mort[],6,FALSE),0)</f>
        <v>2.7372688999999998E-4</v>
      </c>
      <c r="T119">
        <f>IFERROR(VLOOKUP(all_lmics[[Setting]:[Setting]],all_cause_mort[],7,FALSE),0)</f>
        <v>2.9309212999999997E-4</v>
      </c>
      <c r="U119">
        <f>IFERROR(VLOOKUP(all_lmics[[Setting]:[Setting]],all_cause_mort[],8,FALSE),0)</f>
        <v>5.9136889000000002E-4</v>
      </c>
      <c r="V119">
        <f>IFERROR(VLOOKUP(all_lmics[[Setting]:[Setting]],all_cause_mort[],9,FALSE),0)</f>
        <v>8.6980911000000003E-4</v>
      </c>
      <c r="W119">
        <f>IFERROR(VLOOKUP(all_lmics[[Setting]:[Setting]],all_cause_mort[],10,FALSE),0)</f>
        <v>1.1352812E-3</v>
      </c>
      <c r="X119">
        <f>IFERROR(VLOOKUP(all_lmics[[Setting]:[Setting]],all_cause_mort[],11,FALSE),0)</f>
        <v>1.7432176E-3</v>
      </c>
      <c r="Y119">
        <f>IFERROR(VLOOKUP(all_lmics[[Setting]:[Setting]],all_cause_mort[],12,FALSE),0)</f>
        <v>2.7831562999999998E-3</v>
      </c>
      <c r="Z119">
        <f>IFERROR(VLOOKUP(all_lmics[[Setting]:[Setting]],all_cause_mort[],13,FALSE),0)</f>
        <v>3.8465075E-3</v>
      </c>
      <c r="AA119">
        <f>IFERROR(VLOOKUP(all_lmics[[Setting]:[Setting]],all_cause_mort[],14,FALSE),0)</f>
        <v>5.1737381000000002E-3</v>
      </c>
      <c r="AB119">
        <f>IFERROR(VLOOKUP(all_lmics[[Setting]:[Setting]],all_cause_mort[],15,FALSE),0)</f>
        <v>7.2727210999999998E-3</v>
      </c>
      <c r="AC119">
        <f>IFERROR(VLOOKUP(all_lmics[[Setting]:[Setting]],all_cause_mort[],16,FALSE),0)</f>
        <v>1.1002101E-2</v>
      </c>
      <c r="AD119">
        <f>IFERROR(VLOOKUP(all_lmics[[Setting]:[Setting]],all_cause_mort[],17,FALSE),0)</f>
        <v>1.7208781999999999E-2</v>
      </c>
      <c r="AE119">
        <f>IFERROR(VLOOKUP(all_lmics[[Setting]:[Setting]],all_cause_mort[],18,FALSE),0)</f>
        <v>2.6282600999999999E-2</v>
      </c>
      <c r="AF119">
        <f>IFERROR(VLOOKUP(all_lmics[[Setting]:[Setting]],all_cause_mort[],19,FALSE),0)</f>
        <v>3.7711517E-2</v>
      </c>
      <c r="AG119">
        <f>IFERROR(VLOOKUP(all_lmics[[Setting]:[Setting]],all_cause_mort[],20,FALSE),0)</f>
        <v>6.2512025999999998E-2</v>
      </c>
      <c r="AH119">
        <f>IFERROR(VLOOKUP(all_lmics[[Setting]:[Setting]],all_cause_mort[],21,FALSE),0)</f>
        <v>9.9659063000000006E-2</v>
      </c>
      <c r="AI119">
        <f>IFERROR(VLOOKUP(all_lmics[[Setting]:[Setting]],all_cause_mort[],22,FALSE),0)</f>
        <v>0.15727260000000001</v>
      </c>
      <c r="AJ119">
        <f>IFERROR(VLOOKUP(all_lmics[[Setting]:[Setting]],all_cause_mort[],23,FALSE),0)</f>
        <v>0.24327615999999999</v>
      </c>
      <c r="AK119">
        <f>IFERROR(VLOOKUP(all_lmics[[Setting]:[Setting]],all_cause_mort[],24,FALSE),0)</f>
        <v>0.35379930999999998</v>
      </c>
      <c r="AL119">
        <f>IFERROR(VLOOKUP(all_lmics[[Setting]:[Setting]],all_cause_mort[],25,FALSE),0)</f>
        <v>0.49623223271505301</v>
      </c>
      <c r="AM119">
        <f>VLOOKUP(all_lmics[[worldbank_region]:[worldbank_region]],Table13[],2,FALSE)</f>
        <v>44.525141999999995</v>
      </c>
      <c r="AN119">
        <f>VLOOKUP(all_lmics[[worldbank_region]:[worldbank_region]],Table13[],3,FALSE)</f>
        <v>44.525141999999995</v>
      </c>
      <c r="AO119">
        <f>VLOOKUP(all_lmics[[worldbank_region]:[worldbank_region]],Table13[],4,FALSE)</f>
        <v>92.254001999999986</v>
      </c>
      <c r="AP119">
        <f>VLOOKUP(all_lmics[[worldbank_region]:[worldbank_region]],Table13[],5,FALSE)</f>
        <v>92.254001999999986</v>
      </c>
      <c r="AQ119">
        <f>VLOOKUP(all_lmics[[worldbank_region]:[worldbank_region]],Table13[],6,FALSE)</f>
        <v>92.254001999999986</v>
      </c>
      <c r="AR119">
        <f>VLOOKUP(all_lmics[[worldbank_region]:[worldbank_region]],Table14[],2,FALSE)</f>
        <v>6.4182919999999992</v>
      </c>
      <c r="AS119">
        <f>VLOOKUP(all_lmics[[worldbank_region]:[worldbank_region]],Table14[],3,FALSE)</f>
        <v>7.0357919999999998</v>
      </c>
      <c r="AT119">
        <f>VLOOKUP(all_lmics[[worldbank_region]:[worldbank_region]],Table14[],4,FALSE)</f>
        <v>10.482872999999998</v>
      </c>
      <c r="AU119">
        <f>VLOOKUP(all_lmics[[worldbank_region]:[worldbank_region]],Table14[],5,FALSE)</f>
        <v>11.100372999999999</v>
      </c>
      <c r="AV119">
        <f>VLOOKUP(all_lmics[[worldbank_region]:[worldbank_region]],Table14[],6,FALSE)</f>
        <v>11.670624999999999</v>
      </c>
      <c r="AW119">
        <f>IFERROR(VLOOKUP(all_lmics[[Setting]:[Setting]],nFacSBA[],4,FALSE),0)</f>
        <v>0.6192701779615315</v>
      </c>
      <c r="AX119">
        <f>VLOOKUP(all_lmics[[worldbank_region]:[worldbank_region]],hbe[],2)</f>
        <v>0.3</v>
      </c>
      <c r="AY119">
        <f>VLOOKUP(all_lmics[[worldbank_region]:[worldbank_region]],hbe[],5)</f>
        <v>0.875</v>
      </c>
      <c r="AZ119">
        <f>VLOOKUP(all_lmics[[worldbank_region]:[worldbank_region]],hbe[],8)</f>
        <v>0.15</v>
      </c>
    </row>
    <row r="120" spans="1:52" x14ac:dyDescent="0.35">
      <c r="A120" s="12" t="s">
        <v>124</v>
      </c>
      <c r="B120" s="13" t="s">
        <v>40</v>
      </c>
      <c r="C120" s="12" t="s">
        <v>9</v>
      </c>
      <c r="D120" s="14" t="s">
        <v>11</v>
      </c>
      <c r="E120">
        <f>VLOOKUP(all_lmics[[Setting]:[Setting]],populations[],9,FALSE)</f>
        <v>1940740</v>
      </c>
      <c r="F120">
        <f>VLOOKUP(all_lmics[[Setting]:[Setting]],birthrate[],3,FALSE)</f>
        <v>1.12E-2</v>
      </c>
      <c r="G120">
        <f>all_lmics[[#This Row],[2017_population]]*all_lmics[[#This Row],[2016_birthrate]]</f>
        <v>21736.288</v>
      </c>
      <c r="H120">
        <f>VLOOKUP(all_lmics[[Setting]:[Setting]],birthdose[],4,FALSE)</f>
        <v>0</v>
      </c>
      <c r="I120">
        <f>VLOOKUP(all_lmics[[Setting]:[Setting]],fullvax[],4,FALSE)</f>
        <v>0.98</v>
      </c>
      <c r="J120">
        <f>IFERROR(VLOOKUP(all_lmics[[Setting]:[Setting]],prev[],3,FALSE),0)</f>
        <v>0</v>
      </c>
      <c r="K120">
        <f>IFERROR(VLOOKUP(all_lmics[[Setting]:[Setting]],prev[],4,FALSE),0)</f>
        <v>0</v>
      </c>
      <c r="L120">
        <f>IFERROR(VLOOKUP(all_lmics[[Setting]:[Setting]],prev[],5,FALSE),0)</f>
        <v>0</v>
      </c>
      <c r="M120">
        <f>IFERROR(VLOOKUP(all_lmics[[Setting]:[Setting]],prev[],7,FALSE),0)</f>
        <v>0</v>
      </c>
      <c r="N120">
        <f>IFERROR(VLOOKUP(all_lmics[[Setting]:[Setting]],prev[],6,FALSE),0)</f>
        <v>0</v>
      </c>
      <c r="O120">
        <f>IFERROR(VLOOKUP(all_lmics[[Setting]:[Setting]],SBA[],4,FALSE),0)</f>
        <v>0.99900000000000011</v>
      </c>
      <c r="P120">
        <f>IFERROR(VLOOKUP(all_lmics[[Setting]:[Setting]], facility[], 3,FALSE),0)</f>
        <v>0.98099999999999998</v>
      </c>
      <c r="Q120">
        <f>IFERROR(VLOOKUP(all_lmics[[Setting]:[Setting]],all_cause_mort[],4,FALSE),0)</f>
        <v>3.3542595999999998E-3</v>
      </c>
      <c r="R120">
        <f>IFERROR(VLOOKUP(all_lmics[[Setting]:[Setting]],all_cause_mort[],5,FALSE),0)</f>
        <v>5.3342728000000002E-4</v>
      </c>
      <c r="S120">
        <f>IFERROR(VLOOKUP(all_lmics[[Setting]:[Setting]],all_cause_mort[],6,FALSE),0)</f>
        <v>1.4805062000000001E-4</v>
      </c>
      <c r="T120">
        <f>IFERROR(VLOOKUP(all_lmics[[Setting]:[Setting]],all_cause_mort[],7,FALSE),0)</f>
        <v>1.7660127E-4</v>
      </c>
      <c r="U120">
        <f>IFERROR(VLOOKUP(all_lmics[[Setting]:[Setting]],all_cause_mort[],8,FALSE),0)</f>
        <v>4.4356541999999999E-4</v>
      </c>
      <c r="V120">
        <f>IFERROR(VLOOKUP(all_lmics[[Setting]:[Setting]],all_cause_mort[],9,FALSE),0)</f>
        <v>8.0231539000000002E-4</v>
      </c>
      <c r="W120">
        <f>IFERROR(VLOOKUP(all_lmics[[Setting]:[Setting]],all_cause_mort[],10,FALSE),0)</f>
        <v>1.2384698999999999E-3</v>
      </c>
      <c r="X120">
        <f>IFERROR(VLOOKUP(all_lmics[[Setting]:[Setting]],all_cause_mort[],11,FALSE),0)</f>
        <v>1.6938649000000001E-3</v>
      </c>
      <c r="Y120">
        <f>IFERROR(VLOOKUP(all_lmics[[Setting]:[Setting]],all_cause_mort[],12,FALSE),0)</f>
        <v>2.5519619E-3</v>
      </c>
      <c r="Z120">
        <f>IFERROR(VLOOKUP(all_lmics[[Setting]:[Setting]],all_cause_mort[],13,FALSE),0)</f>
        <v>3.7293782999999999E-3</v>
      </c>
      <c r="AA120">
        <f>IFERROR(VLOOKUP(all_lmics[[Setting]:[Setting]],all_cause_mort[],14,FALSE),0)</f>
        <v>5.1716760000000001E-3</v>
      </c>
      <c r="AB120">
        <f>IFERROR(VLOOKUP(all_lmics[[Setting]:[Setting]],all_cause_mort[],15,FALSE),0)</f>
        <v>7.5171780999999998E-3</v>
      </c>
      <c r="AC120">
        <f>IFERROR(VLOOKUP(all_lmics[[Setting]:[Setting]],all_cause_mort[],16,FALSE),0)</f>
        <v>1.1427886E-2</v>
      </c>
      <c r="AD120">
        <f>IFERROR(VLOOKUP(all_lmics[[Setting]:[Setting]],all_cause_mort[],17,FALSE),0)</f>
        <v>1.6585707000000002E-2</v>
      </c>
      <c r="AE120">
        <f>IFERROR(VLOOKUP(all_lmics[[Setting]:[Setting]],all_cause_mort[],18,FALSE),0)</f>
        <v>2.3548299000000002E-2</v>
      </c>
      <c r="AF120">
        <f>IFERROR(VLOOKUP(all_lmics[[Setting]:[Setting]],all_cause_mort[],19,FALSE),0)</f>
        <v>3.3958969999999998E-2</v>
      </c>
      <c r="AG120">
        <f>IFERROR(VLOOKUP(all_lmics[[Setting]:[Setting]],all_cause_mort[],20,FALSE),0)</f>
        <v>4.9441624000000003E-2</v>
      </c>
      <c r="AH120">
        <f>IFERROR(VLOOKUP(all_lmics[[Setting]:[Setting]],all_cause_mort[],21,FALSE),0)</f>
        <v>8.0133614000000006E-2</v>
      </c>
      <c r="AI120">
        <f>IFERROR(VLOOKUP(all_lmics[[Setting]:[Setting]],all_cause_mort[],22,FALSE),0)</f>
        <v>0.10509319</v>
      </c>
      <c r="AJ120">
        <f>IFERROR(VLOOKUP(all_lmics[[Setting]:[Setting]],all_cause_mort[],23,FALSE),0)</f>
        <v>0.15307171</v>
      </c>
      <c r="AK120">
        <f>IFERROR(VLOOKUP(all_lmics[[Setting]:[Setting]],all_cause_mort[],24,FALSE),0)</f>
        <v>0.22464514999999999</v>
      </c>
      <c r="AL120">
        <f>IFERROR(VLOOKUP(all_lmics[[Setting]:[Setting]],all_cause_mort[],25,FALSE),0)</f>
        <v>0.33510088999780502</v>
      </c>
      <c r="AM120">
        <f>VLOOKUP(all_lmics[[worldbank_region]:[worldbank_region]],Table13[],2,FALSE)</f>
        <v>44.525141999999995</v>
      </c>
      <c r="AN120">
        <f>VLOOKUP(all_lmics[[worldbank_region]:[worldbank_region]],Table13[],3,FALSE)</f>
        <v>44.525141999999995</v>
      </c>
      <c r="AO120">
        <f>VLOOKUP(all_lmics[[worldbank_region]:[worldbank_region]],Table13[],4,FALSE)</f>
        <v>92.254001999999986</v>
      </c>
      <c r="AP120">
        <f>VLOOKUP(all_lmics[[worldbank_region]:[worldbank_region]],Table13[],5,FALSE)</f>
        <v>92.254001999999986</v>
      </c>
      <c r="AQ120">
        <f>VLOOKUP(all_lmics[[worldbank_region]:[worldbank_region]],Table13[],6,FALSE)</f>
        <v>92.254001999999986</v>
      </c>
      <c r="AR120">
        <f>VLOOKUP(all_lmics[[worldbank_region]:[worldbank_region]],Table14[],2,FALSE)</f>
        <v>6.4182919999999992</v>
      </c>
      <c r="AS120">
        <f>VLOOKUP(all_lmics[[worldbank_region]:[worldbank_region]],Table14[],3,FALSE)</f>
        <v>7.0357919999999998</v>
      </c>
      <c r="AT120">
        <f>VLOOKUP(all_lmics[[worldbank_region]:[worldbank_region]],Table14[],4,FALSE)</f>
        <v>10.482872999999998</v>
      </c>
      <c r="AU120">
        <f>VLOOKUP(all_lmics[[worldbank_region]:[worldbank_region]],Table14[],5,FALSE)</f>
        <v>11.100372999999999</v>
      </c>
      <c r="AV120">
        <f>VLOOKUP(all_lmics[[worldbank_region]:[worldbank_region]],Table14[],6,FALSE)</f>
        <v>11.670624999999999</v>
      </c>
      <c r="AW120">
        <f>IFERROR(VLOOKUP(all_lmics[[Setting]:[Setting]],nFacSBA[],4,FALSE),0)</f>
        <v>0</v>
      </c>
      <c r="AX120">
        <f>VLOOKUP(all_lmics[[worldbank_region]:[worldbank_region]],hbe[],2)</f>
        <v>0.3</v>
      </c>
      <c r="AY120">
        <f>VLOOKUP(all_lmics[[worldbank_region]:[worldbank_region]],hbe[],5)</f>
        <v>0.875</v>
      </c>
      <c r="AZ120">
        <f>VLOOKUP(all_lmics[[worldbank_region]:[worldbank_region]],hbe[],8)</f>
        <v>0.15</v>
      </c>
    </row>
    <row r="121" spans="1:52" x14ac:dyDescent="0.35">
      <c r="A121" s="8" t="s">
        <v>129</v>
      </c>
      <c r="B121" s="10" t="s">
        <v>40</v>
      </c>
      <c r="C121" s="8" t="s">
        <v>9</v>
      </c>
      <c r="D121" s="11" t="s">
        <v>11</v>
      </c>
      <c r="E121">
        <f>VLOOKUP(all_lmics[[Setting]:[Setting]],populations[],9,FALSE)</f>
        <v>2827721</v>
      </c>
      <c r="F121">
        <f>VLOOKUP(all_lmics[[Setting]:[Setting]],birthrate[],3,FALSE)</f>
        <v>1.0699999999999999E-2</v>
      </c>
      <c r="G121">
        <f>all_lmics[[#This Row],[2017_population]]*all_lmics[[#This Row],[2016_birthrate]]</f>
        <v>30256.614699999998</v>
      </c>
      <c r="H121">
        <f>VLOOKUP(all_lmics[[Setting]:[Setting]],birthdose[],4,FALSE)</f>
        <v>0.97</v>
      </c>
      <c r="I121">
        <f>VLOOKUP(all_lmics[[Setting]:[Setting]],fullvax[],4,FALSE)</f>
        <v>0.94</v>
      </c>
      <c r="J121">
        <f>IFERROR(VLOOKUP(all_lmics[[Setting]:[Setting]],prev[],3,FALSE),0)</f>
        <v>1.7000000000000001E-2</v>
      </c>
      <c r="K121">
        <f>IFERROR(VLOOKUP(all_lmics[[Setting]:[Setting]],prev[],4,FALSE),0)</f>
        <v>1.55E-2</v>
      </c>
      <c r="L121">
        <f>IFERROR(VLOOKUP(all_lmics[[Setting]:[Setting]],prev[],5,FALSE),0)</f>
        <v>1.8599999999999998E-2</v>
      </c>
      <c r="M121">
        <f>IFERROR(VLOOKUP(all_lmics[[Setting]:[Setting]],prev[],7,FALSE),0)</f>
        <v>8.1632653061224352E-4</v>
      </c>
      <c r="N121">
        <f>IFERROR(VLOOKUP(all_lmics[[Setting]:[Setting]],prev[],6,FALSE),0)</f>
        <v>3097282</v>
      </c>
      <c r="O121">
        <f>IFERROR(VLOOKUP(all_lmics[[Setting]:[Setting]],SBA[],4,FALSE),0)</f>
        <v>0.9998999999999999</v>
      </c>
      <c r="P121">
        <f>IFERROR(VLOOKUP(all_lmics[[Setting]:[Setting]], facility[], 3,FALSE),0)</f>
        <v>0</v>
      </c>
      <c r="Q121">
        <f>IFERROR(VLOOKUP(all_lmics[[Setting]:[Setting]],all_cause_mort[],4,FALSE),0)</f>
        <v>4.0572268999999996E-3</v>
      </c>
      <c r="R121">
        <f>IFERROR(VLOOKUP(all_lmics[[Setting]:[Setting]],all_cause_mort[],5,FALSE),0)</f>
        <v>2.0967292E-4</v>
      </c>
      <c r="S121">
        <f>IFERROR(VLOOKUP(all_lmics[[Setting]:[Setting]],all_cause_mort[],6,FALSE),0)</f>
        <v>9.2799150999999997E-5</v>
      </c>
      <c r="T121">
        <f>IFERROR(VLOOKUP(all_lmics[[Setting]:[Setting]],all_cause_mort[],7,FALSE),0)</f>
        <v>1.9663063E-4</v>
      </c>
      <c r="U121">
        <f>IFERROR(VLOOKUP(all_lmics[[Setting]:[Setting]],all_cause_mort[],8,FALSE),0)</f>
        <v>4.2034412000000002E-4</v>
      </c>
      <c r="V121">
        <f>IFERROR(VLOOKUP(all_lmics[[Setting]:[Setting]],all_cause_mort[],9,FALSE),0)</f>
        <v>6.6710281000000005E-4</v>
      </c>
      <c r="W121">
        <f>IFERROR(VLOOKUP(all_lmics[[Setting]:[Setting]],all_cause_mort[],10,FALSE),0)</f>
        <v>1.1256278E-3</v>
      </c>
      <c r="X121">
        <f>IFERROR(VLOOKUP(all_lmics[[Setting]:[Setting]],all_cause_mort[],11,FALSE),0)</f>
        <v>1.8405520000000001E-3</v>
      </c>
      <c r="Y121">
        <f>IFERROR(VLOOKUP(all_lmics[[Setting]:[Setting]],all_cause_mort[],12,FALSE),0)</f>
        <v>2.6708560000000001E-3</v>
      </c>
      <c r="Z121">
        <f>IFERROR(VLOOKUP(all_lmics[[Setting]:[Setting]],all_cause_mort[],13,FALSE),0)</f>
        <v>3.7974453000000001E-3</v>
      </c>
      <c r="AA121">
        <f>IFERROR(VLOOKUP(all_lmics[[Setting]:[Setting]],all_cause_mort[],14,FALSE),0)</f>
        <v>5.5226620999999998E-3</v>
      </c>
      <c r="AB121">
        <f>IFERROR(VLOOKUP(all_lmics[[Setting]:[Setting]],all_cause_mort[],15,FALSE),0)</f>
        <v>7.6645621999999998E-3</v>
      </c>
      <c r="AC121">
        <f>IFERROR(VLOOKUP(all_lmics[[Setting]:[Setting]],all_cause_mort[],16,FALSE),0)</f>
        <v>1.1045266999999999E-2</v>
      </c>
      <c r="AD121">
        <f>IFERROR(VLOOKUP(all_lmics[[Setting]:[Setting]],all_cause_mort[],17,FALSE),0)</f>
        <v>1.6510876000000001E-2</v>
      </c>
      <c r="AE121">
        <f>IFERROR(VLOOKUP(all_lmics[[Setting]:[Setting]],all_cause_mort[],18,FALSE),0)</f>
        <v>2.2540457E-2</v>
      </c>
      <c r="AF121">
        <f>IFERROR(VLOOKUP(all_lmics[[Setting]:[Setting]],all_cause_mort[],19,FALSE),0)</f>
        <v>3.106018E-2</v>
      </c>
      <c r="AG121">
        <f>IFERROR(VLOOKUP(all_lmics[[Setting]:[Setting]],all_cause_mort[],20,FALSE),0)</f>
        <v>4.4658710999999997E-2</v>
      </c>
      <c r="AH121">
        <f>IFERROR(VLOOKUP(all_lmics[[Setting]:[Setting]],all_cause_mort[],21,FALSE),0)</f>
        <v>7.5285900000000003E-2</v>
      </c>
      <c r="AI121">
        <f>IFERROR(VLOOKUP(all_lmics[[Setting]:[Setting]],all_cause_mort[],22,FALSE),0)</f>
        <v>9.5332129000000002E-2</v>
      </c>
      <c r="AJ121">
        <f>IFERROR(VLOOKUP(all_lmics[[Setting]:[Setting]],all_cause_mort[],23,FALSE),0)</f>
        <v>0.13974270999999999</v>
      </c>
      <c r="AK121">
        <f>IFERROR(VLOOKUP(all_lmics[[Setting]:[Setting]],all_cause_mort[],24,FALSE),0)</f>
        <v>0.20336660000000001</v>
      </c>
      <c r="AL121">
        <f>IFERROR(VLOOKUP(all_lmics[[Setting]:[Setting]],all_cause_mort[],25,FALSE),0)</f>
        <v>0.30661519210821597</v>
      </c>
      <c r="AM121">
        <f>VLOOKUP(all_lmics[[worldbank_region]:[worldbank_region]],Table13[],2,FALSE)</f>
        <v>44.525141999999995</v>
      </c>
      <c r="AN121">
        <f>VLOOKUP(all_lmics[[worldbank_region]:[worldbank_region]],Table13[],3,FALSE)</f>
        <v>44.525141999999995</v>
      </c>
      <c r="AO121">
        <f>VLOOKUP(all_lmics[[worldbank_region]:[worldbank_region]],Table13[],4,FALSE)</f>
        <v>92.254001999999986</v>
      </c>
      <c r="AP121">
        <f>VLOOKUP(all_lmics[[worldbank_region]:[worldbank_region]],Table13[],5,FALSE)</f>
        <v>92.254001999999986</v>
      </c>
      <c r="AQ121">
        <f>VLOOKUP(all_lmics[[worldbank_region]:[worldbank_region]],Table13[],6,FALSE)</f>
        <v>92.254001999999986</v>
      </c>
      <c r="AR121">
        <f>VLOOKUP(all_lmics[[worldbank_region]:[worldbank_region]],Table14[],2,FALSE)</f>
        <v>6.4182919999999992</v>
      </c>
      <c r="AS121">
        <f>VLOOKUP(all_lmics[[worldbank_region]:[worldbank_region]],Table14[],3,FALSE)</f>
        <v>7.0357919999999998</v>
      </c>
      <c r="AT121">
        <f>VLOOKUP(all_lmics[[worldbank_region]:[worldbank_region]],Table14[],4,FALSE)</f>
        <v>10.482872999999998</v>
      </c>
      <c r="AU121">
        <f>VLOOKUP(all_lmics[[worldbank_region]:[worldbank_region]],Table14[],5,FALSE)</f>
        <v>11.100372999999999</v>
      </c>
      <c r="AV121">
        <f>VLOOKUP(all_lmics[[worldbank_region]:[worldbank_region]],Table14[],6,FALSE)</f>
        <v>11.670624999999999</v>
      </c>
      <c r="AW121">
        <f>IFERROR(VLOOKUP(all_lmics[[Setting]:[Setting]],nFacSBA[],4,FALSE),0)</f>
        <v>0</v>
      </c>
      <c r="AX121">
        <f>VLOOKUP(all_lmics[[worldbank_region]:[worldbank_region]],hbe[],2)</f>
        <v>0.3</v>
      </c>
      <c r="AY121">
        <f>VLOOKUP(all_lmics[[worldbank_region]:[worldbank_region]],hbe[],5)</f>
        <v>0.875</v>
      </c>
      <c r="AZ121">
        <f>VLOOKUP(all_lmics[[worldbank_region]:[worldbank_region]],hbe[],8)</f>
        <v>0.15</v>
      </c>
    </row>
    <row r="122" spans="1:52" x14ac:dyDescent="0.35">
      <c r="A122" s="12" t="s">
        <v>170</v>
      </c>
      <c r="B122" s="13" t="s">
        <v>40</v>
      </c>
      <c r="C122" s="12" t="s">
        <v>9</v>
      </c>
      <c r="D122" s="14" t="s">
        <v>11</v>
      </c>
      <c r="E122">
        <f>VLOOKUP(all_lmics[[Setting]:[Setting]],populations[],9,FALSE)</f>
        <v>3549750</v>
      </c>
      <c r="F122">
        <f>VLOOKUP(all_lmics[[Setting]:[Setting]],birthrate[],3,FALSE)</f>
        <v>1.0323000000000001E-2</v>
      </c>
      <c r="G122">
        <f>all_lmics[[#This Row],[2017_population]]*all_lmics[[#This Row],[2016_birthrate]]</f>
        <v>36644.06925</v>
      </c>
      <c r="H122">
        <f>VLOOKUP(all_lmics[[Setting]:[Setting]],birthdose[],4,FALSE)</f>
        <v>0.96</v>
      </c>
      <c r="I122">
        <f>VLOOKUP(all_lmics[[Setting]:[Setting]],fullvax[],4,FALSE)</f>
        <v>0.89</v>
      </c>
      <c r="J122">
        <f>IFERROR(VLOOKUP(all_lmics[[Setting]:[Setting]],prev[],3,FALSE),0)</f>
        <v>7.3800000000000004E-2</v>
      </c>
      <c r="K122">
        <f>IFERROR(VLOOKUP(all_lmics[[Setting]:[Setting]],prev[],4,FALSE),0)</f>
        <v>6.6799999999999998E-2</v>
      </c>
      <c r="L122">
        <f>IFERROR(VLOOKUP(all_lmics[[Setting]:[Setting]],prev[],5,FALSE),0)</f>
        <v>8.14E-2</v>
      </c>
      <c r="M122">
        <f>IFERROR(VLOOKUP(all_lmics[[Setting]:[Setting]],prev[],7,FALSE),0)</f>
        <v>3.8775510204081612E-3</v>
      </c>
      <c r="N122">
        <f>IFERROR(VLOOKUP(all_lmics[[Setting]:[Setting]],prev[],6,FALSE),0)</f>
        <v>3562045</v>
      </c>
      <c r="O122">
        <f>IFERROR(VLOOKUP(all_lmics[[Setting]:[Setting]],SBA[],4,FALSE),0)</f>
        <v>0.997</v>
      </c>
      <c r="P122">
        <f>IFERROR(VLOOKUP(all_lmics[[Setting]:[Setting]], facility[], 3,FALSE),0)</f>
        <v>0.99400000000000011</v>
      </c>
      <c r="Q122">
        <f>IFERROR(VLOOKUP(all_lmics[[Setting]:[Setting]],all_cause_mort[],4,FALSE),0)</f>
        <v>1.2497780999999999E-2</v>
      </c>
      <c r="R122">
        <f>IFERROR(VLOOKUP(all_lmics[[Setting]:[Setting]],all_cause_mort[],5,FALSE),0)</f>
        <v>5.1718494999999996E-4</v>
      </c>
      <c r="S122">
        <f>IFERROR(VLOOKUP(all_lmics[[Setting]:[Setting]],all_cause_mort[],6,FALSE),0)</f>
        <v>2.2586022E-4</v>
      </c>
      <c r="T122">
        <f>IFERROR(VLOOKUP(all_lmics[[Setting]:[Setting]],all_cause_mort[],7,FALSE),0)</f>
        <v>1.7657189000000001E-4</v>
      </c>
      <c r="U122">
        <f>IFERROR(VLOOKUP(all_lmics[[Setting]:[Setting]],all_cause_mort[],8,FALSE),0)</f>
        <v>4.1260755000000003E-4</v>
      </c>
      <c r="V122">
        <f>IFERROR(VLOOKUP(all_lmics[[Setting]:[Setting]],all_cause_mort[],9,FALSE),0)</f>
        <v>5.5911975999999996E-4</v>
      </c>
      <c r="W122">
        <f>IFERROR(VLOOKUP(all_lmics[[Setting]:[Setting]],all_cause_mort[],10,FALSE),0)</f>
        <v>8.4142677999999996E-4</v>
      </c>
      <c r="X122">
        <f>IFERROR(VLOOKUP(all_lmics[[Setting]:[Setting]],all_cause_mort[],11,FALSE),0)</f>
        <v>1.2949722E-3</v>
      </c>
      <c r="Y122">
        <f>IFERROR(VLOOKUP(all_lmics[[Setting]:[Setting]],all_cause_mort[],12,FALSE),0)</f>
        <v>2.3213779000000002E-3</v>
      </c>
      <c r="Z122">
        <f>IFERROR(VLOOKUP(all_lmics[[Setting]:[Setting]],all_cause_mort[],13,FALSE),0)</f>
        <v>3.2717982999999999E-3</v>
      </c>
      <c r="AA122">
        <f>IFERROR(VLOOKUP(all_lmics[[Setting]:[Setting]],all_cause_mort[],14,FALSE),0)</f>
        <v>5.8364449000000004E-3</v>
      </c>
      <c r="AB122">
        <f>IFERROR(VLOOKUP(all_lmics[[Setting]:[Setting]],all_cause_mort[],15,FALSE),0)</f>
        <v>8.7272137E-3</v>
      </c>
      <c r="AC122">
        <f>IFERROR(VLOOKUP(all_lmics[[Setting]:[Setting]],all_cause_mort[],16,FALSE),0)</f>
        <v>1.3217298000000001E-2</v>
      </c>
      <c r="AD122">
        <f>IFERROR(VLOOKUP(all_lmics[[Setting]:[Setting]],all_cause_mort[],17,FALSE),0)</f>
        <v>2.2206703000000001E-2</v>
      </c>
      <c r="AE122">
        <f>IFERROR(VLOOKUP(all_lmics[[Setting]:[Setting]],all_cause_mort[],18,FALSE),0)</f>
        <v>2.9300192999999999E-2</v>
      </c>
      <c r="AF122">
        <f>IFERROR(VLOOKUP(all_lmics[[Setting]:[Setting]],all_cause_mort[],19,FALSE),0)</f>
        <v>4.7245299999999997E-2</v>
      </c>
      <c r="AG122">
        <f>IFERROR(VLOOKUP(all_lmics[[Setting]:[Setting]],all_cause_mort[],20,FALSE),0)</f>
        <v>7.5620133000000006E-2</v>
      </c>
      <c r="AH122">
        <f>IFERROR(VLOOKUP(all_lmics[[Setting]:[Setting]],all_cause_mort[],21,FALSE),0)</f>
        <v>0.12060365000000001</v>
      </c>
      <c r="AI122">
        <f>IFERROR(VLOOKUP(all_lmics[[Setting]:[Setting]],all_cause_mort[],22,FALSE),0)</f>
        <v>0.18658807999999999</v>
      </c>
      <c r="AJ122">
        <f>IFERROR(VLOOKUP(all_lmics[[Setting]:[Setting]],all_cause_mort[],23,FALSE),0)</f>
        <v>0.26555773999999999</v>
      </c>
      <c r="AK122">
        <f>IFERROR(VLOOKUP(all_lmics[[Setting]:[Setting]],all_cause_mort[],24,FALSE),0)</f>
        <v>0.37921319999999997</v>
      </c>
      <c r="AL122">
        <f>IFERROR(VLOOKUP(all_lmics[[Setting]:[Setting]],all_cause_mort[],25,FALSE),0)</f>
        <v>0.53613418409250202</v>
      </c>
      <c r="AM122">
        <f>VLOOKUP(all_lmics[[worldbank_region]:[worldbank_region]],Table13[],2,FALSE)</f>
        <v>44.525141999999995</v>
      </c>
      <c r="AN122">
        <f>VLOOKUP(all_lmics[[worldbank_region]:[worldbank_region]],Table13[],3,FALSE)</f>
        <v>44.525141999999995</v>
      </c>
      <c r="AO122">
        <f>VLOOKUP(all_lmics[[worldbank_region]:[worldbank_region]],Table13[],4,FALSE)</f>
        <v>92.254001999999986</v>
      </c>
      <c r="AP122">
        <f>VLOOKUP(all_lmics[[worldbank_region]:[worldbank_region]],Table13[],5,FALSE)</f>
        <v>92.254001999999986</v>
      </c>
      <c r="AQ122">
        <f>VLOOKUP(all_lmics[[worldbank_region]:[worldbank_region]],Table13[],6,FALSE)</f>
        <v>92.254001999999986</v>
      </c>
      <c r="AR122">
        <f>VLOOKUP(all_lmics[[worldbank_region]:[worldbank_region]],Table14[],2,FALSE)</f>
        <v>6.4182919999999992</v>
      </c>
      <c r="AS122">
        <f>VLOOKUP(all_lmics[[worldbank_region]:[worldbank_region]],Table14[],3,FALSE)</f>
        <v>7.0357919999999998</v>
      </c>
      <c r="AT122">
        <f>VLOOKUP(all_lmics[[worldbank_region]:[worldbank_region]],Table14[],4,FALSE)</f>
        <v>10.482872999999998</v>
      </c>
      <c r="AU122">
        <f>VLOOKUP(all_lmics[[worldbank_region]:[worldbank_region]],Table14[],5,FALSE)</f>
        <v>11.100372999999999</v>
      </c>
      <c r="AV122">
        <f>VLOOKUP(all_lmics[[worldbank_region]:[worldbank_region]],Table14[],6,FALSE)</f>
        <v>11.670624999999999</v>
      </c>
      <c r="AW122">
        <f>IFERROR(VLOOKUP(all_lmics[[Setting]:[Setting]],nFacSBA[],4,FALSE),0)</f>
        <v>0.27259694394908907</v>
      </c>
      <c r="AX122">
        <f>VLOOKUP(all_lmics[[worldbank_region]:[worldbank_region]],hbe[],2)</f>
        <v>0.3</v>
      </c>
      <c r="AY122">
        <f>VLOOKUP(all_lmics[[worldbank_region]:[worldbank_region]],hbe[],5)</f>
        <v>0.875</v>
      </c>
      <c r="AZ122">
        <f>VLOOKUP(all_lmics[[worldbank_region]:[worldbank_region]],hbe[],8)</f>
        <v>0.15</v>
      </c>
    </row>
    <row r="123" spans="1:52" x14ac:dyDescent="0.35">
      <c r="A123" s="12" t="s">
        <v>172</v>
      </c>
      <c r="B123" s="13" t="s">
        <v>40</v>
      </c>
      <c r="C123" s="12" t="s">
        <v>9</v>
      </c>
      <c r="D123" s="14" t="s">
        <v>11</v>
      </c>
      <c r="E123">
        <f>VLOOKUP(all_lmics[[Setting]:[Setting]],populations[],9,FALSE)</f>
        <v>144495044</v>
      </c>
      <c r="F123">
        <f>VLOOKUP(all_lmics[[Setting]:[Setting]],birthrate[],3,FALSE)</f>
        <v>1.29E-2</v>
      </c>
      <c r="G123">
        <f>all_lmics[[#This Row],[2017_population]]*all_lmics[[#This Row],[2016_birthrate]]</f>
        <v>1863986.0676</v>
      </c>
      <c r="H123">
        <f>VLOOKUP(all_lmics[[Setting]:[Setting]],birthdose[],4,FALSE)</f>
        <v>0</v>
      </c>
      <c r="I123">
        <f>VLOOKUP(all_lmics[[Setting]:[Setting]],fullvax[],4,FALSE)</f>
        <v>0.97</v>
      </c>
      <c r="J123">
        <f>IFERROR(VLOOKUP(all_lmics[[Setting]:[Setting]],prev[],3,FALSE),0)</f>
        <v>1.4E-2</v>
      </c>
      <c r="K123">
        <f>IFERROR(VLOOKUP(all_lmics[[Setting]:[Setting]],prev[],4,FALSE),0)</f>
        <v>6.0000000000000001E-3</v>
      </c>
      <c r="L123">
        <f>IFERROR(VLOOKUP(all_lmics[[Setting]:[Setting]],prev[],5,FALSE),0)</f>
        <v>1.7000000000000001E-2</v>
      </c>
      <c r="M123">
        <f>IFERROR(VLOOKUP(all_lmics[[Setting]:[Setting]],prev[],7,FALSE),0)</f>
        <v>1.5306122448979598E-3</v>
      </c>
      <c r="N123">
        <f>IFERROR(VLOOKUP(all_lmics[[Setting]:[Setting]],prev[],6,FALSE),0)</f>
        <v>144495044</v>
      </c>
      <c r="O123">
        <f>IFERROR(VLOOKUP(all_lmics[[Setting]:[Setting]],SBA[],4,FALSE),0)</f>
        <v>0.997</v>
      </c>
      <c r="P123">
        <f>IFERROR(VLOOKUP(all_lmics[[Setting]:[Setting]], facility[], 3,FALSE),0)</f>
        <v>0.98699999999999999</v>
      </c>
      <c r="Q123">
        <f>IFERROR(VLOOKUP(all_lmics[[Setting]:[Setting]],all_cause_mort[],4,FALSE),0)</f>
        <v>5.7897723E-3</v>
      </c>
      <c r="R123">
        <f>IFERROR(VLOOKUP(all_lmics[[Setting]:[Setting]],all_cause_mort[],5,FALSE),0)</f>
        <v>3.4099009999999998E-4</v>
      </c>
      <c r="S123">
        <f>IFERROR(VLOOKUP(all_lmics[[Setting]:[Setting]],all_cause_mort[],6,FALSE),0)</f>
        <v>1.9724649000000001E-4</v>
      </c>
      <c r="T123">
        <f>IFERROR(VLOOKUP(all_lmics[[Setting]:[Setting]],all_cause_mort[],7,FALSE),0)</f>
        <v>2.6013388000000002E-4</v>
      </c>
      <c r="U123">
        <f>IFERROR(VLOOKUP(all_lmics[[Setting]:[Setting]],all_cause_mort[],8,FALSE),0)</f>
        <v>6.2719060000000001E-4</v>
      </c>
      <c r="V123">
        <f>IFERROR(VLOOKUP(all_lmics[[Setting]:[Setting]],all_cause_mort[],9,FALSE),0)</f>
        <v>1.113476E-3</v>
      </c>
      <c r="W123">
        <f>IFERROR(VLOOKUP(all_lmics[[Setting]:[Setting]],all_cause_mort[],10,FALSE),0)</f>
        <v>1.7910211999999999E-3</v>
      </c>
      <c r="X123">
        <f>IFERROR(VLOOKUP(all_lmics[[Setting]:[Setting]],all_cause_mort[],11,FALSE),0)</f>
        <v>3.0143118999999999E-3</v>
      </c>
      <c r="Y123">
        <f>IFERROR(VLOOKUP(all_lmics[[Setting]:[Setting]],all_cause_mort[],12,FALSE),0)</f>
        <v>4.4363613000000003E-3</v>
      </c>
      <c r="Z123">
        <f>IFERROR(VLOOKUP(all_lmics[[Setting]:[Setting]],all_cause_mort[],13,FALSE),0)</f>
        <v>5.3360504999999999E-3</v>
      </c>
      <c r="AA123">
        <f>IFERROR(VLOOKUP(all_lmics[[Setting]:[Setting]],all_cause_mort[],14,FALSE),0)</f>
        <v>6.5753735000000004E-3</v>
      </c>
      <c r="AB123">
        <f>IFERROR(VLOOKUP(all_lmics[[Setting]:[Setting]],all_cause_mort[],15,FALSE),0)</f>
        <v>9.0223766999999993E-3</v>
      </c>
      <c r="AC123">
        <f>IFERROR(VLOOKUP(all_lmics[[Setting]:[Setting]],all_cause_mort[],16,FALSE),0)</f>
        <v>1.2703552E-2</v>
      </c>
      <c r="AD123">
        <f>IFERROR(VLOOKUP(all_lmics[[Setting]:[Setting]],all_cause_mort[],17,FALSE),0)</f>
        <v>1.8522239999999999E-2</v>
      </c>
      <c r="AE123">
        <f>IFERROR(VLOOKUP(all_lmics[[Setting]:[Setting]],all_cause_mort[],18,FALSE),0)</f>
        <v>2.5452905000000001E-2</v>
      </c>
      <c r="AF123">
        <f>IFERROR(VLOOKUP(all_lmics[[Setting]:[Setting]],all_cause_mort[],19,FALSE),0)</f>
        <v>3.5942321999999999E-2</v>
      </c>
      <c r="AG123">
        <f>IFERROR(VLOOKUP(all_lmics[[Setting]:[Setting]],all_cause_mort[],20,FALSE),0)</f>
        <v>5.6476540999999998E-2</v>
      </c>
      <c r="AH123">
        <f>IFERROR(VLOOKUP(all_lmics[[Setting]:[Setting]],all_cause_mort[],21,FALSE),0)</f>
        <v>9.1954353000000003E-2</v>
      </c>
      <c r="AI123">
        <f>IFERROR(VLOOKUP(all_lmics[[Setting]:[Setting]],all_cause_mort[],22,FALSE),0)</f>
        <v>0.13639747999999999</v>
      </c>
      <c r="AJ123">
        <f>IFERROR(VLOOKUP(all_lmics[[Setting]:[Setting]],all_cause_mort[],23,FALSE),0)</f>
        <v>0.20671281</v>
      </c>
      <c r="AK123">
        <f>IFERROR(VLOOKUP(all_lmics[[Setting]:[Setting]],all_cause_mort[],24,FALSE),0)</f>
        <v>0.29838428</v>
      </c>
      <c r="AL123">
        <f>IFERROR(VLOOKUP(all_lmics[[Setting]:[Setting]],all_cause_mort[],25,FALSE),0)</f>
        <v>0.42473476906427299</v>
      </c>
      <c r="AM123">
        <f>VLOOKUP(all_lmics[[worldbank_region]:[worldbank_region]],Table13[],2,FALSE)</f>
        <v>44.525141999999995</v>
      </c>
      <c r="AN123">
        <f>VLOOKUP(all_lmics[[worldbank_region]:[worldbank_region]],Table13[],3,FALSE)</f>
        <v>44.525141999999995</v>
      </c>
      <c r="AO123">
        <f>VLOOKUP(all_lmics[[worldbank_region]:[worldbank_region]],Table13[],4,FALSE)</f>
        <v>92.254001999999986</v>
      </c>
      <c r="AP123">
        <f>VLOOKUP(all_lmics[[worldbank_region]:[worldbank_region]],Table13[],5,FALSE)</f>
        <v>92.254001999999986</v>
      </c>
      <c r="AQ123">
        <f>VLOOKUP(all_lmics[[worldbank_region]:[worldbank_region]],Table13[],6,FALSE)</f>
        <v>92.254001999999986</v>
      </c>
      <c r="AR123">
        <f>VLOOKUP(all_lmics[[worldbank_region]:[worldbank_region]],Table14[],2,FALSE)</f>
        <v>6.4182919999999992</v>
      </c>
      <c r="AS123">
        <f>VLOOKUP(all_lmics[[worldbank_region]:[worldbank_region]],Table14[],3,FALSE)</f>
        <v>7.0357919999999998</v>
      </c>
      <c r="AT123">
        <f>VLOOKUP(all_lmics[[worldbank_region]:[worldbank_region]],Table14[],4,FALSE)</f>
        <v>10.482872999999998</v>
      </c>
      <c r="AU123">
        <f>VLOOKUP(all_lmics[[worldbank_region]:[worldbank_region]],Table14[],5,FALSE)</f>
        <v>11.100372999999999</v>
      </c>
      <c r="AV123">
        <f>VLOOKUP(all_lmics[[worldbank_region]:[worldbank_region]],Table14[],6,FALSE)</f>
        <v>11.670624999999999</v>
      </c>
      <c r="AW123">
        <f>IFERROR(VLOOKUP(all_lmics[[Setting]:[Setting]],nFacSBA[],4,FALSE),0)</f>
        <v>0</v>
      </c>
      <c r="AX123">
        <f>VLOOKUP(all_lmics[[worldbank_region]:[worldbank_region]],hbe[],2)</f>
        <v>0.3</v>
      </c>
      <c r="AY123">
        <f>VLOOKUP(all_lmics[[worldbank_region]:[worldbank_region]],hbe[],5)</f>
        <v>0.875</v>
      </c>
      <c r="AZ123">
        <f>VLOOKUP(all_lmics[[worldbank_region]:[worldbank_region]],hbe[],8)</f>
        <v>0.15</v>
      </c>
    </row>
    <row r="124" spans="1:52" x14ac:dyDescent="0.35">
      <c r="A124" s="12" t="s">
        <v>212</v>
      </c>
      <c r="B124" s="13" t="s">
        <v>40</v>
      </c>
      <c r="C124" s="12" t="s">
        <v>9</v>
      </c>
      <c r="D124" s="14" t="s">
        <v>11</v>
      </c>
      <c r="E124">
        <f>VLOOKUP(all_lmics[[Setting]:[Setting]],populations[],9,FALSE)</f>
        <v>44831159</v>
      </c>
      <c r="F124">
        <f>VLOOKUP(all_lmics[[Setting]:[Setting]],birthrate[],3,FALSE)</f>
        <v>1.03E-2</v>
      </c>
      <c r="G124">
        <f>all_lmics[[#This Row],[2017_population]]*all_lmics[[#This Row],[2016_birthrate]]</f>
        <v>461760.93770000001</v>
      </c>
      <c r="H124">
        <f>VLOOKUP(all_lmics[[Setting]:[Setting]],birthdose[],4,FALSE)</f>
        <v>0.49</v>
      </c>
      <c r="I124">
        <f>VLOOKUP(all_lmics[[Setting]:[Setting]],fullvax[],4,FALSE)</f>
        <v>0.52</v>
      </c>
      <c r="J124">
        <f>IFERROR(VLOOKUP(all_lmics[[Setting]:[Setting]],prev[],3,FALSE),0)</f>
        <v>1.4500000000000001E-2</v>
      </c>
      <c r="K124">
        <f>IFERROR(VLOOKUP(all_lmics[[Setting]:[Setting]],prev[],4,FALSE),0)</f>
        <v>1.0999999999999999E-2</v>
      </c>
      <c r="L124">
        <f>IFERROR(VLOOKUP(all_lmics[[Setting]:[Setting]],prev[],5,FALSE),0)</f>
        <v>1.89E-2</v>
      </c>
      <c r="M124">
        <f>IFERROR(VLOOKUP(all_lmics[[Setting]:[Setting]],prev[],7,FALSE),0)</f>
        <v>2.2448979591836731E-3</v>
      </c>
      <c r="N124">
        <f>IFERROR(VLOOKUP(all_lmics[[Setting]:[Setting]],prev[],6,FALSE),0)</f>
        <v>45870700</v>
      </c>
      <c r="O124">
        <f>IFERROR(VLOOKUP(all_lmics[[Setting]:[Setting]],SBA[],4,FALSE),0)</f>
        <v>0.99900000000000011</v>
      </c>
      <c r="P124">
        <f>IFERROR(VLOOKUP(all_lmics[[Setting]:[Setting]], facility[], 3,FALSE),0)</f>
        <v>0.9890000000000001</v>
      </c>
      <c r="Q124">
        <f>IFERROR(VLOOKUP(all_lmics[[Setting]:[Setting]],all_cause_mort[],4,FALSE),0)</f>
        <v>7.2474868999999999E-3</v>
      </c>
      <c r="R124">
        <f>IFERROR(VLOOKUP(all_lmics[[Setting]:[Setting]],all_cause_mort[],5,FALSE),0)</f>
        <v>3.4634837E-4</v>
      </c>
      <c r="S124">
        <f>IFERROR(VLOOKUP(all_lmics[[Setting]:[Setting]],all_cause_mort[],6,FALSE),0)</f>
        <v>2.0397771E-4</v>
      </c>
      <c r="T124">
        <f>IFERROR(VLOOKUP(all_lmics[[Setting]:[Setting]],all_cause_mort[],7,FALSE),0)</f>
        <v>2.5009385000000002E-4</v>
      </c>
      <c r="U124">
        <f>IFERROR(VLOOKUP(all_lmics[[Setting]:[Setting]],all_cause_mort[],8,FALSE),0)</f>
        <v>4.9477750999999998E-4</v>
      </c>
      <c r="V124">
        <f>IFERROR(VLOOKUP(all_lmics[[Setting]:[Setting]],all_cause_mort[],9,FALSE),0)</f>
        <v>9.1571304999999998E-4</v>
      </c>
      <c r="W124">
        <f>IFERROR(VLOOKUP(all_lmics[[Setting]:[Setting]],all_cause_mort[],10,FALSE),0)</f>
        <v>1.4887469999999999E-3</v>
      </c>
      <c r="X124">
        <f>IFERROR(VLOOKUP(all_lmics[[Setting]:[Setting]],all_cause_mort[],11,FALSE),0)</f>
        <v>2.5526039E-3</v>
      </c>
      <c r="Y124">
        <f>IFERROR(VLOOKUP(all_lmics[[Setting]:[Setting]],all_cause_mort[],12,FALSE),0)</f>
        <v>3.5527089000000002E-3</v>
      </c>
      <c r="Z124">
        <f>IFERROR(VLOOKUP(all_lmics[[Setting]:[Setting]],all_cause_mort[],13,FALSE),0)</f>
        <v>4.5882971000000003E-3</v>
      </c>
      <c r="AA124">
        <f>IFERROR(VLOOKUP(all_lmics[[Setting]:[Setting]],all_cause_mort[],14,FALSE),0)</f>
        <v>6.2734215999999997E-3</v>
      </c>
      <c r="AB124">
        <f>IFERROR(VLOOKUP(all_lmics[[Setting]:[Setting]],all_cause_mort[],15,FALSE),0)</f>
        <v>8.9201692999999992E-3</v>
      </c>
      <c r="AC124">
        <f>IFERROR(VLOOKUP(all_lmics[[Setting]:[Setting]],all_cause_mort[],16,FALSE),0)</f>
        <v>1.3012741E-2</v>
      </c>
      <c r="AD124">
        <f>IFERROR(VLOOKUP(all_lmics[[Setting]:[Setting]],all_cause_mort[],17,FALSE),0)</f>
        <v>1.9219182000000001E-2</v>
      </c>
      <c r="AE124">
        <f>IFERROR(VLOOKUP(all_lmics[[Setting]:[Setting]],all_cause_mort[],18,FALSE),0)</f>
        <v>2.6676328999999999E-2</v>
      </c>
      <c r="AF124">
        <f>IFERROR(VLOOKUP(all_lmics[[Setting]:[Setting]],all_cause_mort[],19,FALSE),0)</f>
        <v>4.2517319999999997E-2</v>
      </c>
      <c r="AG124">
        <f>IFERROR(VLOOKUP(all_lmics[[Setting]:[Setting]],all_cause_mort[],20,FALSE),0)</f>
        <v>6.8181050000000007E-2</v>
      </c>
      <c r="AH124">
        <f>IFERROR(VLOOKUP(all_lmics[[Setting]:[Setting]],all_cause_mort[],21,FALSE),0)</f>
        <v>0.10845373</v>
      </c>
      <c r="AI124">
        <f>IFERROR(VLOOKUP(all_lmics[[Setting]:[Setting]],all_cause_mort[],22,FALSE),0)</f>
        <v>0.17003718000000001</v>
      </c>
      <c r="AJ124">
        <f>IFERROR(VLOOKUP(all_lmics[[Setting]:[Setting]],all_cause_mort[],23,FALSE),0)</f>
        <v>0.26192100000000001</v>
      </c>
      <c r="AK124">
        <f>IFERROR(VLOOKUP(all_lmics[[Setting]:[Setting]],all_cause_mort[],24,FALSE),0)</f>
        <v>0.37891111</v>
      </c>
      <c r="AL124">
        <f>IFERROR(VLOOKUP(all_lmics[[Setting]:[Setting]],all_cause_mort[],25,FALSE),0)</f>
        <v>0.521476188536796</v>
      </c>
      <c r="AM124">
        <f>VLOOKUP(all_lmics[[worldbank_region]:[worldbank_region]],Table13[],2,FALSE)</f>
        <v>44.525141999999995</v>
      </c>
      <c r="AN124">
        <f>VLOOKUP(all_lmics[[worldbank_region]:[worldbank_region]],Table13[],3,FALSE)</f>
        <v>44.525141999999995</v>
      </c>
      <c r="AO124">
        <f>VLOOKUP(all_lmics[[worldbank_region]:[worldbank_region]],Table13[],4,FALSE)</f>
        <v>92.254001999999986</v>
      </c>
      <c r="AP124">
        <f>VLOOKUP(all_lmics[[worldbank_region]:[worldbank_region]],Table13[],5,FALSE)</f>
        <v>92.254001999999986</v>
      </c>
      <c r="AQ124">
        <f>VLOOKUP(all_lmics[[worldbank_region]:[worldbank_region]],Table13[],6,FALSE)</f>
        <v>92.254001999999986</v>
      </c>
      <c r="AR124">
        <f>VLOOKUP(all_lmics[[worldbank_region]:[worldbank_region]],Table14[],2,FALSE)</f>
        <v>6.4182919999999992</v>
      </c>
      <c r="AS124">
        <f>VLOOKUP(all_lmics[[worldbank_region]:[worldbank_region]],Table14[],3,FALSE)</f>
        <v>7.0357919999999998</v>
      </c>
      <c r="AT124">
        <f>VLOOKUP(all_lmics[[worldbank_region]:[worldbank_region]],Table14[],4,FALSE)</f>
        <v>10.482872999999998</v>
      </c>
      <c r="AU124">
        <f>VLOOKUP(all_lmics[[worldbank_region]:[worldbank_region]],Table14[],5,FALSE)</f>
        <v>11.100372999999999</v>
      </c>
      <c r="AV124">
        <f>VLOOKUP(all_lmics[[worldbank_region]:[worldbank_region]],Table14[],6,FALSE)</f>
        <v>11.670624999999999</v>
      </c>
      <c r="AW124">
        <f>IFERROR(VLOOKUP(all_lmics[[Setting]:[Setting]],nFacSBA[],4,FALSE),0)</f>
        <v>0.1465915874444256</v>
      </c>
      <c r="AX124">
        <f>VLOOKUP(all_lmics[[worldbank_region]:[worldbank_region]],hbe[],2)</f>
        <v>0.3</v>
      </c>
      <c r="AY124">
        <f>VLOOKUP(all_lmics[[worldbank_region]:[worldbank_region]],hbe[],5)</f>
        <v>0.875</v>
      </c>
      <c r="AZ124">
        <f>VLOOKUP(all_lmics[[worldbank_region]:[worldbank_region]],hbe[],8)</f>
        <v>0.15</v>
      </c>
    </row>
    <row r="125" spans="1:52" x14ac:dyDescent="0.35">
      <c r="A125" s="8" t="s">
        <v>108</v>
      </c>
      <c r="B125" s="10" t="s">
        <v>109</v>
      </c>
      <c r="C125" s="45" t="s">
        <v>35</v>
      </c>
      <c r="D125" s="11" t="s">
        <v>58</v>
      </c>
      <c r="E125">
        <f>VLOOKUP(all_lmics[[Setting]:[Setting]],populations[],9,FALSE)</f>
        <v>263991379</v>
      </c>
      <c r="F125">
        <f>VLOOKUP(all_lmics[[Setting]:[Setting]],birthrate[],3,FALSE)</f>
        <v>1.8985999999999999E-2</v>
      </c>
      <c r="G125">
        <f>all_lmics[[#This Row],[2017_population]]*all_lmics[[#This Row],[2016_birthrate]]</f>
        <v>5012140.3216939997</v>
      </c>
      <c r="H125">
        <f>VLOOKUP(all_lmics[[Setting]:[Setting]],birthdose[],4,FALSE)</f>
        <v>0.32</v>
      </c>
      <c r="I125">
        <f>VLOOKUP(all_lmics[[Setting]:[Setting]],fullvax[],4,FALSE)</f>
        <v>0.79</v>
      </c>
      <c r="J125">
        <f>IFERROR(VLOOKUP(all_lmics[[Setting]:[Setting]],prev[],3,FALSE),0)</f>
        <v>6.8000000000000005E-2</v>
      </c>
      <c r="K125">
        <f>IFERROR(VLOOKUP(all_lmics[[Setting]:[Setting]],prev[],4,FALSE),0)</f>
        <v>6.3E-2</v>
      </c>
      <c r="L125">
        <f>IFERROR(VLOOKUP(all_lmics[[Setting]:[Setting]],prev[],5,FALSE),0)</f>
        <v>8.2000000000000003E-2</v>
      </c>
      <c r="M125">
        <f>IFERROR(VLOOKUP(all_lmics[[Setting]:[Setting]],prev[],7,FALSE),0)</f>
        <v>7.1428571428571426E-3</v>
      </c>
      <c r="N125">
        <f>IFERROR(VLOOKUP(all_lmics[[Setting]:[Setting]],prev[],6,FALSE),0)</f>
        <v>263991379</v>
      </c>
      <c r="O125">
        <f>IFERROR(VLOOKUP(all_lmics[[Setting]:[Setting]],SBA[],4,FALSE),0)</f>
        <v>0.92599999999999993</v>
      </c>
      <c r="P125">
        <f>IFERROR(VLOOKUP(all_lmics[[Setting]:[Setting]], facility[], 3,FALSE),0)</f>
        <v>0.79700000000000004</v>
      </c>
      <c r="Q125">
        <f>IFERROR(VLOOKUP(all_lmics[[Setting]:[Setting]],all_cause_mort[],4,FALSE),0)</f>
        <v>1.9250153999999998E-2</v>
      </c>
      <c r="R125">
        <f>IFERROR(VLOOKUP(all_lmics[[Setting]:[Setting]],all_cause_mort[],5,FALSE),0)</f>
        <v>1.527931E-3</v>
      </c>
      <c r="S125">
        <f>IFERROR(VLOOKUP(all_lmics[[Setting]:[Setting]],all_cause_mort[],6,FALSE),0)</f>
        <v>5.0708619999999998E-4</v>
      </c>
      <c r="T125">
        <f>IFERROR(VLOOKUP(all_lmics[[Setting]:[Setting]],all_cause_mort[],7,FALSE),0)</f>
        <v>4.4802216000000003E-4</v>
      </c>
      <c r="U125">
        <f>IFERROR(VLOOKUP(all_lmics[[Setting]:[Setting]],all_cause_mort[],8,FALSE),0)</f>
        <v>9.4035660000000004E-4</v>
      </c>
      <c r="V125">
        <f>IFERROR(VLOOKUP(all_lmics[[Setting]:[Setting]],all_cause_mort[],9,FALSE),0)</f>
        <v>1.2366110000000001E-3</v>
      </c>
      <c r="W125">
        <f>IFERROR(VLOOKUP(all_lmics[[Setting]:[Setting]],all_cause_mort[],10,FALSE),0)</f>
        <v>1.3107454E-3</v>
      </c>
      <c r="X125">
        <f>IFERROR(VLOOKUP(all_lmics[[Setting]:[Setting]],all_cause_mort[],11,FALSE),0)</f>
        <v>1.5600405999999999E-3</v>
      </c>
      <c r="Y125">
        <f>IFERROR(VLOOKUP(all_lmics[[Setting]:[Setting]],all_cause_mort[],12,FALSE),0)</f>
        <v>2.1014083E-3</v>
      </c>
      <c r="Z125">
        <f>IFERROR(VLOOKUP(all_lmics[[Setting]:[Setting]],all_cause_mort[],13,FALSE),0)</f>
        <v>3.0209855000000001E-3</v>
      </c>
      <c r="AA125">
        <f>IFERROR(VLOOKUP(all_lmics[[Setting]:[Setting]],all_cause_mort[],14,FALSE),0)</f>
        <v>4.6459068999999999E-3</v>
      </c>
      <c r="AB125">
        <f>IFERROR(VLOOKUP(all_lmics[[Setting]:[Setting]],all_cause_mort[],15,FALSE),0)</f>
        <v>7.2270846999999997E-3</v>
      </c>
      <c r="AC125">
        <f>IFERROR(VLOOKUP(all_lmics[[Setting]:[Setting]],all_cause_mort[],16,FALSE),0)</f>
        <v>1.1329814000000001E-2</v>
      </c>
      <c r="AD125">
        <f>IFERROR(VLOOKUP(all_lmics[[Setting]:[Setting]],all_cause_mort[],17,FALSE),0)</f>
        <v>1.7717789000000001E-2</v>
      </c>
      <c r="AE125">
        <f>IFERROR(VLOOKUP(all_lmics[[Setting]:[Setting]],all_cause_mort[],18,FALSE),0)</f>
        <v>2.7471451000000001E-2</v>
      </c>
      <c r="AF125">
        <f>IFERROR(VLOOKUP(all_lmics[[Setting]:[Setting]],all_cause_mort[],19,FALSE),0)</f>
        <v>4.3598999999999999E-2</v>
      </c>
      <c r="AG125">
        <f>IFERROR(VLOOKUP(all_lmics[[Setting]:[Setting]],all_cause_mort[],20,FALSE),0)</f>
        <v>7.1703180000000005E-2</v>
      </c>
      <c r="AH125">
        <f>IFERROR(VLOOKUP(all_lmics[[Setting]:[Setting]],all_cause_mort[],21,FALSE),0)</f>
        <v>0.11576444</v>
      </c>
      <c r="AI125">
        <f>IFERROR(VLOOKUP(all_lmics[[Setting]:[Setting]],all_cause_mort[],22,FALSE),0)</f>
        <v>0.18385713000000001</v>
      </c>
      <c r="AJ125">
        <f>IFERROR(VLOOKUP(all_lmics[[Setting]:[Setting]],all_cause_mort[],23,FALSE),0)</f>
        <v>0.27377820000000003</v>
      </c>
      <c r="AK125">
        <f>IFERROR(VLOOKUP(all_lmics[[Setting]:[Setting]],all_cause_mort[],24,FALSE),0)</f>
        <v>0.38935618999999999</v>
      </c>
      <c r="AL125">
        <f>IFERROR(VLOOKUP(all_lmics[[Setting]:[Setting]],all_cause_mort[],25,FALSE),0)</f>
        <v>0.52602760940072402</v>
      </c>
      <c r="AM125">
        <f>VLOOKUP(all_lmics[[worldbank_region]:[worldbank_region]],Table13[],2,FALSE)</f>
        <v>73.064384999999987</v>
      </c>
      <c r="AN125">
        <f>VLOOKUP(all_lmics[[worldbank_region]:[worldbank_region]],Table13[],3,FALSE)</f>
        <v>73.064384999999987</v>
      </c>
      <c r="AO125">
        <f>VLOOKUP(all_lmics[[worldbank_region]:[worldbank_region]],Table13[],4,FALSE)</f>
        <v>120.79324499999998</v>
      </c>
      <c r="AP125">
        <f>VLOOKUP(all_lmics[[worldbank_region]:[worldbank_region]],Table13[],5,FALSE)</f>
        <v>120.79324499999998</v>
      </c>
      <c r="AQ125">
        <f>VLOOKUP(all_lmics[[worldbank_region]:[worldbank_region]],Table13[],6,FALSE)</f>
        <v>120.79324499999998</v>
      </c>
      <c r="AR125">
        <f>VLOOKUP(all_lmics[[worldbank_region]:[worldbank_region]],Table14[],2,FALSE)</f>
        <v>1.34029</v>
      </c>
      <c r="AS125">
        <f>VLOOKUP(all_lmics[[worldbank_region]:[worldbank_region]],Table14[],3,FALSE)</f>
        <v>1.9577900000000001</v>
      </c>
      <c r="AT125">
        <f>VLOOKUP(all_lmics[[worldbank_region]:[worldbank_region]],Table14[],4,FALSE)</f>
        <v>1.9723159999999997</v>
      </c>
      <c r="AU125">
        <f>VLOOKUP(all_lmics[[worldbank_region]:[worldbank_region]],Table14[],5,FALSE)</f>
        <v>2.5898159999999999</v>
      </c>
      <c r="AV125">
        <f>VLOOKUP(all_lmics[[worldbank_region]:[worldbank_region]],Table14[],6,FALSE)</f>
        <v>3.1600679999999999</v>
      </c>
      <c r="AW125">
        <f>IFERROR(VLOOKUP(all_lmics[[Setting]:[Setting]],nFacSBA[],4,FALSE),0)</f>
        <v>0.55791576682649657</v>
      </c>
      <c r="AX125">
        <f>VLOOKUP(all_lmics[[worldbank_region]:[worldbank_region]],hbe[],2)</f>
        <v>0.3</v>
      </c>
      <c r="AY125">
        <f>VLOOKUP(all_lmics[[worldbank_region]:[worldbank_region]],hbe[],5)</f>
        <v>0.875</v>
      </c>
      <c r="AZ125">
        <f>VLOOKUP(all_lmics[[worldbank_region]:[worldbank_region]],hbe[],8)</f>
        <v>0.15</v>
      </c>
    </row>
    <row r="126" spans="1:52" x14ac:dyDescent="0.35">
      <c r="A126" s="8" t="s">
        <v>193</v>
      </c>
      <c r="B126" s="10" t="s">
        <v>109</v>
      </c>
      <c r="C126" s="45" t="s">
        <v>35</v>
      </c>
      <c r="D126" s="11" t="s">
        <v>58</v>
      </c>
      <c r="E126">
        <f>VLOOKUP(all_lmics[[Setting]:[Setting]],populations[],9,FALSE)</f>
        <v>21444000</v>
      </c>
      <c r="F126">
        <f>VLOOKUP(all_lmics[[Setting]:[Setting]],birthrate[],3,FALSE)</f>
        <v>1.5292E-2</v>
      </c>
      <c r="G126">
        <f>all_lmics[[#This Row],[2017_population]]*all_lmics[[#This Row],[2016_birthrate]]</f>
        <v>327921.64799999999</v>
      </c>
      <c r="H126">
        <f>VLOOKUP(all_lmics[[Setting]:[Setting]],birthdose[],4,FALSE)</f>
        <v>0</v>
      </c>
      <c r="I126">
        <f>VLOOKUP(all_lmics[[Setting]:[Setting]],fullvax[],4,FALSE)</f>
        <v>0.99</v>
      </c>
      <c r="J126">
        <f>IFERROR(VLOOKUP(all_lmics[[Setting]:[Setting]],prev[],3,FALSE),0)</f>
        <v>2.5100000000000001E-2</v>
      </c>
      <c r="K126">
        <f>IFERROR(VLOOKUP(all_lmics[[Setting]:[Setting]],prev[],4,FALSE),0)</f>
        <v>1.9E-2</v>
      </c>
      <c r="L126">
        <f>IFERROR(VLOOKUP(all_lmics[[Setting]:[Setting]],prev[],5,FALSE),0)</f>
        <v>3.3099999999999997E-2</v>
      </c>
      <c r="M126">
        <f>IFERROR(VLOOKUP(all_lmics[[Setting]:[Setting]],prev[],7,FALSE),0)</f>
        <v>4.0816326530612231E-3</v>
      </c>
      <c r="N126">
        <f>IFERROR(VLOOKUP(all_lmics[[Setting]:[Setting]],prev[],6,FALSE),0)</f>
        <v>20198353</v>
      </c>
      <c r="O126">
        <f>IFERROR(VLOOKUP(all_lmics[[Setting]:[Setting]],SBA[],4,FALSE),0)</f>
        <v>0.98599999999999999</v>
      </c>
      <c r="P126">
        <f>IFERROR(VLOOKUP(all_lmics[[Setting]:[Setting]], facility[], 3,FALSE),0)</f>
        <v>0.997</v>
      </c>
      <c r="Q126">
        <f>IFERROR(VLOOKUP(all_lmics[[Setting]:[Setting]],all_cause_mort[],4,FALSE),0)</f>
        <v>7.6270091000000002E-3</v>
      </c>
      <c r="R126">
        <f>IFERROR(VLOOKUP(all_lmics[[Setting]:[Setting]],all_cause_mort[],5,FALSE),0)</f>
        <v>2.5716748000000002E-4</v>
      </c>
      <c r="S126">
        <f>IFERROR(VLOOKUP(all_lmics[[Setting]:[Setting]],all_cause_mort[],6,FALSE),0)</f>
        <v>2.9727486999999998E-4</v>
      </c>
      <c r="T126">
        <f>IFERROR(VLOOKUP(all_lmics[[Setting]:[Setting]],all_cause_mort[],7,FALSE),0)</f>
        <v>2.9060316000000002E-4</v>
      </c>
      <c r="U126">
        <f>IFERROR(VLOOKUP(all_lmics[[Setting]:[Setting]],all_cause_mort[],8,FALSE),0)</f>
        <v>5.5561759999999999E-4</v>
      </c>
      <c r="V126">
        <f>IFERROR(VLOOKUP(all_lmics[[Setting]:[Setting]],all_cause_mort[],9,FALSE),0)</f>
        <v>7.9042489999999995E-4</v>
      </c>
      <c r="W126">
        <f>IFERROR(VLOOKUP(all_lmics[[Setting]:[Setting]],all_cause_mort[],10,FALSE),0)</f>
        <v>8.6472074999999996E-4</v>
      </c>
      <c r="X126">
        <f>IFERROR(VLOOKUP(all_lmics[[Setting]:[Setting]],all_cause_mort[],11,FALSE),0)</f>
        <v>9.899798899999999E-4</v>
      </c>
      <c r="Y126">
        <f>IFERROR(VLOOKUP(all_lmics[[Setting]:[Setting]],all_cause_mort[],12,FALSE),0)</f>
        <v>1.4254521E-3</v>
      </c>
      <c r="Z126">
        <f>IFERROR(VLOOKUP(all_lmics[[Setting]:[Setting]],all_cause_mort[],13,FALSE),0)</f>
        <v>2.0901359000000002E-3</v>
      </c>
      <c r="AA126">
        <f>IFERROR(VLOOKUP(all_lmics[[Setting]:[Setting]],all_cause_mort[],14,FALSE),0)</f>
        <v>3.2315922000000002E-3</v>
      </c>
      <c r="AB126">
        <f>IFERROR(VLOOKUP(all_lmics[[Setting]:[Setting]],all_cause_mort[],15,FALSE),0)</f>
        <v>4.9696093000000004E-3</v>
      </c>
      <c r="AC126">
        <f>IFERROR(VLOOKUP(all_lmics[[Setting]:[Setting]],all_cause_mort[],16,FALSE),0)</f>
        <v>7.092793E-3</v>
      </c>
      <c r="AD126">
        <f>IFERROR(VLOOKUP(all_lmics[[Setting]:[Setting]],all_cause_mort[],17,FALSE),0)</f>
        <v>1.0232006E-2</v>
      </c>
      <c r="AE126">
        <f>IFERROR(VLOOKUP(all_lmics[[Setting]:[Setting]],all_cause_mort[],18,FALSE),0)</f>
        <v>1.8234389E-2</v>
      </c>
      <c r="AF126">
        <f>IFERROR(VLOOKUP(all_lmics[[Setting]:[Setting]],all_cause_mort[],19,FALSE),0)</f>
        <v>3.3990567999999999E-2</v>
      </c>
      <c r="AG126">
        <f>IFERROR(VLOOKUP(all_lmics[[Setting]:[Setting]],all_cause_mort[],20,FALSE),0)</f>
        <v>4.8132476E-2</v>
      </c>
      <c r="AH126">
        <f>IFERROR(VLOOKUP(all_lmics[[Setting]:[Setting]],all_cause_mort[],21,FALSE),0)</f>
        <v>8.4353692999999993E-2</v>
      </c>
      <c r="AI126">
        <f>IFERROR(VLOOKUP(all_lmics[[Setting]:[Setting]],all_cause_mort[],22,FALSE),0)</f>
        <v>0.14723432</v>
      </c>
      <c r="AJ126">
        <f>IFERROR(VLOOKUP(all_lmics[[Setting]:[Setting]],all_cause_mort[],23,FALSE),0)</f>
        <v>0.24261126</v>
      </c>
      <c r="AK126">
        <f>IFERROR(VLOOKUP(all_lmics[[Setting]:[Setting]],all_cause_mort[],24,FALSE),0)</f>
        <v>0.36747946999999997</v>
      </c>
      <c r="AL126">
        <f>IFERROR(VLOOKUP(all_lmics[[Setting]:[Setting]],all_cause_mort[],25,FALSE),0)</f>
        <v>0.51173343355120904</v>
      </c>
      <c r="AM126">
        <f>VLOOKUP(all_lmics[[worldbank_region]:[worldbank_region]],Table13[],2,FALSE)</f>
        <v>73.064384999999987</v>
      </c>
      <c r="AN126">
        <f>VLOOKUP(all_lmics[[worldbank_region]:[worldbank_region]],Table13[],3,FALSE)</f>
        <v>73.064384999999987</v>
      </c>
      <c r="AO126">
        <f>VLOOKUP(all_lmics[[worldbank_region]:[worldbank_region]],Table13[],4,FALSE)</f>
        <v>120.79324499999998</v>
      </c>
      <c r="AP126">
        <f>VLOOKUP(all_lmics[[worldbank_region]:[worldbank_region]],Table13[],5,FALSE)</f>
        <v>120.79324499999998</v>
      </c>
      <c r="AQ126">
        <f>VLOOKUP(all_lmics[[worldbank_region]:[worldbank_region]],Table13[],6,FALSE)</f>
        <v>120.79324499999998</v>
      </c>
      <c r="AR126">
        <f>VLOOKUP(all_lmics[[worldbank_region]:[worldbank_region]],Table14[],2,FALSE)</f>
        <v>1.34029</v>
      </c>
      <c r="AS126">
        <f>VLOOKUP(all_lmics[[worldbank_region]:[worldbank_region]],Table14[],3,FALSE)</f>
        <v>1.9577900000000001</v>
      </c>
      <c r="AT126">
        <f>VLOOKUP(all_lmics[[worldbank_region]:[worldbank_region]],Table14[],4,FALSE)</f>
        <v>1.9723159999999997</v>
      </c>
      <c r="AU126">
        <f>VLOOKUP(all_lmics[[worldbank_region]:[worldbank_region]],Table14[],5,FALSE)</f>
        <v>2.5898159999999999</v>
      </c>
      <c r="AV126">
        <f>VLOOKUP(all_lmics[[worldbank_region]:[worldbank_region]],Table14[],6,FALSE)</f>
        <v>3.1600679999999999</v>
      </c>
      <c r="AW126">
        <f>IFERROR(VLOOKUP(all_lmics[[Setting]:[Setting]],nFacSBA[],4,FALSE),0)</f>
        <v>0</v>
      </c>
      <c r="AX126">
        <f>VLOOKUP(all_lmics[[worldbank_region]:[worldbank_region]],hbe[],2)</f>
        <v>0.3</v>
      </c>
      <c r="AY126">
        <f>VLOOKUP(all_lmics[[worldbank_region]:[worldbank_region]],hbe[],5)</f>
        <v>0.875</v>
      </c>
      <c r="AZ126">
        <f>VLOOKUP(all_lmics[[worldbank_region]:[worldbank_region]],hbe[],8)</f>
        <v>0.15</v>
      </c>
    </row>
    <row r="127" spans="1:52" x14ac:dyDescent="0.35">
      <c r="A127" s="8" t="s">
        <v>201</v>
      </c>
      <c r="B127" s="10" t="s">
        <v>109</v>
      </c>
      <c r="C127" s="45" t="s">
        <v>35</v>
      </c>
      <c r="D127" s="11" t="s">
        <v>58</v>
      </c>
      <c r="E127">
        <f>VLOOKUP(all_lmics[[Setting]:[Setting]],populations[],9,FALSE)</f>
        <v>69037513</v>
      </c>
      <c r="F127">
        <f>VLOOKUP(all_lmics[[Setting]:[Setting]],birthrate[],3,FALSE)</f>
        <v>1.0333E-2</v>
      </c>
      <c r="G127">
        <f>all_lmics[[#This Row],[2017_population]]*all_lmics[[#This Row],[2016_birthrate]]</f>
        <v>713364.62182900007</v>
      </c>
      <c r="H127">
        <f>VLOOKUP(all_lmics[[Setting]:[Setting]],birthdose[],4,FALSE)</f>
        <v>0.96</v>
      </c>
      <c r="I127">
        <f>VLOOKUP(all_lmics[[Setting]:[Setting]],fullvax[],4,FALSE)</f>
        <v>0.99</v>
      </c>
      <c r="J127">
        <f>IFERROR(VLOOKUP(all_lmics[[Setting]:[Setting]],prev[],3,FALSE),0)</f>
        <v>3.5000000000000003E-2</v>
      </c>
      <c r="K127">
        <f>IFERROR(VLOOKUP(all_lmics[[Setting]:[Setting]],prev[],4,FALSE),0)</f>
        <v>1.6E-2</v>
      </c>
      <c r="L127">
        <f>IFERROR(VLOOKUP(all_lmics[[Setting]:[Setting]],prev[],5,FALSE),0)</f>
        <v>0.04</v>
      </c>
      <c r="M127">
        <f>IFERROR(VLOOKUP(all_lmics[[Setting]:[Setting]],prev[],7,FALSE),0)</f>
        <v>2.5510204081632642E-3</v>
      </c>
      <c r="N127">
        <f>IFERROR(VLOOKUP(all_lmics[[Setting]:[Setting]],prev[],6,FALSE),0)</f>
        <v>69037513</v>
      </c>
      <c r="O127">
        <f>IFERROR(VLOOKUP(all_lmics[[Setting]:[Setting]],SBA[],4,FALSE),0)</f>
        <v>0.99099999999999999</v>
      </c>
      <c r="P127">
        <f>IFERROR(VLOOKUP(all_lmics[[Setting]:[Setting]], facility[], 3,FALSE),0)</f>
        <v>0.98599999999999999</v>
      </c>
      <c r="Q127">
        <f>IFERROR(VLOOKUP(all_lmics[[Setting]:[Setting]],all_cause_mort[],4,FALSE),0)</f>
        <v>7.8106065999999997E-3</v>
      </c>
      <c r="R127">
        <f>IFERROR(VLOOKUP(all_lmics[[Setting]:[Setting]],all_cause_mort[],5,FALSE),0)</f>
        <v>3.1400014000000003E-4</v>
      </c>
      <c r="S127">
        <f>IFERROR(VLOOKUP(all_lmics[[Setting]:[Setting]],all_cause_mort[],6,FALSE),0)</f>
        <v>2.6529278000000001E-4</v>
      </c>
      <c r="T127">
        <f>IFERROR(VLOOKUP(all_lmics[[Setting]:[Setting]],all_cause_mort[],7,FALSE),0)</f>
        <v>4.1306327999999999E-4</v>
      </c>
      <c r="U127">
        <f>IFERROR(VLOOKUP(all_lmics[[Setting]:[Setting]],all_cause_mort[],8,FALSE),0)</f>
        <v>1.0782654E-3</v>
      </c>
      <c r="V127">
        <f>IFERROR(VLOOKUP(all_lmics[[Setting]:[Setting]],all_cause_mort[],9,FALSE),0)</f>
        <v>1.033314E-3</v>
      </c>
      <c r="W127">
        <f>IFERROR(VLOOKUP(all_lmics[[Setting]:[Setting]],all_cause_mort[],10,FALSE),0)</f>
        <v>1.1340281000000001E-3</v>
      </c>
      <c r="X127">
        <f>IFERROR(VLOOKUP(all_lmics[[Setting]:[Setting]],all_cause_mort[],11,FALSE),0)</f>
        <v>1.6153369999999999E-3</v>
      </c>
      <c r="Y127">
        <f>IFERROR(VLOOKUP(all_lmics[[Setting]:[Setting]],all_cause_mort[],12,FALSE),0)</f>
        <v>2.4587149000000002E-3</v>
      </c>
      <c r="Z127">
        <f>IFERROR(VLOOKUP(all_lmics[[Setting]:[Setting]],all_cause_mort[],13,FALSE),0)</f>
        <v>3.3723054000000001E-3</v>
      </c>
      <c r="AA127">
        <f>IFERROR(VLOOKUP(all_lmics[[Setting]:[Setting]],all_cause_mort[],14,FALSE),0)</f>
        <v>4.408085E-3</v>
      </c>
      <c r="AB127">
        <f>IFERROR(VLOOKUP(all_lmics[[Setting]:[Setting]],all_cause_mort[],15,FALSE),0)</f>
        <v>5.8369557000000002E-3</v>
      </c>
      <c r="AC127">
        <f>IFERROR(VLOOKUP(all_lmics[[Setting]:[Setting]],all_cause_mort[],16,FALSE),0)</f>
        <v>7.8417061999999996E-3</v>
      </c>
      <c r="AD127">
        <f>IFERROR(VLOOKUP(all_lmics[[Setting]:[Setting]],all_cause_mort[],17,FALSE),0)</f>
        <v>1.1456905E-2</v>
      </c>
      <c r="AE127">
        <f>IFERROR(VLOOKUP(all_lmics[[Setting]:[Setting]],all_cause_mort[],18,FALSE),0)</f>
        <v>1.6105812000000001E-2</v>
      </c>
      <c r="AF127">
        <f>IFERROR(VLOOKUP(all_lmics[[Setting]:[Setting]],all_cause_mort[],19,FALSE),0)</f>
        <v>2.5596432999999998E-2</v>
      </c>
      <c r="AG127">
        <f>IFERROR(VLOOKUP(all_lmics[[Setting]:[Setting]],all_cause_mort[],20,FALSE),0)</f>
        <v>4.2077122000000002E-2</v>
      </c>
      <c r="AH127">
        <f>IFERROR(VLOOKUP(all_lmics[[Setting]:[Setting]],all_cause_mort[],21,FALSE),0)</f>
        <v>6.7761364000000004E-2</v>
      </c>
      <c r="AI127">
        <f>IFERROR(VLOOKUP(all_lmics[[Setting]:[Setting]],all_cause_mort[],22,FALSE),0)</f>
        <v>0.1075188</v>
      </c>
      <c r="AJ127">
        <f>IFERROR(VLOOKUP(all_lmics[[Setting]:[Setting]],all_cause_mort[],23,FALSE),0)</f>
        <v>0.16294026</v>
      </c>
      <c r="AK127">
        <f>IFERROR(VLOOKUP(all_lmics[[Setting]:[Setting]],all_cause_mort[],24,FALSE),0)</f>
        <v>0.23373473</v>
      </c>
      <c r="AL127">
        <f>IFERROR(VLOOKUP(all_lmics[[Setting]:[Setting]],all_cause_mort[],25,FALSE),0)</f>
        <v>0.33548900676332399</v>
      </c>
      <c r="AM127">
        <f>VLOOKUP(all_lmics[[worldbank_region]:[worldbank_region]],Table13[],2,FALSE)</f>
        <v>73.064384999999987</v>
      </c>
      <c r="AN127">
        <f>VLOOKUP(all_lmics[[worldbank_region]:[worldbank_region]],Table13[],3,FALSE)</f>
        <v>73.064384999999987</v>
      </c>
      <c r="AO127">
        <f>VLOOKUP(all_lmics[[worldbank_region]:[worldbank_region]],Table13[],4,FALSE)</f>
        <v>120.79324499999998</v>
      </c>
      <c r="AP127">
        <f>VLOOKUP(all_lmics[[worldbank_region]:[worldbank_region]],Table13[],5,FALSE)</f>
        <v>120.79324499999998</v>
      </c>
      <c r="AQ127">
        <f>VLOOKUP(all_lmics[[worldbank_region]:[worldbank_region]],Table13[],6,FALSE)</f>
        <v>120.79324499999998</v>
      </c>
      <c r="AR127">
        <f>VLOOKUP(all_lmics[[worldbank_region]:[worldbank_region]],Table14[],2,FALSE)</f>
        <v>1.34029</v>
      </c>
      <c r="AS127">
        <f>VLOOKUP(all_lmics[[worldbank_region]:[worldbank_region]],Table14[],3,FALSE)</f>
        <v>1.9577900000000001</v>
      </c>
      <c r="AT127">
        <f>VLOOKUP(all_lmics[[worldbank_region]:[worldbank_region]],Table14[],4,FALSE)</f>
        <v>1.9723159999999997</v>
      </c>
      <c r="AU127">
        <f>VLOOKUP(all_lmics[[worldbank_region]:[worldbank_region]],Table14[],5,FALSE)</f>
        <v>2.5898159999999999</v>
      </c>
      <c r="AV127">
        <f>VLOOKUP(all_lmics[[worldbank_region]:[worldbank_region]],Table14[],6,FALSE)</f>
        <v>3.1600679999999999</v>
      </c>
      <c r="AW127">
        <f>IFERROR(VLOOKUP(all_lmics[[Setting]:[Setting]],nFacSBA[],4,FALSE),0)</f>
        <v>0</v>
      </c>
      <c r="AX127">
        <f>VLOOKUP(all_lmics[[worldbank_region]:[worldbank_region]],hbe[],2)</f>
        <v>0.3</v>
      </c>
      <c r="AY127">
        <f>VLOOKUP(all_lmics[[worldbank_region]:[worldbank_region]],hbe[],5)</f>
        <v>0.875</v>
      </c>
      <c r="AZ127">
        <f>VLOOKUP(all_lmics[[worldbank_region]:[worldbank_region]],hbe[],8)</f>
        <v>0.15</v>
      </c>
    </row>
    <row r="128" spans="1:52" x14ac:dyDescent="0.35">
      <c r="A128" s="12" t="s">
        <v>34</v>
      </c>
      <c r="B128" s="13" t="s">
        <v>36</v>
      </c>
      <c r="C128" s="46" t="s">
        <v>35</v>
      </c>
      <c r="D128" s="14" t="s">
        <v>37</v>
      </c>
      <c r="E128">
        <f>VLOOKUP(all_lmics[[Setting]:[Setting]],populations[],9,FALSE)</f>
        <v>164669751</v>
      </c>
      <c r="F128">
        <f>VLOOKUP(all_lmics[[Setting]:[Setting]],birthrate[],3,FALSE)</f>
        <v>1.8949999999999998E-2</v>
      </c>
      <c r="G128">
        <f>all_lmics[[#This Row],[2017_population]]*all_lmics[[#This Row],[2016_birthrate]]</f>
        <v>3120491.7814499997</v>
      </c>
      <c r="H128">
        <f>VLOOKUP(all_lmics[[Setting]:[Setting]],birthdose[],4,FALSE)</f>
        <v>0</v>
      </c>
      <c r="I128">
        <f>VLOOKUP(all_lmics[[Setting]:[Setting]],fullvax[],4,FALSE)</f>
        <v>0.97</v>
      </c>
      <c r="J128">
        <f>IFERROR(VLOOKUP(all_lmics[[Setting]:[Setting]],prev[],3,FALSE),0)</f>
        <v>4.8000000000000001E-2</v>
      </c>
      <c r="K128">
        <f>IFERROR(VLOOKUP(all_lmics[[Setting]:[Setting]],prev[],4,FALSE),0)</f>
        <v>3.3000000000000002E-2</v>
      </c>
      <c r="L128">
        <f>IFERROR(VLOOKUP(all_lmics[[Setting]:[Setting]],prev[],5,FALSE),0)</f>
        <v>6.2E-2</v>
      </c>
      <c r="M128">
        <f>IFERROR(VLOOKUP(all_lmics[[Setting]:[Setting]],prev[],7,FALSE),0)</f>
        <v>7.1428571428571426E-3</v>
      </c>
      <c r="N128">
        <f>IFERROR(VLOOKUP(all_lmics[[Setting]:[Setting]],prev[],6,FALSE),0)</f>
        <v>164669751</v>
      </c>
      <c r="O128">
        <f>IFERROR(VLOOKUP(all_lmics[[Setting]:[Setting]],SBA[],4,FALSE),0)</f>
        <v>0.498</v>
      </c>
      <c r="P128">
        <f>IFERROR(VLOOKUP(all_lmics[[Setting]:[Setting]], facility[], 3,FALSE),0)</f>
        <v>0.374</v>
      </c>
      <c r="Q128">
        <f>IFERROR(VLOOKUP(all_lmics[[Setting]:[Setting]],all_cause_mort[],4,FALSE),0)</f>
        <v>2.7496488999999999E-2</v>
      </c>
      <c r="R128">
        <f>IFERROR(VLOOKUP(all_lmics[[Setting]:[Setting]],all_cause_mort[],5,FALSE),0)</f>
        <v>1.4323857E-3</v>
      </c>
      <c r="S128">
        <f>IFERROR(VLOOKUP(all_lmics[[Setting]:[Setting]],all_cause_mort[],6,FALSE),0)</f>
        <v>7.4961978999999997E-4</v>
      </c>
      <c r="T128">
        <f>IFERROR(VLOOKUP(all_lmics[[Setting]:[Setting]],all_cause_mort[],7,FALSE),0)</f>
        <v>6.3698292999999999E-4</v>
      </c>
      <c r="U128">
        <f>IFERROR(VLOOKUP(all_lmics[[Setting]:[Setting]],all_cause_mort[],8,FALSE),0)</f>
        <v>1.0150504999999999E-3</v>
      </c>
      <c r="V128">
        <f>IFERROR(VLOOKUP(all_lmics[[Setting]:[Setting]],all_cause_mort[],9,FALSE),0)</f>
        <v>1.0420929E-3</v>
      </c>
      <c r="W128">
        <f>IFERROR(VLOOKUP(all_lmics[[Setting]:[Setting]],all_cause_mort[],10,FALSE),0)</f>
        <v>9.9861869000000001E-4</v>
      </c>
      <c r="X128">
        <f>IFERROR(VLOOKUP(all_lmics[[Setting]:[Setting]],all_cause_mort[],11,FALSE),0)</f>
        <v>1.2499077E-3</v>
      </c>
      <c r="Y128">
        <f>IFERROR(VLOOKUP(all_lmics[[Setting]:[Setting]],all_cause_mort[],12,FALSE),0)</f>
        <v>1.7017181999999999E-3</v>
      </c>
      <c r="Z128">
        <f>IFERROR(VLOOKUP(all_lmics[[Setting]:[Setting]],all_cause_mort[],13,FALSE),0)</f>
        <v>2.5044161999999998E-3</v>
      </c>
      <c r="AA128">
        <f>IFERROR(VLOOKUP(all_lmics[[Setting]:[Setting]],all_cause_mort[],14,FALSE),0)</f>
        <v>3.9139939E-3</v>
      </c>
      <c r="AB128">
        <f>IFERROR(VLOOKUP(all_lmics[[Setting]:[Setting]],all_cause_mort[],15,FALSE),0)</f>
        <v>6.4627964E-3</v>
      </c>
      <c r="AC128">
        <f>IFERROR(VLOOKUP(all_lmics[[Setting]:[Setting]],all_cause_mort[],16,FALSE),0)</f>
        <v>1.0261556999999999E-2</v>
      </c>
      <c r="AD128">
        <f>IFERROR(VLOOKUP(all_lmics[[Setting]:[Setting]],all_cause_mort[],17,FALSE),0)</f>
        <v>1.7326417E-2</v>
      </c>
      <c r="AE128">
        <f>IFERROR(VLOOKUP(all_lmics[[Setting]:[Setting]],all_cause_mort[],18,FALSE),0)</f>
        <v>2.5594777999999999E-2</v>
      </c>
      <c r="AF128">
        <f>IFERROR(VLOOKUP(all_lmics[[Setting]:[Setting]],all_cause_mort[],19,FALSE),0)</f>
        <v>4.3215523999999998E-2</v>
      </c>
      <c r="AG128">
        <f>IFERROR(VLOOKUP(all_lmics[[Setting]:[Setting]],all_cause_mort[],20,FALSE),0)</f>
        <v>6.0913914E-2</v>
      </c>
      <c r="AH128">
        <f>IFERROR(VLOOKUP(all_lmics[[Setting]:[Setting]],all_cause_mort[],21,FALSE),0)</f>
        <v>9.4367913999999997E-2</v>
      </c>
      <c r="AI128">
        <f>IFERROR(VLOOKUP(all_lmics[[Setting]:[Setting]],all_cause_mort[],22,FALSE),0)</f>
        <v>0.1370556</v>
      </c>
      <c r="AJ128">
        <f>IFERROR(VLOOKUP(all_lmics[[Setting]:[Setting]],all_cause_mort[],23,FALSE),0)</f>
        <v>0.19052445000000001</v>
      </c>
      <c r="AK128">
        <f>IFERROR(VLOOKUP(all_lmics[[Setting]:[Setting]],all_cause_mort[],24,FALSE),0)</f>
        <v>0.23876800000000001</v>
      </c>
      <c r="AL128">
        <f>IFERROR(VLOOKUP(all_lmics[[Setting]:[Setting]],all_cause_mort[],25,FALSE),0)</f>
        <v>0.30788080653194999</v>
      </c>
      <c r="AM128">
        <f>VLOOKUP(all_lmics[[worldbank_region]:[worldbank_region]],Table13[],2,FALSE)</f>
        <v>57.361807999999996</v>
      </c>
      <c r="AN128">
        <f>VLOOKUP(all_lmics[[worldbank_region]:[worldbank_region]],Table13[],3,FALSE)</f>
        <v>57.361807999999996</v>
      </c>
      <c r="AO128">
        <f>VLOOKUP(all_lmics[[worldbank_region]:[worldbank_region]],Table13[],4,FALSE)</f>
        <v>105.09066799999999</v>
      </c>
      <c r="AP128">
        <f>VLOOKUP(all_lmics[[worldbank_region]:[worldbank_region]],Table13[],5,FALSE)</f>
        <v>105.09066799999999</v>
      </c>
      <c r="AQ128">
        <f>VLOOKUP(all_lmics[[worldbank_region]:[worldbank_region]],Table13[],6,FALSE)</f>
        <v>105.09066799999999</v>
      </c>
      <c r="AR128">
        <f>VLOOKUP(all_lmics[[worldbank_region]:[worldbank_region]],Table14[],2,FALSE)</f>
        <v>0.95889500000000005</v>
      </c>
      <c r="AS128">
        <f>VLOOKUP(all_lmics[[worldbank_region]:[worldbank_region]],Table14[],3,FALSE)</f>
        <v>1.5763950000000002</v>
      </c>
      <c r="AT128">
        <f>VLOOKUP(all_lmics[[worldbank_region]:[worldbank_region]],Table14[],4,FALSE)</f>
        <v>33.028765999999997</v>
      </c>
      <c r="AU128">
        <f>VLOOKUP(all_lmics[[worldbank_region]:[worldbank_region]],Table14[],5,FALSE)</f>
        <v>33.646265999999997</v>
      </c>
      <c r="AV128">
        <f>VLOOKUP(all_lmics[[worldbank_region]:[worldbank_region]],Table14[],6,FALSE)</f>
        <v>34.216518000000001</v>
      </c>
      <c r="AW128">
        <f>IFERROR(VLOOKUP(all_lmics[[Setting]:[Setting]],nFacSBA[],4,FALSE),0)</f>
        <v>4.4423247066124202E-2</v>
      </c>
      <c r="AX128">
        <f>VLOOKUP(all_lmics[[worldbank_region]:[worldbank_region]],hbe[],2)</f>
        <v>0.3</v>
      </c>
      <c r="AY128">
        <f>VLOOKUP(all_lmics[[worldbank_region]:[worldbank_region]],hbe[],5)</f>
        <v>0.875</v>
      </c>
      <c r="AZ128">
        <f>VLOOKUP(all_lmics[[worldbank_region]:[worldbank_region]],hbe[],8)</f>
        <v>0.15</v>
      </c>
    </row>
    <row r="129" spans="1:52" x14ac:dyDescent="0.35">
      <c r="A129" s="12" t="s">
        <v>44</v>
      </c>
      <c r="B129" s="13" t="s">
        <v>36</v>
      </c>
      <c r="C129" s="46" t="s">
        <v>35</v>
      </c>
      <c r="D129" s="14" t="s">
        <v>37</v>
      </c>
      <c r="E129">
        <f>VLOOKUP(all_lmics[[Setting]:[Setting]],populations[],9,FALSE)</f>
        <v>807610</v>
      </c>
      <c r="F129">
        <f>VLOOKUP(all_lmics[[Setting]:[Setting]],birthrate[],3,FALSE)</f>
        <v>1.8165000000000001E-2</v>
      </c>
      <c r="G129">
        <f>all_lmics[[#This Row],[2017_population]]*all_lmics[[#This Row],[2016_birthrate]]</f>
        <v>14670.235650000001</v>
      </c>
      <c r="H129">
        <f>VLOOKUP(all_lmics[[Setting]:[Setting]],birthdose[],4,FALSE)</f>
        <v>0.82</v>
      </c>
      <c r="I129">
        <f>VLOOKUP(all_lmics[[Setting]:[Setting]],fullvax[],4,FALSE)</f>
        <v>0.98</v>
      </c>
      <c r="J129">
        <f>IFERROR(VLOOKUP(all_lmics[[Setting]:[Setting]],prev[],3,FALSE),0)</f>
        <v>5.8400000000000001E-2</v>
      </c>
      <c r="K129">
        <f>IFERROR(VLOOKUP(all_lmics[[Setting]:[Setting]],prev[],4,FALSE),0)</f>
        <v>4.9200000000000001E-2</v>
      </c>
      <c r="L129">
        <f>IFERROR(VLOOKUP(all_lmics[[Setting]:[Setting]],prev[],5,FALSE),0)</f>
        <v>6.93E-2</v>
      </c>
      <c r="M129">
        <f>IFERROR(VLOOKUP(all_lmics[[Setting]:[Setting]],prev[],7,FALSE),0)</f>
        <v>5.5612244897959183E-3</v>
      </c>
      <c r="N129">
        <f>IFERROR(VLOOKUP(all_lmics[[Setting]:[Setting]],prev[],6,FALSE),0)</f>
        <v>727641</v>
      </c>
      <c r="O129">
        <f>IFERROR(VLOOKUP(all_lmics[[Setting]:[Setting]],SBA[],4,FALSE),0)</f>
        <v>0.89</v>
      </c>
      <c r="P129">
        <f>IFERROR(VLOOKUP(all_lmics[[Setting]:[Setting]], facility[], 3,FALSE),0)</f>
        <v>0.73799999999999999</v>
      </c>
      <c r="Q129">
        <f>IFERROR(VLOOKUP(all_lmics[[Setting]:[Setting]],all_cause_mort[],4,FALSE),0)</f>
        <v>2.4592960000000001E-2</v>
      </c>
      <c r="R129">
        <f>IFERROR(VLOOKUP(all_lmics[[Setting]:[Setting]],all_cause_mort[],5,FALSE),0)</f>
        <v>1.4221768999999999E-3</v>
      </c>
      <c r="S129">
        <f>IFERROR(VLOOKUP(all_lmics[[Setting]:[Setting]],all_cause_mort[],6,FALSE),0)</f>
        <v>7.7513961000000005E-4</v>
      </c>
      <c r="T129">
        <f>IFERROR(VLOOKUP(all_lmics[[Setting]:[Setting]],all_cause_mort[],7,FALSE),0)</f>
        <v>6.2795587999999998E-4</v>
      </c>
      <c r="U129">
        <f>IFERROR(VLOOKUP(all_lmics[[Setting]:[Setting]],all_cause_mort[],8,FALSE),0)</f>
        <v>8.5001065000000001E-4</v>
      </c>
      <c r="V129">
        <f>IFERROR(VLOOKUP(all_lmics[[Setting]:[Setting]],all_cause_mort[],9,FALSE),0)</f>
        <v>1.3859578E-3</v>
      </c>
      <c r="W129">
        <f>IFERROR(VLOOKUP(all_lmics[[Setting]:[Setting]],all_cause_mort[],10,FALSE),0)</f>
        <v>2.0088519000000002E-3</v>
      </c>
      <c r="X129">
        <f>IFERROR(VLOOKUP(all_lmics[[Setting]:[Setting]],all_cause_mort[],11,FALSE),0)</f>
        <v>2.9179764999999998E-3</v>
      </c>
      <c r="Y129">
        <f>IFERROR(VLOOKUP(all_lmics[[Setting]:[Setting]],all_cause_mort[],12,FALSE),0)</f>
        <v>3.9776804999999997E-3</v>
      </c>
      <c r="Z129">
        <f>IFERROR(VLOOKUP(all_lmics[[Setting]:[Setting]],all_cause_mort[],13,FALSE),0)</f>
        <v>5.2167923999999997E-3</v>
      </c>
      <c r="AA129">
        <f>IFERROR(VLOOKUP(all_lmics[[Setting]:[Setting]],all_cause_mort[],14,FALSE),0)</f>
        <v>6.7983495000000001E-3</v>
      </c>
      <c r="AB129">
        <f>IFERROR(VLOOKUP(all_lmics[[Setting]:[Setting]],all_cause_mort[],15,FALSE),0)</f>
        <v>8.9858491000000002E-3</v>
      </c>
      <c r="AC129">
        <f>IFERROR(VLOOKUP(all_lmics[[Setting]:[Setting]],all_cause_mort[],16,FALSE),0)</f>
        <v>1.2264648E-2</v>
      </c>
      <c r="AD129">
        <f>IFERROR(VLOOKUP(all_lmics[[Setting]:[Setting]],all_cause_mort[],17,FALSE),0)</f>
        <v>1.6624712E-2</v>
      </c>
      <c r="AE129">
        <f>IFERROR(VLOOKUP(all_lmics[[Setting]:[Setting]],all_cause_mort[],18,FALSE),0)</f>
        <v>2.3639731000000001E-2</v>
      </c>
      <c r="AF129">
        <f>IFERROR(VLOOKUP(all_lmics[[Setting]:[Setting]],all_cause_mort[],19,FALSE),0)</f>
        <v>3.4283037000000002E-2</v>
      </c>
      <c r="AG129">
        <f>IFERROR(VLOOKUP(all_lmics[[Setting]:[Setting]],all_cause_mort[],20,FALSE),0)</f>
        <v>5.0834553999999997E-2</v>
      </c>
      <c r="AH129">
        <f>IFERROR(VLOOKUP(all_lmics[[Setting]:[Setting]],all_cause_mort[],21,FALSE),0)</f>
        <v>7.5994737000000007E-2</v>
      </c>
      <c r="AI129">
        <f>IFERROR(VLOOKUP(all_lmics[[Setting]:[Setting]],all_cause_mort[],22,FALSE),0)</f>
        <v>0.10746435999999999</v>
      </c>
      <c r="AJ129">
        <f>IFERROR(VLOOKUP(all_lmics[[Setting]:[Setting]],all_cause_mort[],23,FALSE),0)</f>
        <v>0.15106344999999999</v>
      </c>
      <c r="AK129">
        <f>IFERROR(VLOOKUP(all_lmics[[Setting]:[Setting]],all_cause_mort[],24,FALSE),0)</f>
        <v>0.2052021</v>
      </c>
      <c r="AL129">
        <f>IFERROR(VLOOKUP(all_lmics[[Setting]:[Setting]],all_cause_mort[],25,FALSE),0)</f>
        <v>0.28146805858251001</v>
      </c>
      <c r="AM129">
        <f>VLOOKUP(all_lmics[[worldbank_region]:[worldbank_region]],Table13[],2,FALSE)</f>
        <v>57.361807999999996</v>
      </c>
      <c r="AN129">
        <f>VLOOKUP(all_lmics[[worldbank_region]:[worldbank_region]],Table13[],3,FALSE)</f>
        <v>57.361807999999996</v>
      </c>
      <c r="AO129">
        <f>VLOOKUP(all_lmics[[worldbank_region]:[worldbank_region]],Table13[],4,FALSE)</f>
        <v>105.09066799999999</v>
      </c>
      <c r="AP129">
        <f>VLOOKUP(all_lmics[[worldbank_region]:[worldbank_region]],Table13[],5,FALSE)</f>
        <v>105.09066799999999</v>
      </c>
      <c r="AQ129">
        <f>VLOOKUP(all_lmics[[worldbank_region]:[worldbank_region]],Table13[],6,FALSE)</f>
        <v>105.09066799999999</v>
      </c>
      <c r="AR129">
        <f>VLOOKUP(all_lmics[[worldbank_region]:[worldbank_region]],Table14[],2,FALSE)</f>
        <v>0.95889500000000005</v>
      </c>
      <c r="AS129">
        <f>VLOOKUP(all_lmics[[worldbank_region]:[worldbank_region]],Table14[],3,FALSE)</f>
        <v>1.5763950000000002</v>
      </c>
      <c r="AT129">
        <f>VLOOKUP(all_lmics[[worldbank_region]:[worldbank_region]],Table14[],4,FALSE)</f>
        <v>33.028765999999997</v>
      </c>
      <c r="AU129">
        <f>VLOOKUP(all_lmics[[worldbank_region]:[worldbank_region]],Table14[],5,FALSE)</f>
        <v>33.646265999999997</v>
      </c>
      <c r="AV129">
        <f>VLOOKUP(all_lmics[[worldbank_region]:[worldbank_region]],Table14[],6,FALSE)</f>
        <v>34.216518000000001</v>
      </c>
      <c r="AW129">
        <f>IFERROR(VLOOKUP(all_lmics[[Setting]:[Setting]],nFacSBA[],4,FALSE),0)</f>
        <v>5.9915364219662551E-2</v>
      </c>
      <c r="AX129">
        <f>VLOOKUP(all_lmics[[worldbank_region]:[worldbank_region]],hbe[],2)</f>
        <v>0.3</v>
      </c>
      <c r="AY129">
        <f>VLOOKUP(all_lmics[[worldbank_region]:[worldbank_region]],hbe[],5)</f>
        <v>0.875</v>
      </c>
      <c r="AZ129">
        <f>VLOOKUP(all_lmics[[worldbank_region]:[worldbank_region]],hbe[],8)</f>
        <v>0.15</v>
      </c>
    </row>
    <row r="130" spans="1:52" x14ac:dyDescent="0.35">
      <c r="A130" s="8" t="s">
        <v>76</v>
      </c>
      <c r="B130" s="10" t="s">
        <v>36</v>
      </c>
      <c r="C130" s="45" t="s">
        <v>35</v>
      </c>
      <c r="D130" s="11" t="s">
        <v>37</v>
      </c>
      <c r="E130">
        <f>VLOOKUP(all_lmics[[Setting]:[Setting]],populations[],9,FALSE)</f>
        <v>25490965</v>
      </c>
      <c r="F130">
        <f>VLOOKUP(all_lmics[[Setting]:[Setting]],birthrate[],3,FALSE)</f>
        <v>1.3833999999999999E-2</v>
      </c>
      <c r="G130">
        <f>all_lmics[[#This Row],[2017_population]]*all_lmics[[#This Row],[2016_birthrate]]</f>
        <v>352642.00980999996</v>
      </c>
      <c r="H130">
        <f>VLOOKUP(all_lmics[[Setting]:[Setting]],birthdose[],4,FALSE)</f>
        <v>0.98</v>
      </c>
      <c r="I130">
        <f>VLOOKUP(all_lmics[[Setting]:[Setting]],fullvax[],4,FALSE)</f>
        <v>0.97</v>
      </c>
      <c r="J130">
        <f>IFERROR(VLOOKUP(all_lmics[[Setting]:[Setting]],prev[],3,FALSE),0)</f>
        <v>0</v>
      </c>
      <c r="K130">
        <f>IFERROR(VLOOKUP(all_lmics[[Setting]:[Setting]],prev[],4,FALSE),0)</f>
        <v>0</v>
      </c>
      <c r="L130">
        <f>IFERROR(VLOOKUP(all_lmics[[Setting]:[Setting]],prev[],5,FALSE),0)</f>
        <v>0</v>
      </c>
      <c r="M130">
        <f>IFERROR(VLOOKUP(all_lmics[[Setting]:[Setting]],prev[],7,FALSE),0)</f>
        <v>0</v>
      </c>
      <c r="N130">
        <f>IFERROR(VLOOKUP(all_lmics[[Setting]:[Setting]],prev[],6,FALSE),0)</f>
        <v>0</v>
      </c>
      <c r="O130">
        <f>IFERROR(VLOOKUP(all_lmics[[Setting]:[Setting]],SBA[],4,FALSE),0)</f>
        <v>0.9998999999999999</v>
      </c>
      <c r="P130">
        <f>IFERROR(VLOOKUP(all_lmics[[Setting]:[Setting]], facility[], 3,FALSE),0)</f>
        <v>0.94700000000000006</v>
      </c>
      <c r="Q130">
        <f>IFERROR(VLOOKUP(all_lmics[[Setting]:[Setting]],all_cause_mort[],4,FALSE),0)</f>
        <v>1.4077131E-2</v>
      </c>
      <c r="R130">
        <f>IFERROR(VLOOKUP(all_lmics[[Setting]:[Setting]],all_cause_mort[],5,FALSE),0)</f>
        <v>1.1558249E-3</v>
      </c>
      <c r="S130">
        <f>IFERROR(VLOOKUP(all_lmics[[Setting]:[Setting]],all_cause_mort[],6,FALSE),0)</f>
        <v>6.4578214999999996E-4</v>
      </c>
      <c r="T130">
        <f>IFERROR(VLOOKUP(all_lmics[[Setting]:[Setting]],all_cause_mort[],7,FALSE),0)</f>
        <v>5.9978897E-4</v>
      </c>
      <c r="U130">
        <f>IFERROR(VLOOKUP(all_lmics[[Setting]:[Setting]],all_cause_mort[],8,FALSE),0)</f>
        <v>8.6667321000000002E-4</v>
      </c>
      <c r="V130">
        <f>IFERROR(VLOOKUP(all_lmics[[Setting]:[Setting]],all_cause_mort[],9,FALSE),0)</f>
        <v>1.2440407999999999E-3</v>
      </c>
      <c r="W130">
        <f>IFERROR(VLOOKUP(all_lmics[[Setting]:[Setting]],all_cause_mort[],10,FALSE),0)</f>
        <v>1.5454567E-3</v>
      </c>
      <c r="X130">
        <f>IFERROR(VLOOKUP(all_lmics[[Setting]:[Setting]],all_cause_mort[],11,FALSE),0)</f>
        <v>1.7561924000000001E-3</v>
      </c>
      <c r="Y130">
        <f>IFERROR(VLOOKUP(all_lmics[[Setting]:[Setting]],all_cause_mort[],12,FALSE),0)</f>
        <v>2.0263629000000002E-3</v>
      </c>
      <c r="Z130">
        <f>IFERROR(VLOOKUP(all_lmics[[Setting]:[Setting]],all_cause_mort[],13,FALSE),0)</f>
        <v>2.4639854999999999E-3</v>
      </c>
      <c r="AA130">
        <f>IFERROR(VLOOKUP(all_lmics[[Setting]:[Setting]],all_cause_mort[],14,FALSE),0)</f>
        <v>3.3698216E-3</v>
      </c>
      <c r="AB130">
        <f>IFERROR(VLOOKUP(all_lmics[[Setting]:[Setting]],all_cause_mort[],15,FALSE),0)</f>
        <v>4.8507804E-3</v>
      </c>
      <c r="AC130">
        <f>IFERROR(VLOOKUP(all_lmics[[Setting]:[Setting]],all_cause_mort[],16,FALSE),0)</f>
        <v>9.8938485E-3</v>
      </c>
      <c r="AD130">
        <f>IFERROR(VLOOKUP(all_lmics[[Setting]:[Setting]],all_cause_mort[],17,FALSE),0)</f>
        <v>2.0747373E-2</v>
      </c>
      <c r="AE130">
        <f>IFERROR(VLOOKUP(all_lmics[[Setting]:[Setting]],all_cause_mort[],18,FALSE),0)</f>
        <v>3.1019004999999999E-2</v>
      </c>
      <c r="AF130">
        <f>IFERROR(VLOOKUP(all_lmics[[Setting]:[Setting]],all_cause_mort[],19,FALSE),0)</f>
        <v>4.4843174E-2</v>
      </c>
      <c r="AG130">
        <f>IFERROR(VLOOKUP(all_lmics[[Setting]:[Setting]],all_cause_mort[],20,FALSE),0)</f>
        <v>7.4614017000000005E-2</v>
      </c>
      <c r="AH130">
        <f>IFERROR(VLOOKUP(all_lmics[[Setting]:[Setting]],all_cause_mort[],21,FALSE),0)</f>
        <v>0.11366689000000001</v>
      </c>
      <c r="AI130">
        <f>IFERROR(VLOOKUP(all_lmics[[Setting]:[Setting]],all_cause_mort[],22,FALSE),0)</f>
        <v>0.17434906999999999</v>
      </c>
      <c r="AJ130">
        <f>IFERROR(VLOOKUP(all_lmics[[Setting]:[Setting]],all_cause_mort[],23,FALSE),0)</f>
        <v>0.25984231000000002</v>
      </c>
      <c r="AK130">
        <f>IFERROR(VLOOKUP(all_lmics[[Setting]:[Setting]],all_cause_mort[],24,FALSE),0)</f>
        <v>0.35983158999999998</v>
      </c>
      <c r="AL130">
        <f>IFERROR(VLOOKUP(all_lmics[[Setting]:[Setting]],all_cause_mort[],25,FALSE),0)</f>
        <v>0.50544587604687996</v>
      </c>
      <c r="AM130">
        <f>VLOOKUP(all_lmics[[worldbank_region]:[worldbank_region]],Table13[],2,FALSE)</f>
        <v>57.361807999999996</v>
      </c>
      <c r="AN130">
        <f>VLOOKUP(all_lmics[[worldbank_region]:[worldbank_region]],Table13[],3,FALSE)</f>
        <v>57.361807999999996</v>
      </c>
      <c r="AO130">
        <f>VLOOKUP(all_lmics[[worldbank_region]:[worldbank_region]],Table13[],4,FALSE)</f>
        <v>105.09066799999999</v>
      </c>
      <c r="AP130">
        <f>VLOOKUP(all_lmics[[worldbank_region]:[worldbank_region]],Table13[],5,FALSE)</f>
        <v>105.09066799999999</v>
      </c>
      <c r="AQ130">
        <f>VLOOKUP(all_lmics[[worldbank_region]:[worldbank_region]],Table13[],6,FALSE)</f>
        <v>105.09066799999999</v>
      </c>
      <c r="AR130">
        <f>VLOOKUP(all_lmics[[worldbank_region]:[worldbank_region]],Table14[],2,FALSE)</f>
        <v>0.95889500000000005</v>
      </c>
      <c r="AS130">
        <f>VLOOKUP(all_lmics[[worldbank_region]:[worldbank_region]],Table14[],3,FALSE)</f>
        <v>1.5763950000000002</v>
      </c>
      <c r="AT130">
        <f>VLOOKUP(all_lmics[[worldbank_region]:[worldbank_region]],Table14[],4,FALSE)</f>
        <v>33.028765999999997</v>
      </c>
      <c r="AU130">
        <f>VLOOKUP(all_lmics[[worldbank_region]:[worldbank_region]],Table14[],5,FALSE)</f>
        <v>33.646265999999997</v>
      </c>
      <c r="AV130">
        <f>VLOOKUP(all_lmics[[worldbank_region]:[worldbank_region]],Table14[],6,FALSE)</f>
        <v>34.216518000000001</v>
      </c>
      <c r="AW130">
        <f>IFERROR(VLOOKUP(all_lmics[[Setting]:[Setting]],nFacSBA[],4,FALSE),0)</f>
        <v>0</v>
      </c>
      <c r="AX130">
        <f>VLOOKUP(all_lmics[[worldbank_region]:[worldbank_region]],hbe[],2)</f>
        <v>0.3</v>
      </c>
      <c r="AY130">
        <f>VLOOKUP(all_lmics[[worldbank_region]:[worldbank_region]],hbe[],5)</f>
        <v>0.875</v>
      </c>
      <c r="AZ130">
        <f>VLOOKUP(all_lmics[[worldbank_region]:[worldbank_region]],hbe[],8)</f>
        <v>0.15</v>
      </c>
    </row>
    <row r="131" spans="1:52" x14ac:dyDescent="0.35">
      <c r="A131" s="12" t="s">
        <v>107</v>
      </c>
      <c r="B131" s="13" t="s">
        <v>36</v>
      </c>
      <c r="C131" s="46" t="s">
        <v>35</v>
      </c>
      <c r="D131" s="14" t="s">
        <v>37</v>
      </c>
      <c r="E131">
        <f>VLOOKUP(all_lmics[[Setting]:[Setting]],populations[],9,FALSE)</f>
        <v>1339180127</v>
      </c>
      <c r="F131">
        <f>VLOOKUP(all_lmics[[Setting]:[Setting]],birthrate[],3,FALSE)</f>
        <v>1.9013000000000002E-2</v>
      </c>
      <c r="G131">
        <f>all_lmics[[#This Row],[2017_population]]*all_lmics[[#This Row],[2016_birthrate]]</f>
        <v>25461831.754651003</v>
      </c>
      <c r="H131">
        <f>VLOOKUP(all_lmics[[Setting]:[Setting]],birthdose[],4,FALSE)</f>
        <v>0.53</v>
      </c>
      <c r="I131">
        <f>VLOOKUP(all_lmics[[Setting]:[Setting]],fullvax[],4,FALSE)</f>
        <v>0.88</v>
      </c>
      <c r="J131">
        <f>IFERROR(VLOOKUP(all_lmics[[Setting]:[Setting]],prev[],3,FALSE),0)</f>
        <v>2.5000000000000001E-2</v>
      </c>
      <c r="K131">
        <f>IFERROR(VLOOKUP(all_lmics[[Setting]:[Setting]],prev[],4,FALSE),0)</f>
        <v>2.1999999999999999E-2</v>
      </c>
      <c r="L131">
        <f>IFERROR(VLOOKUP(all_lmics[[Setting]:[Setting]],prev[],5,FALSE),0)</f>
        <v>2.7E-2</v>
      </c>
      <c r="M131">
        <f>IFERROR(VLOOKUP(all_lmics[[Setting]:[Setting]],prev[],7,FALSE),0)</f>
        <v>1.0204081632653053E-3</v>
      </c>
      <c r="N131">
        <f>IFERROR(VLOOKUP(all_lmics[[Setting]:[Setting]],prev[],6,FALSE),0)</f>
        <v>1339180127</v>
      </c>
      <c r="O131">
        <f>IFERROR(VLOOKUP(all_lmics[[Setting]:[Setting]],SBA[],4,FALSE),0)</f>
        <v>0.85699999999999998</v>
      </c>
      <c r="P131">
        <f>IFERROR(VLOOKUP(all_lmics[[Setting]:[Setting]], facility[], 3,FALSE),0)</f>
        <v>0.78900000000000003</v>
      </c>
      <c r="Q131">
        <f>IFERROR(VLOOKUP(all_lmics[[Setting]:[Setting]],all_cause_mort[],4,FALSE),0)</f>
        <v>3.2905592999999997E-2</v>
      </c>
      <c r="R131">
        <f>IFERROR(VLOOKUP(all_lmics[[Setting]:[Setting]],all_cause_mort[],5,FALSE),0)</f>
        <v>1.9216846000000001E-3</v>
      </c>
      <c r="S131">
        <f>IFERROR(VLOOKUP(all_lmics[[Setting]:[Setting]],all_cause_mort[],6,FALSE),0)</f>
        <v>7.1663227000000004E-4</v>
      </c>
      <c r="T131">
        <f>IFERROR(VLOOKUP(all_lmics[[Setting]:[Setting]],all_cause_mort[],7,FALSE),0)</f>
        <v>6.0249078000000004E-4</v>
      </c>
      <c r="U131">
        <f>IFERROR(VLOOKUP(all_lmics[[Setting]:[Setting]],all_cause_mort[],8,FALSE),0)</f>
        <v>9.4851435000000003E-4</v>
      </c>
      <c r="V131">
        <f>IFERROR(VLOOKUP(all_lmics[[Setting]:[Setting]],all_cause_mort[],9,FALSE),0)</f>
        <v>1.377755E-3</v>
      </c>
      <c r="W131">
        <f>IFERROR(VLOOKUP(all_lmics[[Setting]:[Setting]],all_cause_mort[],10,FALSE),0)</f>
        <v>1.5585326E-3</v>
      </c>
      <c r="X131">
        <f>IFERROR(VLOOKUP(all_lmics[[Setting]:[Setting]],all_cause_mort[],11,FALSE),0)</f>
        <v>1.9909837999999998E-3</v>
      </c>
      <c r="Y131">
        <f>IFERROR(VLOOKUP(all_lmics[[Setting]:[Setting]],all_cause_mort[],12,FALSE),0)</f>
        <v>2.7617183999999999E-3</v>
      </c>
      <c r="Z131">
        <f>IFERROR(VLOOKUP(all_lmics[[Setting]:[Setting]],all_cause_mort[],13,FALSE),0)</f>
        <v>3.7217993000000001E-3</v>
      </c>
      <c r="AA131">
        <f>IFERROR(VLOOKUP(all_lmics[[Setting]:[Setting]],all_cause_mort[],14,FALSE),0)</f>
        <v>5.3647935999999998E-3</v>
      </c>
      <c r="AB131">
        <f>IFERROR(VLOOKUP(all_lmics[[Setting]:[Setting]],all_cause_mort[],15,FALSE),0)</f>
        <v>8.6497681E-3</v>
      </c>
      <c r="AC131">
        <f>IFERROR(VLOOKUP(all_lmics[[Setting]:[Setting]],all_cause_mort[],16,FALSE),0)</f>
        <v>1.2982907E-2</v>
      </c>
      <c r="AD131">
        <f>IFERROR(VLOOKUP(all_lmics[[Setting]:[Setting]],all_cause_mort[],17,FALSE),0)</f>
        <v>1.9453697999999998E-2</v>
      </c>
      <c r="AE131">
        <f>IFERROR(VLOOKUP(all_lmics[[Setting]:[Setting]],all_cause_mort[],18,FALSE),0)</f>
        <v>2.9876994E-2</v>
      </c>
      <c r="AF131">
        <f>IFERROR(VLOOKUP(all_lmics[[Setting]:[Setting]],all_cause_mort[],19,FALSE),0)</f>
        <v>4.7802754000000003E-2</v>
      </c>
      <c r="AG131">
        <f>IFERROR(VLOOKUP(all_lmics[[Setting]:[Setting]],all_cause_mort[],20,FALSE),0)</f>
        <v>7.1392497999999999E-2</v>
      </c>
      <c r="AH131">
        <f>IFERROR(VLOOKUP(all_lmics[[Setting]:[Setting]],all_cause_mort[],21,FALSE),0)</f>
        <v>0.11121219</v>
      </c>
      <c r="AI131">
        <f>IFERROR(VLOOKUP(all_lmics[[Setting]:[Setting]],all_cause_mort[],22,FALSE),0)</f>
        <v>0.16845549000000001</v>
      </c>
      <c r="AJ131">
        <f>IFERROR(VLOOKUP(all_lmics[[Setting]:[Setting]],all_cause_mort[],23,FALSE),0)</f>
        <v>0.24760963</v>
      </c>
      <c r="AK131">
        <f>IFERROR(VLOOKUP(all_lmics[[Setting]:[Setting]],all_cause_mort[],24,FALSE),0)</f>
        <v>0.2313066</v>
      </c>
      <c r="AL131">
        <f>IFERROR(VLOOKUP(all_lmics[[Setting]:[Setting]],all_cause_mort[],25,FALSE),0)</f>
        <v>0.32729534516632602</v>
      </c>
      <c r="AM131">
        <f>VLOOKUP(all_lmics[[worldbank_region]:[worldbank_region]],Table13[],2,FALSE)</f>
        <v>57.361807999999996</v>
      </c>
      <c r="AN131">
        <f>VLOOKUP(all_lmics[[worldbank_region]:[worldbank_region]],Table13[],3,FALSE)</f>
        <v>57.361807999999996</v>
      </c>
      <c r="AO131">
        <f>VLOOKUP(all_lmics[[worldbank_region]:[worldbank_region]],Table13[],4,FALSE)</f>
        <v>105.09066799999999</v>
      </c>
      <c r="AP131">
        <f>VLOOKUP(all_lmics[[worldbank_region]:[worldbank_region]],Table13[],5,FALSE)</f>
        <v>105.09066799999999</v>
      </c>
      <c r="AQ131">
        <f>VLOOKUP(all_lmics[[worldbank_region]:[worldbank_region]],Table13[],6,FALSE)</f>
        <v>105.09066799999999</v>
      </c>
      <c r="AR131">
        <f>VLOOKUP(all_lmics[[worldbank_region]:[worldbank_region]],Table14[],2,FALSE)</f>
        <v>0.95889500000000005</v>
      </c>
      <c r="AS131">
        <f>VLOOKUP(all_lmics[[worldbank_region]:[worldbank_region]],Table14[],3,FALSE)</f>
        <v>1.5763950000000002</v>
      </c>
      <c r="AT131">
        <f>VLOOKUP(all_lmics[[worldbank_region]:[worldbank_region]],Table14[],4,FALSE)</f>
        <v>33.028765999999997</v>
      </c>
      <c r="AU131">
        <f>VLOOKUP(all_lmics[[worldbank_region]:[worldbank_region]],Table14[],5,FALSE)</f>
        <v>33.646265999999997</v>
      </c>
      <c r="AV131">
        <f>VLOOKUP(all_lmics[[worldbank_region]:[worldbank_region]],Table14[],6,FALSE)</f>
        <v>34.216518000000001</v>
      </c>
      <c r="AW131">
        <f>IFERROR(VLOOKUP(all_lmics[[Setting]:[Setting]],nFacSBA[],4,FALSE),0)</f>
        <v>0.14134516548394116</v>
      </c>
      <c r="AX131">
        <f>VLOOKUP(all_lmics[[worldbank_region]:[worldbank_region]],hbe[],2)</f>
        <v>0.3</v>
      </c>
      <c r="AY131">
        <f>VLOOKUP(all_lmics[[worldbank_region]:[worldbank_region]],hbe[],5)</f>
        <v>0.875</v>
      </c>
      <c r="AZ131">
        <f>VLOOKUP(all_lmics[[worldbank_region]:[worldbank_region]],hbe[],8)</f>
        <v>0.15</v>
      </c>
    </row>
    <row r="132" spans="1:52" x14ac:dyDescent="0.35">
      <c r="A132" s="12" t="s">
        <v>134</v>
      </c>
      <c r="B132" s="13" t="s">
        <v>36</v>
      </c>
      <c r="C132" s="46" t="s">
        <v>35</v>
      </c>
      <c r="D132" s="14" t="s">
        <v>37</v>
      </c>
      <c r="E132">
        <f>VLOOKUP(all_lmics[[Setting]:[Setting]],populations[],9,FALSE)</f>
        <v>436330</v>
      </c>
      <c r="F132">
        <f>VLOOKUP(all_lmics[[Setting]:[Setting]],birthrate[],3,FALSE)</f>
        <v>1.8269999999999998E-2</v>
      </c>
      <c r="G132">
        <f>all_lmics[[#This Row],[2017_population]]*all_lmics[[#This Row],[2016_birthrate]]</f>
        <v>7971.7490999999991</v>
      </c>
      <c r="H132">
        <f>VLOOKUP(all_lmics[[Setting]:[Setting]],birthdose[],4,FALSE)</f>
        <v>0.99</v>
      </c>
      <c r="I132">
        <f>VLOOKUP(all_lmics[[Setting]:[Setting]],fullvax[],4,FALSE)</f>
        <v>0.99</v>
      </c>
      <c r="J132">
        <f>IFERROR(VLOOKUP(all_lmics[[Setting]:[Setting]],prev[],3,FALSE),0)</f>
        <v>0</v>
      </c>
      <c r="K132">
        <f>IFERROR(VLOOKUP(all_lmics[[Setting]:[Setting]],prev[],4,FALSE),0)</f>
        <v>0</v>
      </c>
      <c r="L132">
        <f>IFERROR(VLOOKUP(all_lmics[[Setting]:[Setting]],prev[],5,FALSE),0)</f>
        <v>0</v>
      </c>
      <c r="M132">
        <f>IFERROR(VLOOKUP(all_lmics[[Setting]:[Setting]],prev[],7,FALSE),0)</f>
        <v>0</v>
      </c>
      <c r="N132">
        <f>IFERROR(VLOOKUP(all_lmics[[Setting]:[Setting]],prev[],6,FALSE),0)</f>
        <v>0</v>
      </c>
      <c r="O132">
        <f>IFERROR(VLOOKUP(all_lmics[[Setting]:[Setting]],SBA[],4,FALSE),0)</f>
        <v>0.95599999999999996</v>
      </c>
      <c r="P132">
        <f>IFERROR(VLOOKUP(all_lmics[[Setting]:[Setting]], facility[], 3,FALSE),0)</f>
        <v>0.95099999999999996</v>
      </c>
      <c r="Q132">
        <f>IFERROR(VLOOKUP(all_lmics[[Setting]:[Setting]],all_cause_mort[],4,FALSE),0)</f>
        <v>6.8079344999999996E-3</v>
      </c>
      <c r="R132">
        <f>IFERROR(VLOOKUP(all_lmics[[Setting]:[Setting]],all_cause_mort[],5,FALSE),0)</f>
        <v>2.914374E-4</v>
      </c>
      <c r="S132">
        <f>IFERROR(VLOOKUP(all_lmics[[Setting]:[Setting]],all_cause_mort[],6,FALSE),0)</f>
        <v>2.5276326999999998E-4</v>
      </c>
      <c r="T132">
        <f>IFERROR(VLOOKUP(all_lmics[[Setting]:[Setting]],all_cause_mort[],7,FALSE),0)</f>
        <v>3.3945421000000002E-4</v>
      </c>
      <c r="U132">
        <f>IFERROR(VLOOKUP(all_lmics[[Setting]:[Setting]],all_cause_mort[],8,FALSE),0)</f>
        <v>3.4664420000000002E-4</v>
      </c>
      <c r="V132">
        <f>IFERROR(VLOOKUP(all_lmics[[Setting]:[Setting]],all_cause_mort[],9,FALSE),0)</f>
        <v>5.0744178E-4</v>
      </c>
      <c r="W132">
        <f>IFERROR(VLOOKUP(all_lmics[[Setting]:[Setting]],all_cause_mort[],10,FALSE),0)</f>
        <v>4.7114983000000002E-4</v>
      </c>
      <c r="X132">
        <f>IFERROR(VLOOKUP(all_lmics[[Setting]:[Setting]],all_cause_mort[],11,FALSE),0)</f>
        <v>5.2682086999999999E-4</v>
      </c>
      <c r="Y132">
        <f>IFERROR(VLOOKUP(all_lmics[[Setting]:[Setting]],all_cause_mort[],12,FALSE),0)</f>
        <v>5.8680513000000005E-4</v>
      </c>
      <c r="Z132">
        <f>IFERROR(VLOOKUP(all_lmics[[Setting]:[Setting]],all_cause_mort[],13,FALSE),0)</f>
        <v>9.3597839000000003E-4</v>
      </c>
      <c r="AA132">
        <f>IFERROR(VLOOKUP(all_lmics[[Setting]:[Setting]],all_cause_mort[],14,FALSE),0)</f>
        <v>1.651418E-3</v>
      </c>
      <c r="AB132">
        <f>IFERROR(VLOOKUP(all_lmics[[Setting]:[Setting]],all_cause_mort[],15,FALSE),0)</f>
        <v>2.4051560999999999E-3</v>
      </c>
      <c r="AC132">
        <f>IFERROR(VLOOKUP(all_lmics[[Setting]:[Setting]],all_cause_mort[],16,FALSE),0)</f>
        <v>4.6543225000000004E-3</v>
      </c>
      <c r="AD132">
        <f>IFERROR(VLOOKUP(all_lmics[[Setting]:[Setting]],all_cause_mort[],17,FALSE),0)</f>
        <v>8.7700704999999993E-3</v>
      </c>
      <c r="AE132">
        <f>IFERROR(VLOOKUP(all_lmics[[Setting]:[Setting]],all_cause_mort[],18,FALSE),0)</f>
        <v>1.6718212999999999E-2</v>
      </c>
      <c r="AF132">
        <f>IFERROR(VLOOKUP(all_lmics[[Setting]:[Setting]],all_cause_mort[],19,FALSE),0)</f>
        <v>3.1887067999999998E-2</v>
      </c>
      <c r="AG132">
        <f>IFERROR(VLOOKUP(all_lmics[[Setting]:[Setting]],all_cause_mort[],20,FALSE),0)</f>
        <v>6.1026348000000001E-2</v>
      </c>
      <c r="AH132">
        <f>IFERROR(VLOOKUP(all_lmics[[Setting]:[Setting]],all_cause_mort[],21,FALSE),0)</f>
        <v>8.8699718999999996E-2</v>
      </c>
      <c r="AI132">
        <f>IFERROR(VLOOKUP(all_lmics[[Setting]:[Setting]],all_cause_mort[],22,FALSE),0)</f>
        <v>0.13225489000000001</v>
      </c>
      <c r="AJ132">
        <f>IFERROR(VLOOKUP(all_lmics[[Setting]:[Setting]],all_cause_mort[],23,FALSE),0)</f>
        <v>0.18909703</v>
      </c>
      <c r="AK132">
        <f>IFERROR(VLOOKUP(all_lmics[[Setting]:[Setting]],all_cause_mort[],24,FALSE),0)</f>
        <v>0.25758950000000003</v>
      </c>
      <c r="AL132">
        <f>IFERROR(VLOOKUP(all_lmics[[Setting]:[Setting]],all_cause_mort[],25,FALSE),0)</f>
        <v>0.36025341377936199</v>
      </c>
      <c r="AM132">
        <f>VLOOKUP(all_lmics[[worldbank_region]:[worldbank_region]],Table13[],2,FALSE)</f>
        <v>57.361807999999996</v>
      </c>
      <c r="AN132">
        <f>VLOOKUP(all_lmics[[worldbank_region]:[worldbank_region]],Table13[],3,FALSE)</f>
        <v>57.361807999999996</v>
      </c>
      <c r="AO132">
        <f>VLOOKUP(all_lmics[[worldbank_region]:[worldbank_region]],Table13[],4,FALSE)</f>
        <v>105.09066799999999</v>
      </c>
      <c r="AP132">
        <f>VLOOKUP(all_lmics[[worldbank_region]:[worldbank_region]],Table13[],5,FALSE)</f>
        <v>105.09066799999999</v>
      </c>
      <c r="AQ132">
        <f>VLOOKUP(all_lmics[[worldbank_region]:[worldbank_region]],Table13[],6,FALSE)</f>
        <v>105.09066799999999</v>
      </c>
      <c r="AR132">
        <f>VLOOKUP(all_lmics[[worldbank_region]:[worldbank_region]],Table14[],2,FALSE)</f>
        <v>0.95889500000000005</v>
      </c>
      <c r="AS132">
        <f>VLOOKUP(all_lmics[[worldbank_region]:[worldbank_region]],Table14[],3,FALSE)</f>
        <v>1.5763950000000002</v>
      </c>
      <c r="AT132">
        <f>VLOOKUP(all_lmics[[worldbank_region]:[worldbank_region]],Table14[],4,FALSE)</f>
        <v>33.028765999999997</v>
      </c>
      <c r="AU132">
        <f>VLOOKUP(all_lmics[[worldbank_region]:[worldbank_region]],Table14[],5,FALSE)</f>
        <v>33.646265999999997</v>
      </c>
      <c r="AV132">
        <f>VLOOKUP(all_lmics[[worldbank_region]:[worldbank_region]],Table14[],6,FALSE)</f>
        <v>34.216518000000001</v>
      </c>
      <c r="AW132">
        <f>IFERROR(VLOOKUP(all_lmics[[Setting]:[Setting]],nFacSBA[],4,FALSE),0)</f>
        <v>0.39605167958656334</v>
      </c>
      <c r="AX132">
        <f>VLOOKUP(all_lmics[[worldbank_region]:[worldbank_region]],hbe[],2)</f>
        <v>0.3</v>
      </c>
      <c r="AY132">
        <f>VLOOKUP(all_lmics[[worldbank_region]:[worldbank_region]],hbe[],5)</f>
        <v>0.875</v>
      </c>
      <c r="AZ132">
        <f>VLOOKUP(all_lmics[[worldbank_region]:[worldbank_region]],hbe[],8)</f>
        <v>0.15</v>
      </c>
    </row>
    <row r="133" spans="1:52" x14ac:dyDescent="0.35">
      <c r="A133" s="8" t="s">
        <v>147</v>
      </c>
      <c r="B133" s="10" t="s">
        <v>36</v>
      </c>
      <c r="C133" s="45" t="s">
        <v>35</v>
      </c>
      <c r="D133" s="11" t="s">
        <v>37</v>
      </c>
      <c r="E133">
        <f>VLOOKUP(all_lmics[[Setting]:[Setting]],populations[],9,FALSE)</f>
        <v>53370609</v>
      </c>
      <c r="F133">
        <f>VLOOKUP(all_lmics[[Setting]:[Setting]],birthrate[],3,FALSE)</f>
        <v>1.7794000000000001E-2</v>
      </c>
      <c r="G133">
        <f>all_lmics[[#This Row],[2017_population]]*all_lmics[[#This Row],[2016_birthrate]]</f>
        <v>949676.616546</v>
      </c>
      <c r="H133">
        <f>VLOOKUP(all_lmics[[Setting]:[Setting]],birthdose[],4,FALSE)</f>
        <v>0.01</v>
      </c>
      <c r="I133">
        <f>VLOOKUP(all_lmics[[Setting]:[Setting]],fullvax[],4,FALSE)</f>
        <v>0.89</v>
      </c>
      <c r="J133">
        <f>IFERROR(VLOOKUP(all_lmics[[Setting]:[Setting]],prev[],3,FALSE),0)</f>
        <v>8.3000000000000004E-2</v>
      </c>
      <c r="K133">
        <f>IFERROR(VLOOKUP(all_lmics[[Setting]:[Setting]],prev[],4,FALSE),0)</f>
        <v>4.5999999999999999E-2</v>
      </c>
      <c r="L133">
        <f>IFERROR(VLOOKUP(all_lmics[[Setting]:[Setting]],prev[],5,FALSE),0)</f>
        <v>9.4E-2</v>
      </c>
      <c r="M133">
        <f>IFERROR(VLOOKUP(all_lmics[[Setting]:[Setting]],prev[],7,FALSE),0)</f>
        <v>5.6122448979591816E-3</v>
      </c>
      <c r="N133">
        <f>IFERROR(VLOOKUP(all_lmics[[Setting]:[Setting]],prev[],6,FALSE),0)</f>
        <v>53370609</v>
      </c>
      <c r="O133">
        <f>IFERROR(VLOOKUP(all_lmics[[Setting]:[Setting]],SBA[],4,FALSE),0)</f>
        <v>0.60199999999999998</v>
      </c>
      <c r="P133">
        <f>IFERROR(VLOOKUP(all_lmics[[Setting]:[Setting]], facility[], 3,FALSE),0)</f>
        <v>0.371</v>
      </c>
      <c r="Q133">
        <f>IFERROR(VLOOKUP(all_lmics[[Setting]:[Setting]],all_cause_mort[],4,FALSE),0)</f>
        <v>3.9703889999999999E-2</v>
      </c>
      <c r="R133">
        <f>IFERROR(VLOOKUP(all_lmics[[Setting]:[Setting]],all_cause_mort[],5,FALSE),0)</f>
        <v>2.5280085000000002E-3</v>
      </c>
      <c r="S133">
        <f>IFERROR(VLOOKUP(all_lmics[[Setting]:[Setting]],all_cause_mort[],6,FALSE),0)</f>
        <v>1.0758286E-3</v>
      </c>
      <c r="T133">
        <f>IFERROR(VLOOKUP(all_lmics[[Setting]:[Setting]],all_cause_mort[],7,FALSE),0)</f>
        <v>8.7298252999999995E-4</v>
      </c>
      <c r="U133">
        <f>IFERROR(VLOOKUP(all_lmics[[Setting]:[Setting]],all_cause_mort[],8,FALSE),0)</f>
        <v>1.4165717E-3</v>
      </c>
      <c r="V133">
        <f>IFERROR(VLOOKUP(all_lmics[[Setting]:[Setting]],all_cause_mort[],9,FALSE),0)</f>
        <v>2.0049069000000002E-3</v>
      </c>
      <c r="W133">
        <f>IFERROR(VLOOKUP(all_lmics[[Setting]:[Setting]],all_cause_mort[],10,FALSE),0)</f>
        <v>2.1732853000000002E-3</v>
      </c>
      <c r="X133">
        <f>IFERROR(VLOOKUP(all_lmics[[Setting]:[Setting]],all_cause_mort[],11,FALSE),0)</f>
        <v>2.5033976999999999E-3</v>
      </c>
      <c r="Y133">
        <f>IFERROR(VLOOKUP(all_lmics[[Setting]:[Setting]],all_cause_mort[],12,FALSE),0)</f>
        <v>3.169411E-3</v>
      </c>
      <c r="Z133">
        <f>IFERROR(VLOOKUP(all_lmics[[Setting]:[Setting]],all_cause_mort[],13,FALSE),0)</f>
        <v>4.2891203999999997E-3</v>
      </c>
      <c r="AA133">
        <f>IFERROR(VLOOKUP(all_lmics[[Setting]:[Setting]],all_cause_mort[],14,FALSE),0)</f>
        <v>6.1574480000000003E-3</v>
      </c>
      <c r="AB133">
        <f>IFERROR(VLOOKUP(all_lmics[[Setting]:[Setting]],all_cause_mort[],15,FALSE),0)</f>
        <v>9.0870881999999993E-3</v>
      </c>
      <c r="AC133">
        <f>IFERROR(VLOOKUP(all_lmics[[Setting]:[Setting]],all_cause_mort[],16,FALSE),0)</f>
        <v>1.3602105E-2</v>
      </c>
      <c r="AD133">
        <f>IFERROR(VLOOKUP(all_lmics[[Setting]:[Setting]],all_cause_mort[],17,FALSE),0)</f>
        <v>2.0891752E-2</v>
      </c>
      <c r="AE133">
        <f>IFERROR(VLOOKUP(all_lmics[[Setting]:[Setting]],all_cause_mort[],18,FALSE),0)</f>
        <v>3.2898747999999998E-2</v>
      </c>
      <c r="AF133">
        <f>IFERROR(VLOOKUP(all_lmics[[Setting]:[Setting]],all_cause_mort[],19,FALSE),0)</f>
        <v>5.3234761999999998E-2</v>
      </c>
      <c r="AG133">
        <f>IFERROR(VLOOKUP(all_lmics[[Setting]:[Setting]],all_cause_mort[],20,FALSE),0)</f>
        <v>8.6057529999999993E-2</v>
      </c>
      <c r="AH133">
        <f>IFERROR(VLOOKUP(all_lmics[[Setting]:[Setting]],all_cause_mort[],21,FALSE),0)</f>
        <v>0.13902987</v>
      </c>
      <c r="AI133">
        <f>IFERROR(VLOOKUP(all_lmics[[Setting]:[Setting]],all_cause_mort[],22,FALSE),0)</f>
        <v>0.21647015</v>
      </c>
      <c r="AJ133">
        <f>IFERROR(VLOOKUP(all_lmics[[Setting]:[Setting]],all_cause_mort[],23,FALSE),0)</f>
        <v>0.31694612999999999</v>
      </c>
      <c r="AK133">
        <f>IFERROR(VLOOKUP(all_lmics[[Setting]:[Setting]],all_cause_mort[],24,FALSE),0)</f>
        <v>0.43120182000000001</v>
      </c>
      <c r="AL133">
        <f>IFERROR(VLOOKUP(all_lmics[[Setting]:[Setting]],all_cause_mort[],25,FALSE),0)</f>
        <v>0.58714013960666001</v>
      </c>
      <c r="AM133">
        <f>VLOOKUP(all_lmics[[worldbank_region]:[worldbank_region]],Table13[],2,FALSE)</f>
        <v>57.361807999999996</v>
      </c>
      <c r="AN133">
        <f>VLOOKUP(all_lmics[[worldbank_region]:[worldbank_region]],Table13[],3,FALSE)</f>
        <v>57.361807999999996</v>
      </c>
      <c r="AO133">
        <f>VLOOKUP(all_lmics[[worldbank_region]:[worldbank_region]],Table13[],4,FALSE)</f>
        <v>105.09066799999999</v>
      </c>
      <c r="AP133">
        <f>VLOOKUP(all_lmics[[worldbank_region]:[worldbank_region]],Table13[],5,FALSE)</f>
        <v>105.09066799999999</v>
      </c>
      <c r="AQ133">
        <f>VLOOKUP(all_lmics[[worldbank_region]:[worldbank_region]],Table13[],6,FALSE)</f>
        <v>105.09066799999999</v>
      </c>
      <c r="AR133">
        <f>VLOOKUP(all_lmics[[worldbank_region]:[worldbank_region]],Table14[],2,FALSE)</f>
        <v>0.95889500000000005</v>
      </c>
      <c r="AS133">
        <f>VLOOKUP(all_lmics[[worldbank_region]:[worldbank_region]],Table14[],3,FALSE)</f>
        <v>1.5763950000000002</v>
      </c>
      <c r="AT133">
        <f>VLOOKUP(all_lmics[[worldbank_region]:[worldbank_region]],Table14[],4,FALSE)</f>
        <v>33.028765999999997</v>
      </c>
      <c r="AU133">
        <f>VLOOKUP(all_lmics[[worldbank_region]:[worldbank_region]],Table14[],5,FALSE)</f>
        <v>33.646265999999997</v>
      </c>
      <c r="AV133">
        <f>VLOOKUP(all_lmics[[worldbank_region]:[worldbank_region]],Table14[],6,FALSE)</f>
        <v>34.216518000000001</v>
      </c>
      <c r="AW133">
        <f>IFERROR(VLOOKUP(all_lmics[[Setting]:[Setting]],nFacSBA[],4,FALSE),0)</f>
        <v>0</v>
      </c>
      <c r="AX133">
        <f>VLOOKUP(all_lmics[[worldbank_region]:[worldbank_region]],hbe[],2)</f>
        <v>0.3</v>
      </c>
      <c r="AY133">
        <f>VLOOKUP(all_lmics[[worldbank_region]:[worldbank_region]],hbe[],5)</f>
        <v>0.875</v>
      </c>
      <c r="AZ133">
        <f>VLOOKUP(all_lmics[[worldbank_region]:[worldbank_region]],hbe[],8)</f>
        <v>0.15</v>
      </c>
    </row>
    <row r="134" spans="1:52" x14ac:dyDescent="0.35">
      <c r="A134" s="12" t="s">
        <v>150</v>
      </c>
      <c r="B134" s="13" t="s">
        <v>36</v>
      </c>
      <c r="C134" s="46" t="s">
        <v>35</v>
      </c>
      <c r="D134" s="14" t="s">
        <v>37</v>
      </c>
      <c r="E134">
        <f>VLOOKUP(all_lmics[[Setting]:[Setting]],populations[],9,FALSE)</f>
        <v>29304998</v>
      </c>
      <c r="F134">
        <f>VLOOKUP(all_lmics[[Setting]:[Setting]],birthrate[],3,FALSE)</f>
        <v>1.9710000000000002E-2</v>
      </c>
      <c r="G134">
        <f>all_lmics[[#This Row],[2017_population]]*all_lmics[[#This Row],[2016_birthrate]]</f>
        <v>577601.51058</v>
      </c>
      <c r="H134">
        <f>VLOOKUP(all_lmics[[Setting]:[Setting]],birthdose[],4,FALSE)</f>
        <v>0</v>
      </c>
      <c r="I134">
        <f>VLOOKUP(all_lmics[[Setting]:[Setting]],fullvax[],4,FALSE)</f>
        <v>0.9</v>
      </c>
      <c r="J134">
        <f>IFERROR(VLOOKUP(all_lmics[[Setting]:[Setting]],prev[],3,FALSE),0)</f>
        <v>8.2000000000000007E-3</v>
      </c>
      <c r="K134">
        <f>IFERROR(VLOOKUP(all_lmics[[Setting]:[Setting]],prev[],4,FALSE),0)</f>
        <v>8.0000000000000002E-3</v>
      </c>
      <c r="L134">
        <f>IFERROR(VLOOKUP(all_lmics[[Setting]:[Setting]],prev[],5,FALSE),0)</f>
        <v>8.3999999999999995E-3</v>
      </c>
      <c r="M134">
        <f>IFERROR(VLOOKUP(all_lmics[[Setting]:[Setting]],prev[],7,FALSE),0)</f>
        <v>1.0204081632652999E-4</v>
      </c>
      <c r="N134">
        <f>IFERROR(VLOOKUP(all_lmics[[Setting]:[Setting]],prev[],6,FALSE),0)</f>
        <v>27023137</v>
      </c>
      <c r="O134">
        <f>IFERROR(VLOOKUP(all_lmics[[Setting]:[Setting]],SBA[],4,FALSE),0)</f>
        <v>0.57999999999999996</v>
      </c>
      <c r="P134">
        <f>IFERROR(VLOOKUP(all_lmics[[Setting]:[Setting]], facility[], 3,FALSE),0)</f>
        <v>0.57399999999999995</v>
      </c>
      <c r="Q134">
        <f>IFERROR(VLOOKUP(all_lmics[[Setting]:[Setting]],all_cause_mort[],4,FALSE),0)</f>
        <v>2.8640247000000001E-2</v>
      </c>
      <c r="R134">
        <f>IFERROR(VLOOKUP(all_lmics[[Setting]:[Setting]],all_cause_mort[],5,FALSE),0)</f>
        <v>1.4695314E-3</v>
      </c>
      <c r="S134">
        <f>IFERROR(VLOOKUP(all_lmics[[Setting]:[Setting]],all_cause_mort[],6,FALSE),0)</f>
        <v>5.9831827000000003E-4</v>
      </c>
      <c r="T134">
        <f>IFERROR(VLOOKUP(all_lmics[[Setting]:[Setting]],all_cause_mort[],7,FALSE),0)</f>
        <v>4.9007130000000001E-4</v>
      </c>
      <c r="U134">
        <f>IFERROR(VLOOKUP(all_lmics[[Setting]:[Setting]],all_cause_mort[],8,FALSE),0)</f>
        <v>8.6118459E-4</v>
      </c>
      <c r="V134">
        <f>IFERROR(VLOOKUP(all_lmics[[Setting]:[Setting]],all_cause_mort[],9,FALSE),0)</f>
        <v>1.1906973E-3</v>
      </c>
      <c r="W134">
        <f>IFERROR(VLOOKUP(all_lmics[[Setting]:[Setting]],all_cause_mort[],10,FALSE),0)</f>
        <v>1.2941898999999999E-3</v>
      </c>
      <c r="X134">
        <f>IFERROR(VLOOKUP(all_lmics[[Setting]:[Setting]],all_cause_mort[],11,FALSE),0)</f>
        <v>1.5244251999999999E-3</v>
      </c>
      <c r="Y134">
        <f>IFERROR(VLOOKUP(all_lmics[[Setting]:[Setting]],all_cause_mort[],12,FALSE),0)</f>
        <v>1.9933232E-3</v>
      </c>
      <c r="Z134">
        <f>IFERROR(VLOOKUP(all_lmics[[Setting]:[Setting]],all_cause_mort[],13,FALSE),0)</f>
        <v>2.8693618999999998E-3</v>
      </c>
      <c r="AA134">
        <f>IFERROR(VLOOKUP(all_lmics[[Setting]:[Setting]],all_cause_mort[],14,FALSE),0)</f>
        <v>4.5009300000000002E-3</v>
      </c>
      <c r="AB134">
        <f>IFERROR(VLOOKUP(all_lmics[[Setting]:[Setting]],all_cause_mort[],15,FALSE),0)</f>
        <v>7.0663938000000001E-3</v>
      </c>
      <c r="AC134">
        <f>IFERROR(VLOOKUP(all_lmics[[Setting]:[Setting]],all_cause_mort[],16,FALSE),0)</f>
        <v>1.1238351000000001E-2</v>
      </c>
      <c r="AD134">
        <f>IFERROR(VLOOKUP(all_lmics[[Setting]:[Setting]],all_cause_mort[],17,FALSE),0)</f>
        <v>1.7900197999999999E-2</v>
      </c>
      <c r="AE134">
        <f>IFERROR(VLOOKUP(all_lmics[[Setting]:[Setting]],all_cause_mort[],18,FALSE),0)</f>
        <v>2.9130886000000002E-2</v>
      </c>
      <c r="AF134">
        <f>IFERROR(VLOOKUP(all_lmics[[Setting]:[Setting]],all_cause_mort[],19,FALSE),0)</f>
        <v>4.8186037000000001E-2</v>
      </c>
      <c r="AG134">
        <f>IFERROR(VLOOKUP(all_lmics[[Setting]:[Setting]],all_cause_mort[],20,FALSE),0)</f>
        <v>7.9872377999999994E-2</v>
      </c>
      <c r="AH134">
        <f>IFERROR(VLOOKUP(all_lmics[[Setting]:[Setting]],all_cause_mort[],21,FALSE),0)</f>
        <v>0.13220203999999999</v>
      </c>
      <c r="AI134">
        <f>IFERROR(VLOOKUP(all_lmics[[Setting]:[Setting]],all_cause_mort[],22,FALSE),0)</f>
        <v>0.21001893999999999</v>
      </c>
      <c r="AJ134">
        <f>IFERROR(VLOOKUP(all_lmics[[Setting]:[Setting]],all_cause_mort[],23,FALSE),0)</f>
        <v>0.31161787000000002</v>
      </c>
      <c r="AK134">
        <f>IFERROR(VLOOKUP(all_lmics[[Setting]:[Setting]],all_cause_mort[],24,FALSE),0)</f>
        <v>0.43556268999999997</v>
      </c>
      <c r="AL134">
        <f>IFERROR(VLOOKUP(all_lmics[[Setting]:[Setting]],all_cause_mort[],25,FALSE),0)</f>
        <v>0.57605773849755304</v>
      </c>
      <c r="AM134">
        <f>VLOOKUP(all_lmics[[worldbank_region]:[worldbank_region]],Table13[],2,FALSE)</f>
        <v>57.361807999999996</v>
      </c>
      <c r="AN134">
        <f>VLOOKUP(all_lmics[[worldbank_region]:[worldbank_region]],Table13[],3,FALSE)</f>
        <v>57.361807999999996</v>
      </c>
      <c r="AO134">
        <f>VLOOKUP(all_lmics[[worldbank_region]:[worldbank_region]],Table13[],4,FALSE)</f>
        <v>105.09066799999999</v>
      </c>
      <c r="AP134">
        <f>VLOOKUP(all_lmics[[worldbank_region]:[worldbank_region]],Table13[],5,FALSE)</f>
        <v>105.09066799999999</v>
      </c>
      <c r="AQ134">
        <f>VLOOKUP(all_lmics[[worldbank_region]:[worldbank_region]],Table13[],6,FALSE)</f>
        <v>105.09066799999999</v>
      </c>
      <c r="AR134">
        <f>VLOOKUP(all_lmics[[worldbank_region]:[worldbank_region]],Table14[],2,FALSE)</f>
        <v>0.95889500000000005</v>
      </c>
      <c r="AS134">
        <f>VLOOKUP(all_lmics[[worldbank_region]:[worldbank_region]],Table14[],3,FALSE)</f>
        <v>1.5763950000000002</v>
      </c>
      <c r="AT134">
        <f>VLOOKUP(all_lmics[[worldbank_region]:[worldbank_region]],Table14[],4,FALSE)</f>
        <v>33.028765999999997</v>
      </c>
      <c r="AU134">
        <f>VLOOKUP(all_lmics[[worldbank_region]:[worldbank_region]],Table14[],5,FALSE)</f>
        <v>33.646265999999997</v>
      </c>
      <c r="AV134">
        <f>VLOOKUP(all_lmics[[worldbank_region]:[worldbank_region]],Table14[],6,FALSE)</f>
        <v>34.216518000000001</v>
      </c>
      <c r="AW134">
        <f>IFERROR(VLOOKUP(all_lmics[[Setting]:[Setting]],nFacSBA[],4,FALSE),0)</f>
        <v>2.5056743866398622E-2</v>
      </c>
      <c r="AX134">
        <f>VLOOKUP(all_lmics[[worldbank_region]:[worldbank_region]],hbe[],2)</f>
        <v>0.3</v>
      </c>
      <c r="AY134">
        <f>VLOOKUP(all_lmics[[worldbank_region]:[worldbank_region]],hbe[],5)</f>
        <v>0.875</v>
      </c>
      <c r="AZ134">
        <f>VLOOKUP(all_lmics[[worldbank_region]:[worldbank_region]],hbe[],8)</f>
        <v>0.15</v>
      </c>
    </row>
    <row r="135" spans="1:52" x14ac:dyDescent="0.35">
      <c r="A135" s="8" t="s">
        <v>203</v>
      </c>
      <c r="B135" s="10" t="s">
        <v>36</v>
      </c>
      <c r="C135" s="45" t="s">
        <v>35</v>
      </c>
      <c r="D135" s="11" t="s">
        <v>37</v>
      </c>
      <c r="E135">
        <f>VLOOKUP(all_lmics[[Setting]:[Setting]],populations[],9,FALSE)</f>
        <v>1296311</v>
      </c>
      <c r="F135">
        <f>VLOOKUP(all_lmics[[Setting]:[Setting]],birthrate[],3,FALSE)</f>
        <v>3.5048000000000003E-2</v>
      </c>
      <c r="G135">
        <f>all_lmics[[#This Row],[2017_population]]*all_lmics[[#This Row],[2016_birthrate]]</f>
        <v>45433.107928000005</v>
      </c>
      <c r="H135">
        <f>VLOOKUP(all_lmics[[Setting]:[Setting]],birthdose[],4,FALSE)</f>
        <v>0.47</v>
      </c>
      <c r="I135">
        <f>VLOOKUP(all_lmics[[Setting]:[Setting]],fullvax[],4,FALSE)</f>
        <v>0.76</v>
      </c>
      <c r="J135">
        <f>IFERROR(VLOOKUP(all_lmics[[Setting]:[Setting]],prev[],3,FALSE),0)</f>
        <v>0</v>
      </c>
      <c r="K135">
        <f>IFERROR(VLOOKUP(all_lmics[[Setting]:[Setting]],prev[],4,FALSE),0)</f>
        <v>0</v>
      </c>
      <c r="L135">
        <f>IFERROR(VLOOKUP(all_lmics[[Setting]:[Setting]],prev[],5,FALSE),0)</f>
        <v>0</v>
      </c>
      <c r="M135">
        <f>IFERROR(VLOOKUP(all_lmics[[Setting]:[Setting]],prev[],7,FALSE),0)</f>
        <v>0</v>
      </c>
      <c r="N135">
        <f>IFERROR(VLOOKUP(all_lmics[[Setting]:[Setting]],prev[],6,FALSE),0)</f>
        <v>0</v>
      </c>
      <c r="O135">
        <f>IFERROR(VLOOKUP(all_lmics[[Setting]:[Setting]],SBA[],4,FALSE),0)</f>
        <v>0.56700000000000006</v>
      </c>
      <c r="P135">
        <f>IFERROR(VLOOKUP(all_lmics[[Setting]:[Setting]], facility[], 3,FALSE),0)</f>
        <v>0.214</v>
      </c>
      <c r="Q135">
        <f>IFERROR(VLOOKUP(all_lmics[[Setting]:[Setting]],all_cause_mort[],4,FALSE),0)</f>
        <v>3.8573064999999997E-2</v>
      </c>
      <c r="R135">
        <f>IFERROR(VLOOKUP(all_lmics[[Setting]:[Setting]],all_cause_mort[],5,FALSE),0)</f>
        <v>2.4567775E-3</v>
      </c>
      <c r="S135">
        <f>IFERROR(VLOOKUP(all_lmics[[Setting]:[Setting]],all_cause_mort[],6,FALSE),0)</f>
        <v>7.5187216000000001E-4</v>
      </c>
      <c r="T135">
        <f>IFERROR(VLOOKUP(all_lmics[[Setting]:[Setting]],all_cause_mort[],7,FALSE),0)</f>
        <v>5.8071214999999999E-4</v>
      </c>
      <c r="U135">
        <f>IFERROR(VLOOKUP(all_lmics[[Setting]:[Setting]],all_cause_mort[],8,FALSE),0)</f>
        <v>1.0019797999999999E-3</v>
      </c>
      <c r="V135">
        <f>IFERROR(VLOOKUP(all_lmics[[Setting]:[Setting]],all_cause_mort[],9,FALSE),0)</f>
        <v>1.2650265E-3</v>
      </c>
      <c r="W135">
        <f>IFERROR(VLOOKUP(all_lmics[[Setting]:[Setting]],all_cause_mort[],10,FALSE),0)</f>
        <v>1.2078862000000001E-3</v>
      </c>
      <c r="X135">
        <f>IFERROR(VLOOKUP(all_lmics[[Setting]:[Setting]],all_cause_mort[],11,FALSE),0)</f>
        <v>1.3437455999999999E-3</v>
      </c>
      <c r="Y135">
        <f>IFERROR(VLOOKUP(all_lmics[[Setting]:[Setting]],all_cause_mort[],12,FALSE),0)</f>
        <v>1.7568312E-3</v>
      </c>
      <c r="Z135">
        <f>IFERROR(VLOOKUP(all_lmics[[Setting]:[Setting]],all_cause_mort[],13,FALSE),0)</f>
        <v>2.5315860000000002E-3</v>
      </c>
      <c r="AA135">
        <f>IFERROR(VLOOKUP(all_lmics[[Setting]:[Setting]],all_cause_mort[],14,FALSE),0)</f>
        <v>4.0458372999999997E-3</v>
      </c>
      <c r="AB135">
        <f>IFERROR(VLOOKUP(all_lmics[[Setting]:[Setting]],all_cause_mort[],15,FALSE),0)</f>
        <v>6.6775638000000003E-3</v>
      </c>
      <c r="AC135">
        <f>IFERROR(VLOOKUP(all_lmics[[Setting]:[Setting]],all_cause_mort[],16,FALSE),0)</f>
        <v>1.1577947E-2</v>
      </c>
      <c r="AD135">
        <f>IFERROR(VLOOKUP(all_lmics[[Setting]:[Setting]],all_cause_mort[],17,FALSE),0)</f>
        <v>1.8896541999999999E-2</v>
      </c>
      <c r="AE135">
        <f>IFERROR(VLOOKUP(all_lmics[[Setting]:[Setting]],all_cause_mort[],18,FALSE),0)</f>
        <v>3.0858143000000001E-2</v>
      </c>
      <c r="AF135">
        <f>IFERROR(VLOOKUP(all_lmics[[Setting]:[Setting]],all_cause_mort[],19,FALSE),0)</f>
        <v>5.1215610000000002E-2</v>
      </c>
      <c r="AG135">
        <f>IFERROR(VLOOKUP(all_lmics[[Setting]:[Setting]],all_cause_mort[],20,FALSE),0)</f>
        <v>8.4754219000000006E-2</v>
      </c>
      <c r="AH135">
        <f>IFERROR(VLOOKUP(all_lmics[[Setting]:[Setting]],all_cause_mort[],21,FALSE),0)</f>
        <v>0.1351996</v>
      </c>
      <c r="AI135">
        <f>IFERROR(VLOOKUP(all_lmics[[Setting]:[Setting]],all_cause_mort[],22,FALSE),0)</f>
        <v>0.20971617000000001</v>
      </c>
      <c r="AJ135">
        <f>IFERROR(VLOOKUP(all_lmics[[Setting]:[Setting]],all_cause_mort[],23,FALSE),0)</f>
        <v>0.30359151000000001</v>
      </c>
      <c r="AK135">
        <f>IFERROR(VLOOKUP(all_lmics[[Setting]:[Setting]],all_cause_mort[],24,FALSE),0)</f>
        <v>0.42129264999999999</v>
      </c>
      <c r="AL135">
        <f>IFERROR(VLOOKUP(all_lmics[[Setting]:[Setting]],all_cause_mort[],25,FALSE),0)</f>
        <v>0.56669829220936097</v>
      </c>
      <c r="AM135">
        <f>VLOOKUP(all_lmics[[worldbank_region]:[worldbank_region]],Table13[],2,FALSE)</f>
        <v>57.361807999999996</v>
      </c>
      <c r="AN135">
        <f>VLOOKUP(all_lmics[[worldbank_region]:[worldbank_region]],Table13[],3,FALSE)</f>
        <v>57.361807999999996</v>
      </c>
      <c r="AO135">
        <f>VLOOKUP(all_lmics[[worldbank_region]:[worldbank_region]],Table13[],4,FALSE)</f>
        <v>105.09066799999999</v>
      </c>
      <c r="AP135">
        <f>VLOOKUP(all_lmics[[worldbank_region]:[worldbank_region]],Table13[],5,FALSE)</f>
        <v>105.09066799999999</v>
      </c>
      <c r="AQ135">
        <f>VLOOKUP(all_lmics[[worldbank_region]:[worldbank_region]],Table13[],6,FALSE)</f>
        <v>105.09066799999999</v>
      </c>
      <c r="AR135">
        <f>VLOOKUP(all_lmics[[worldbank_region]:[worldbank_region]],Table14[],2,FALSE)</f>
        <v>0.95889500000000005</v>
      </c>
      <c r="AS135">
        <f>VLOOKUP(all_lmics[[worldbank_region]:[worldbank_region]],Table14[],3,FALSE)</f>
        <v>1.5763950000000002</v>
      </c>
      <c r="AT135">
        <f>VLOOKUP(all_lmics[[worldbank_region]:[worldbank_region]],Table14[],4,FALSE)</f>
        <v>33.028765999999997</v>
      </c>
      <c r="AU135">
        <f>VLOOKUP(all_lmics[[worldbank_region]:[worldbank_region]],Table14[],5,FALSE)</f>
        <v>33.646265999999997</v>
      </c>
      <c r="AV135">
        <f>VLOOKUP(all_lmics[[worldbank_region]:[worldbank_region]],Table14[],6,FALSE)</f>
        <v>34.216518000000001</v>
      </c>
      <c r="AW135">
        <f>IFERROR(VLOOKUP(all_lmics[[Setting]:[Setting]],nFacSBA[],4,FALSE),0)</f>
        <v>0.10743200582361112</v>
      </c>
      <c r="AX135">
        <f>VLOOKUP(all_lmics[[worldbank_region]:[worldbank_region]],hbe[],2)</f>
        <v>0.3</v>
      </c>
      <c r="AY135">
        <f>VLOOKUP(all_lmics[[worldbank_region]:[worldbank_region]],hbe[],5)</f>
        <v>0.875</v>
      </c>
      <c r="AZ135">
        <f>VLOOKUP(all_lmics[[worldbank_region]:[worldbank_region]],hbe[],8)</f>
        <v>0.15</v>
      </c>
    </row>
    <row r="136" spans="1:52" x14ac:dyDescent="0.35">
      <c r="A136" s="12" t="s">
        <v>56</v>
      </c>
      <c r="B136" s="13" t="s">
        <v>57</v>
      </c>
      <c r="C136" s="46" t="s">
        <v>27</v>
      </c>
      <c r="D136" s="14" t="s">
        <v>58</v>
      </c>
      <c r="E136">
        <f>VLOOKUP(all_lmics[[Setting]:[Setting]],populations[],9,FALSE)</f>
        <v>16005373</v>
      </c>
      <c r="F136">
        <f>VLOOKUP(all_lmics[[Setting]:[Setting]],birthrate[],3,FALSE)</f>
        <v>2.3296000000000001E-2</v>
      </c>
      <c r="G136">
        <f>all_lmics[[#This Row],[2017_population]]*all_lmics[[#This Row],[2016_birthrate]]</f>
        <v>372861.16940800002</v>
      </c>
      <c r="H136">
        <f>VLOOKUP(all_lmics[[Setting]:[Setting]],birthdose[],4,FALSE)</f>
        <v>0.79</v>
      </c>
      <c r="I136">
        <f>VLOOKUP(all_lmics[[Setting]:[Setting]],fullvax[],4,FALSE)</f>
        <v>0.93</v>
      </c>
      <c r="J136">
        <f>IFERROR(VLOOKUP(all_lmics[[Setting]:[Setting]],prev[],3,FALSE),0)</f>
        <v>0.03</v>
      </c>
      <c r="K136">
        <f>IFERROR(VLOOKUP(all_lmics[[Setting]:[Setting]],prev[],4,FALSE),0)</f>
        <v>2.9000000000000001E-2</v>
      </c>
      <c r="L136">
        <f>IFERROR(VLOOKUP(all_lmics[[Setting]:[Setting]],prev[],5,FALSE),0)</f>
        <v>5.0999999999999997E-2</v>
      </c>
      <c r="M136">
        <f>IFERROR(VLOOKUP(all_lmics[[Setting]:[Setting]],prev[],7,FALSE),0)</f>
        <v>1.0714285714285713E-2</v>
      </c>
      <c r="N136">
        <f>IFERROR(VLOOKUP(all_lmics[[Setting]:[Setting]],prev[],6,FALSE),0)</f>
        <v>16005373</v>
      </c>
      <c r="O136">
        <f>IFERROR(VLOOKUP(all_lmics[[Setting]:[Setting]],SBA[],4,FALSE),0)</f>
        <v>0.89</v>
      </c>
      <c r="P136">
        <f>IFERROR(VLOOKUP(all_lmics[[Setting]:[Setting]], facility[], 3,FALSE),0)</f>
        <v>0.83200000000000007</v>
      </c>
      <c r="Q136">
        <f>IFERROR(VLOOKUP(all_lmics[[Setting]:[Setting]],all_cause_mort[],4,FALSE),0)</f>
        <v>2.4319762000000002E-2</v>
      </c>
      <c r="R136">
        <f>IFERROR(VLOOKUP(all_lmics[[Setting]:[Setting]],all_cause_mort[],5,FALSE),0)</f>
        <v>9.7637856999999997E-4</v>
      </c>
      <c r="S136">
        <f>IFERROR(VLOOKUP(all_lmics[[Setting]:[Setting]],all_cause_mort[],6,FALSE),0)</f>
        <v>1.6780438E-3</v>
      </c>
      <c r="T136">
        <f>IFERROR(VLOOKUP(all_lmics[[Setting]:[Setting]],all_cause_mort[],7,FALSE),0)</f>
        <v>1.1981278000000001E-3</v>
      </c>
      <c r="U136">
        <f>IFERROR(VLOOKUP(all_lmics[[Setting]:[Setting]],all_cause_mort[],8,FALSE),0)</f>
        <v>1.1123853999999999E-3</v>
      </c>
      <c r="V136">
        <f>IFERROR(VLOOKUP(all_lmics[[Setting]:[Setting]],all_cause_mort[],9,FALSE),0)</f>
        <v>1.3413406000000001E-3</v>
      </c>
      <c r="W136">
        <f>IFERROR(VLOOKUP(all_lmics[[Setting]:[Setting]],all_cause_mort[],10,FALSE),0)</f>
        <v>1.8355927000000001E-3</v>
      </c>
      <c r="X136">
        <f>IFERROR(VLOOKUP(all_lmics[[Setting]:[Setting]],all_cause_mort[],11,FALSE),0)</f>
        <v>2.4157819E-3</v>
      </c>
      <c r="Y136">
        <f>IFERROR(VLOOKUP(all_lmics[[Setting]:[Setting]],all_cause_mort[],12,FALSE),0)</f>
        <v>3.1896906E-3</v>
      </c>
      <c r="Z136">
        <f>IFERROR(VLOOKUP(all_lmics[[Setting]:[Setting]],all_cause_mort[],13,FALSE),0)</f>
        <v>4.1072347000000002E-3</v>
      </c>
      <c r="AA136">
        <f>IFERROR(VLOOKUP(all_lmics[[Setting]:[Setting]],all_cause_mort[],14,FALSE),0)</f>
        <v>5.1784513000000003E-3</v>
      </c>
      <c r="AB136">
        <f>IFERROR(VLOOKUP(all_lmics[[Setting]:[Setting]],all_cause_mort[],15,FALSE),0)</f>
        <v>6.7657211999999998E-3</v>
      </c>
      <c r="AC136">
        <f>IFERROR(VLOOKUP(all_lmics[[Setting]:[Setting]],all_cause_mort[],16,FALSE),0)</f>
        <v>1.0511642E-2</v>
      </c>
      <c r="AD136">
        <f>IFERROR(VLOOKUP(all_lmics[[Setting]:[Setting]],all_cause_mort[],17,FALSE),0)</f>
        <v>1.8682247999999999E-2</v>
      </c>
      <c r="AE136">
        <f>IFERROR(VLOOKUP(all_lmics[[Setting]:[Setting]],all_cause_mort[],18,FALSE),0)</f>
        <v>2.9901993000000002E-2</v>
      </c>
      <c r="AF136">
        <f>IFERROR(VLOOKUP(all_lmics[[Setting]:[Setting]],all_cause_mort[],19,FALSE),0)</f>
        <v>4.9674155999999997E-2</v>
      </c>
      <c r="AG136">
        <f>IFERROR(VLOOKUP(all_lmics[[Setting]:[Setting]],all_cause_mort[],20,FALSE),0)</f>
        <v>8.1369705000000001E-2</v>
      </c>
      <c r="AH136">
        <f>IFERROR(VLOOKUP(all_lmics[[Setting]:[Setting]],all_cause_mort[],21,FALSE),0)</f>
        <v>0.12744142</v>
      </c>
      <c r="AI136">
        <f>IFERROR(VLOOKUP(all_lmics[[Setting]:[Setting]],all_cause_mort[],22,FALSE),0)</f>
        <v>0.19472696</v>
      </c>
      <c r="AJ136">
        <f>IFERROR(VLOOKUP(all_lmics[[Setting]:[Setting]],all_cause_mort[],23,FALSE),0)</f>
        <v>0.27745112999999999</v>
      </c>
      <c r="AK136">
        <f>IFERROR(VLOOKUP(all_lmics[[Setting]:[Setting]],all_cause_mort[],24,FALSE),0)</f>
        <v>0.39649795999999998</v>
      </c>
      <c r="AL136">
        <f>IFERROR(VLOOKUP(all_lmics[[Setting]:[Setting]],all_cause_mort[],25,FALSE),0)</f>
        <v>0.55717427062823499</v>
      </c>
      <c r="AM136">
        <f>VLOOKUP(all_lmics[[worldbank_region]:[worldbank_region]],Table13[],2,FALSE)</f>
        <v>73.064384999999987</v>
      </c>
      <c r="AN136">
        <f>VLOOKUP(all_lmics[[worldbank_region]:[worldbank_region]],Table13[],3,FALSE)</f>
        <v>73.064384999999987</v>
      </c>
      <c r="AO136">
        <f>VLOOKUP(all_lmics[[worldbank_region]:[worldbank_region]],Table13[],4,FALSE)</f>
        <v>120.79324499999998</v>
      </c>
      <c r="AP136">
        <f>VLOOKUP(all_lmics[[worldbank_region]:[worldbank_region]],Table13[],5,FALSE)</f>
        <v>120.79324499999998</v>
      </c>
      <c r="AQ136">
        <f>VLOOKUP(all_lmics[[worldbank_region]:[worldbank_region]],Table13[],6,FALSE)</f>
        <v>120.79324499999998</v>
      </c>
      <c r="AR136">
        <f>VLOOKUP(all_lmics[[worldbank_region]:[worldbank_region]],Table14[],2,FALSE)</f>
        <v>1.34029</v>
      </c>
      <c r="AS136">
        <f>VLOOKUP(all_lmics[[worldbank_region]:[worldbank_region]],Table14[],3,FALSE)</f>
        <v>1.9577900000000001</v>
      </c>
      <c r="AT136">
        <f>VLOOKUP(all_lmics[[worldbank_region]:[worldbank_region]],Table14[],4,FALSE)</f>
        <v>1.9723159999999997</v>
      </c>
      <c r="AU136">
        <f>VLOOKUP(all_lmics[[worldbank_region]:[worldbank_region]],Table14[],5,FALSE)</f>
        <v>2.5898159999999999</v>
      </c>
      <c r="AV136">
        <f>VLOOKUP(all_lmics[[worldbank_region]:[worldbank_region]],Table14[],6,FALSE)</f>
        <v>3.1600679999999999</v>
      </c>
      <c r="AW136">
        <f>IFERROR(VLOOKUP(all_lmics[[Setting]:[Setting]],nFacSBA[],4,FALSE),0)</f>
        <v>0.37568755768057466</v>
      </c>
      <c r="AX136">
        <f>VLOOKUP(all_lmics[[worldbank_region]:[worldbank_region]],hbe[],2)</f>
        <v>0.3</v>
      </c>
      <c r="AY136">
        <f>VLOOKUP(all_lmics[[worldbank_region]:[worldbank_region]],hbe[],5)</f>
        <v>0.875</v>
      </c>
      <c r="AZ136">
        <f>VLOOKUP(all_lmics[[worldbank_region]:[worldbank_region]],hbe[],8)</f>
        <v>0.15</v>
      </c>
    </row>
    <row r="137" spans="1:52" x14ac:dyDescent="0.35">
      <c r="A137" s="12" t="s">
        <v>65</v>
      </c>
      <c r="B137" s="13" t="s">
        <v>57</v>
      </c>
      <c r="C137" s="46" t="s">
        <v>27</v>
      </c>
      <c r="D137" s="14" t="s">
        <v>58</v>
      </c>
      <c r="E137">
        <f>VLOOKUP(all_lmics[[Setting]:[Setting]],populations[],9,FALSE)</f>
        <v>1386395000</v>
      </c>
      <c r="F137">
        <f>VLOOKUP(all_lmics[[Setting]:[Setting]],birthrate[],3,FALSE)</f>
        <v>1.2E-2</v>
      </c>
      <c r="G137">
        <f>all_lmics[[#This Row],[2017_population]]*all_lmics[[#This Row],[2016_birthrate]]</f>
        <v>16636740</v>
      </c>
      <c r="H137">
        <f>VLOOKUP(all_lmics[[Setting]:[Setting]],birthdose[],4,FALSE)</f>
        <v>0.96</v>
      </c>
      <c r="I137">
        <f>VLOOKUP(all_lmics[[Setting]:[Setting]],fullvax[],4,FALSE)</f>
        <v>0.99</v>
      </c>
      <c r="J137">
        <f>IFERROR(VLOOKUP(all_lmics[[Setting]:[Setting]],prev[],3,FALSE),0)</f>
        <v>6.0999999999999999E-2</v>
      </c>
      <c r="K137">
        <f>IFERROR(VLOOKUP(all_lmics[[Setting]:[Setting]],prev[],4,FALSE),0)</f>
        <v>5.5E-2</v>
      </c>
      <c r="L137">
        <f>IFERROR(VLOOKUP(all_lmics[[Setting]:[Setting]],prev[],5,FALSE),0)</f>
        <v>6.9000000000000006E-2</v>
      </c>
      <c r="M137">
        <f>IFERROR(VLOOKUP(all_lmics[[Setting]:[Setting]],prev[],7,FALSE),0)</f>
        <v>4.0816326530612283E-3</v>
      </c>
      <c r="N137">
        <f>IFERROR(VLOOKUP(all_lmics[[Setting]:[Setting]],prev[],6,FALSE),0)</f>
        <v>1386395000</v>
      </c>
      <c r="O137">
        <f>IFERROR(VLOOKUP(all_lmics[[Setting]:[Setting]],SBA[],4,FALSE),0)</f>
        <v>0.99900000000000011</v>
      </c>
      <c r="P137">
        <f>IFERROR(VLOOKUP(all_lmics[[Setting]:[Setting]], facility[], 3,FALSE),0)</f>
        <v>0.997</v>
      </c>
      <c r="Q137">
        <f>IFERROR(VLOOKUP(all_lmics[[Setting]:[Setting]],all_cause_mort[],4,FALSE),0)</f>
        <v>9.9850605000000002E-3</v>
      </c>
      <c r="R137">
        <f>IFERROR(VLOOKUP(all_lmics[[Setting]:[Setting]],all_cause_mort[],5,FALSE),0)</f>
        <v>4.1390468999999999E-4</v>
      </c>
      <c r="S137">
        <f>IFERROR(VLOOKUP(all_lmics[[Setting]:[Setting]],all_cause_mort[],6,FALSE),0)</f>
        <v>3.1216753000000002E-4</v>
      </c>
      <c r="T137">
        <f>IFERROR(VLOOKUP(all_lmics[[Setting]:[Setting]],all_cause_mort[],7,FALSE),0)</f>
        <v>2.3295459000000001E-4</v>
      </c>
      <c r="U137">
        <f>IFERROR(VLOOKUP(all_lmics[[Setting]:[Setting]],all_cause_mort[],8,FALSE),0)</f>
        <v>3.3865475000000001E-4</v>
      </c>
      <c r="V137">
        <f>IFERROR(VLOOKUP(all_lmics[[Setting]:[Setting]],all_cause_mort[],9,FALSE),0)</f>
        <v>4.7566581999999998E-4</v>
      </c>
      <c r="W137">
        <f>IFERROR(VLOOKUP(all_lmics[[Setting]:[Setting]],all_cause_mort[],10,FALSE),0)</f>
        <v>6.3656341000000003E-4</v>
      </c>
      <c r="X137">
        <f>IFERROR(VLOOKUP(all_lmics[[Setting]:[Setting]],all_cause_mort[],11,FALSE),0)</f>
        <v>8.0538109000000005E-4</v>
      </c>
      <c r="Y137">
        <f>IFERROR(VLOOKUP(all_lmics[[Setting]:[Setting]],all_cause_mort[],12,FALSE),0)</f>
        <v>1.0207529000000001E-3</v>
      </c>
      <c r="Z137">
        <f>IFERROR(VLOOKUP(all_lmics[[Setting]:[Setting]],all_cause_mort[],13,FALSE),0)</f>
        <v>1.4465109999999999E-3</v>
      </c>
      <c r="AA137">
        <f>IFERROR(VLOOKUP(all_lmics[[Setting]:[Setting]],all_cause_mort[],14,FALSE),0)</f>
        <v>2.1278301999999999E-3</v>
      </c>
      <c r="AB137">
        <f>IFERROR(VLOOKUP(all_lmics[[Setting]:[Setting]],all_cause_mort[],15,FALSE),0)</f>
        <v>3.5410851999999999E-3</v>
      </c>
      <c r="AC137">
        <f>IFERROR(VLOOKUP(all_lmics[[Setting]:[Setting]],all_cause_mort[],16,FALSE),0)</f>
        <v>5.9628336999999997E-3</v>
      </c>
      <c r="AD137">
        <f>IFERROR(VLOOKUP(all_lmics[[Setting]:[Setting]],all_cause_mort[],17,FALSE),0)</f>
        <v>1.1234760999999999E-2</v>
      </c>
      <c r="AE137">
        <f>IFERROR(VLOOKUP(all_lmics[[Setting]:[Setting]],all_cause_mort[],18,FALSE),0)</f>
        <v>2.0345727000000001E-2</v>
      </c>
      <c r="AF137">
        <f>IFERROR(VLOOKUP(all_lmics[[Setting]:[Setting]],all_cause_mort[],19,FALSE),0)</f>
        <v>3.7246385999999999E-2</v>
      </c>
      <c r="AG137">
        <f>IFERROR(VLOOKUP(all_lmics[[Setting]:[Setting]],all_cause_mort[],20,FALSE),0)</f>
        <v>6.2741248999999999E-2</v>
      </c>
      <c r="AH137">
        <f>IFERROR(VLOOKUP(all_lmics[[Setting]:[Setting]],all_cause_mort[],21,FALSE),0)</f>
        <v>9.6177229000000003E-2</v>
      </c>
      <c r="AI137">
        <f>IFERROR(VLOOKUP(all_lmics[[Setting]:[Setting]],all_cause_mort[],22,FALSE),0)</f>
        <v>0.14942684000000001</v>
      </c>
      <c r="AJ137">
        <f>IFERROR(VLOOKUP(all_lmics[[Setting]:[Setting]],all_cause_mort[],23,FALSE),0)</f>
        <v>0.21278585</v>
      </c>
      <c r="AK137">
        <f>IFERROR(VLOOKUP(all_lmics[[Setting]:[Setting]],all_cause_mort[],24,FALSE),0)</f>
        <v>0.28747664000000001</v>
      </c>
      <c r="AL137">
        <f>IFERROR(VLOOKUP(all_lmics[[Setting]:[Setting]],all_cause_mort[],25,FALSE),0)</f>
        <v>0.34920817395763298</v>
      </c>
      <c r="AM137">
        <f>VLOOKUP(all_lmics[[worldbank_region]:[worldbank_region]],Table13[],2,FALSE)</f>
        <v>73.064384999999987</v>
      </c>
      <c r="AN137">
        <f>VLOOKUP(all_lmics[[worldbank_region]:[worldbank_region]],Table13[],3,FALSE)</f>
        <v>73.064384999999987</v>
      </c>
      <c r="AO137">
        <f>VLOOKUP(all_lmics[[worldbank_region]:[worldbank_region]],Table13[],4,FALSE)</f>
        <v>120.79324499999998</v>
      </c>
      <c r="AP137">
        <f>VLOOKUP(all_lmics[[worldbank_region]:[worldbank_region]],Table13[],5,FALSE)</f>
        <v>120.79324499999998</v>
      </c>
      <c r="AQ137">
        <f>VLOOKUP(all_lmics[[worldbank_region]:[worldbank_region]],Table13[],6,FALSE)</f>
        <v>120.79324499999998</v>
      </c>
      <c r="AR137">
        <f>VLOOKUP(all_lmics[[worldbank_region]:[worldbank_region]],Table14[],2,FALSE)</f>
        <v>1.34029</v>
      </c>
      <c r="AS137">
        <f>VLOOKUP(all_lmics[[worldbank_region]:[worldbank_region]],Table14[],3,FALSE)</f>
        <v>1.9577900000000001</v>
      </c>
      <c r="AT137">
        <f>VLOOKUP(all_lmics[[worldbank_region]:[worldbank_region]],Table14[],4,FALSE)</f>
        <v>1.9723159999999997</v>
      </c>
      <c r="AU137">
        <f>VLOOKUP(all_lmics[[worldbank_region]:[worldbank_region]],Table14[],5,FALSE)</f>
        <v>2.5898159999999999</v>
      </c>
      <c r="AV137">
        <f>VLOOKUP(all_lmics[[worldbank_region]:[worldbank_region]],Table14[],6,FALSE)</f>
        <v>3.1600679999999999</v>
      </c>
      <c r="AW137">
        <f>IFERROR(VLOOKUP(all_lmics[[Setting]:[Setting]],nFacSBA[],4,FALSE),0)</f>
        <v>0</v>
      </c>
      <c r="AX137">
        <f>VLOOKUP(all_lmics[[worldbank_region]:[worldbank_region]],hbe[],2)</f>
        <v>0.3</v>
      </c>
      <c r="AY137">
        <f>VLOOKUP(all_lmics[[worldbank_region]:[worldbank_region]],hbe[],5)</f>
        <v>0.875</v>
      </c>
      <c r="AZ137">
        <f>VLOOKUP(all_lmics[[worldbank_region]:[worldbank_region]],hbe[],8)</f>
        <v>0.15</v>
      </c>
    </row>
    <row r="138" spans="1:52" x14ac:dyDescent="0.35">
      <c r="A138" s="12" t="s">
        <v>69</v>
      </c>
      <c r="B138" s="13" t="s">
        <v>57</v>
      </c>
      <c r="C138" s="46" t="s">
        <v>27</v>
      </c>
      <c r="D138" s="14" t="s">
        <v>58</v>
      </c>
      <c r="E138">
        <f>VLOOKUP(all_lmics[[Setting]:[Setting]],populations[],9,FALSE)</f>
        <v>17424</v>
      </c>
      <c r="F138">
        <f>VLOOKUP(all_lmics[[Setting]:[Setting]],birthrate[],3,FALSE)</f>
        <v>1.4E-2</v>
      </c>
      <c r="G138">
        <f>all_lmics[[#This Row],[2017_population]]*all_lmics[[#This Row],[2016_birthrate]]</f>
        <v>243.93600000000001</v>
      </c>
      <c r="H138">
        <f>VLOOKUP(all_lmics[[Setting]:[Setting]],birthdose[],4,FALSE)</f>
        <v>0.99</v>
      </c>
      <c r="I138">
        <f>VLOOKUP(all_lmics[[Setting]:[Setting]],fullvax[],4,FALSE)</f>
        <v>0.99</v>
      </c>
      <c r="J138">
        <f>IFERROR(VLOOKUP(all_lmics[[Setting]:[Setting]],prev[],3,FALSE),0)</f>
        <v>0</v>
      </c>
      <c r="K138">
        <f>IFERROR(VLOOKUP(all_lmics[[Setting]:[Setting]],prev[],4,FALSE),0)</f>
        <v>0</v>
      </c>
      <c r="L138">
        <f>IFERROR(VLOOKUP(all_lmics[[Setting]:[Setting]],prev[],5,FALSE),0)</f>
        <v>0</v>
      </c>
      <c r="M138">
        <f>IFERROR(VLOOKUP(all_lmics[[Setting]:[Setting]],prev[],7,FALSE),0)</f>
        <v>0</v>
      </c>
      <c r="N138">
        <f>IFERROR(VLOOKUP(all_lmics[[Setting]:[Setting]],prev[],6,FALSE),0)</f>
        <v>0</v>
      </c>
      <c r="O138">
        <f>IFERROR(VLOOKUP(all_lmics[[Setting]:[Setting]],SBA[],4,FALSE),0)</f>
        <v>0.9998999999999999</v>
      </c>
      <c r="P138">
        <f>IFERROR(VLOOKUP(all_lmics[[Setting]:[Setting]], facility[], 3,FALSE),0)</f>
        <v>0.996</v>
      </c>
      <c r="Q138">
        <f>IFERROR(VLOOKUP(all_lmics[[Setting]:[Setting]],all_cause_mort[],4,FALSE),0)</f>
        <v>0</v>
      </c>
      <c r="R138">
        <f>IFERROR(VLOOKUP(all_lmics[[Setting]:[Setting]],all_cause_mort[],5,FALSE),0)</f>
        <v>0</v>
      </c>
      <c r="S138">
        <f>IFERROR(VLOOKUP(all_lmics[[Setting]:[Setting]],all_cause_mort[],6,FALSE),0)</f>
        <v>0</v>
      </c>
      <c r="T138">
        <f>IFERROR(VLOOKUP(all_lmics[[Setting]:[Setting]],all_cause_mort[],7,FALSE),0)</f>
        <v>0</v>
      </c>
      <c r="U138">
        <f>IFERROR(VLOOKUP(all_lmics[[Setting]:[Setting]],all_cause_mort[],8,FALSE),0)</f>
        <v>0</v>
      </c>
      <c r="V138">
        <f>IFERROR(VLOOKUP(all_lmics[[Setting]:[Setting]],all_cause_mort[],9,FALSE),0)</f>
        <v>0</v>
      </c>
      <c r="W138">
        <f>IFERROR(VLOOKUP(all_lmics[[Setting]:[Setting]],all_cause_mort[],10,FALSE),0)</f>
        <v>0</v>
      </c>
      <c r="X138">
        <f>IFERROR(VLOOKUP(all_lmics[[Setting]:[Setting]],all_cause_mort[],11,FALSE),0)</f>
        <v>0</v>
      </c>
      <c r="Y138">
        <f>IFERROR(VLOOKUP(all_lmics[[Setting]:[Setting]],all_cause_mort[],12,FALSE),0)</f>
        <v>0</v>
      </c>
      <c r="Z138">
        <f>IFERROR(VLOOKUP(all_lmics[[Setting]:[Setting]],all_cause_mort[],13,FALSE),0)</f>
        <v>0</v>
      </c>
      <c r="AA138">
        <f>IFERROR(VLOOKUP(all_lmics[[Setting]:[Setting]],all_cause_mort[],14,FALSE),0)</f>
        <v>0</v>
      </c>
      <c r="AB138">
        <f>IFERROR(VLOOKUP(all_lmics[[Setting]:[Setting]],all_cause_mort[],15,FALSE),0)</f>
        <v>0</v>
      </c>
      <c r="AC138">
        <f>IFERROR(VLOOKUP(all_lmics[[Setting]:[Setting]],all_cause_mort[],16,FALSE),0)</f>
        <v>0</v>
      </c>
      <c r="AD138">
        <f>IFERROR(VLOOKUP(all_lmics[[Setting]:[Setting]],all_cause_mort[],17,FALSE),0)</f>
        <v>0</v>
      </c>
      <c r="AE138">
        <f>IFERROR(VLOOKUP(all_lmics[[Setting]:[Setting]],all_cause_mort[],18,FALSE),0)</f>
        <v>0</v>
      </c>
      <c r="AF138">
        <f>IFERROR(VLOOKUP(all_lmics[[Setting]:[Setting]],all_cause_mort[],19,FALSE),0)</f>
        <v>0</v>
      </c>
      <c r="AG138">
        <f>IFERROR(VLOOKUP(all_lmics[[Setting]:[Setting]],all_cause_mort[],20,FALSE),0)</f>
        <v>0</v>
      </c>
      <c r="AH138">
        <f>IFERROR(VLOOKUP(all_lmics[[Setting]:[Setting]],all_cause_mort[],21,FALSE),0)</f>
        <v>0</v>
      </c>
      <c r="AI138">
        <f>IFERROR(VLOOKUP(all_lmics[[Setting]:[Setting]],all_cause_mort[],22,FALSE),0)</f>
        <v>0</v>
      </c>
      <c r="AJ138">
        <f>IFERROR(VLOOKUP(all_lmics[[Setting]:[Setting]],all_cause_mort[],23,FALSE),0)</f>
        <v>0</v>
      </c>
      <c r="AK138">
        <f>IFERROR(VLOOKUP(all_lmics[[Setting]:[Setting]],all_cause_mort[],24,FALSE),0)</f>
        <v>0</v>
      </c>
      <c r="AL138">
        <f>IFERROR(VLOOKUP(all_lmics[[Setting]:[Setting]],all_cause_mort[],25,FALSE),0)</f>
        <v>0</v>
      </c>
      <c r="AM138">
        <f>VLOOKUP(all_lmics[[worldbank_region]:[worldbank_region]],Table13[],2,FALSE)</f>
        <v>73.064384999999987</v>
      </c>
      <c r="AN138">
        <f>VLOOKUP(all_lmics[[worldbank_region]:[worldbank_region]],Table13[],3,FALSE)</f>
        <v>73.064384999999987</v>
      </c>
      <c r="AO138">
        <f>VLOOKUP(all_lmics[[worldbank_region]:[worldbank_region]],Table13[],4,FALSE)</f>
        <v>120.79324499999998</v>
      </c>
      <c r="AP138">
        <f>VLOOKUP(all_lmics[[worldbank_region]:[worldbank_region]],Table13[],5,FALSE)</f>
        <v>120.79324499999998</v>
      </c>
      <c r="AQ138">
        <f>VLOOKUP(all_lmics[[worldbank_region]:[worldbank_region]],Table13[],6,FALSE)</f>
        <v>120.79324499999998</v>
      </c>
      <c r="AR138">
        <f>VLOOKUP(all_lmics[[worldbank_region]:[worldbank_region]],Table14[],2,FALSE)</f>
        <v>1.34029</v>
      </c>
      <c r="AS138">
        <f>VLOOKUP(all_lmics[[worldbank_region]:[worldbank_region]],Table14[],3,FALSE)</f>
        <v>1.9577900000000001</v>
      </c>
      <c r="AT138">
        <f>VLOOKUP(all_lmics[[worldbank_region]:[worldbank_region]],Table14[],4,FALSE)</f>
        <v>1.9723159999999997</v>
      </c>
      <c r="AU138">
        <f>VLOOKUP(all_lmics[[worldbank_region]:[worldbank_region]],Table14[],5,FALSE)</f>
        <v>2.5898159999999999</v>
      </c>
      <c r="AV138">
        <f>VLOOKUP(all_lmics[[worldbank_region]:[worldbank_region]],Table14[],6,FALSE)</f>
        <v>3.1600679999999999</v>
      </c>
      <c r="AW138">
        <f>IFERROR(VLOOKUP(all_lmics[[Setting]:[Setting]],nFacSBA[],4,FALSE),0)</f>
        <v>0</v>
      </c>
      <c r="AX138">
        <f>VLOOKUP(all_lmics[[worldbank_region]:[worldbank_region]],hbe[],2)</f>
        <v>0.3</v>
      </c>
      <c r="AY138">
        <f>VLOOKUP(all_lmics[[worldbank_region]:[worldbank_region]],hbe[],5)</f>
        <v>0.875</v>
      </c>
      <c r="AZ138">
        <f>VLOOKUP(all_lmics[[worldbank_region]:[worldbank_region]],hbe[],8)</f>
        <v>0.15</v>
      </c>
    </row>
    <row r="139" spans="1:52" x14ac:dyDescent="0.35">
      <c r="A139" s="12" t="s">
        <v>89</v>
      </c>
      <c r="B139" s="13" t="s">
        <v>57</v>
      </c>
      <c r="C139" s="46" t="s">
        <v>27</v>
      </c>
      <c r="D139" s="14" t="s">
        <v>58</v>
      </c>
      <c r="E139">
        <f>VLOOKUP(all_lmics[[Setting]:[Setting]],populations[],9,FALSE)</f>
        <v>905502</v>
      </c>
      <c r="F139">
        <f>VLOOKUP(all_lmics[[Setting]:[Setting]],birthrate[],3,FALSE)</f>
        <v>1.9387000000000001E-2</v>
      </c>
      <c r="G139">
        <f>all_lmics[[#This Row],[2017_population]]*all_lmics[[#This Row],[2016_birthrate]]</f>
        <v>17554.967274000002</v>
      </c>
      <c r="H139">
        <f>VLOOKUP(all_lmics[[Setting]:[Setting]],birthdose[],4,FALSE)</f>
        <v>0.9</v>
      </c>
      <c r="I139">
        <f>VLOOKUP(all_lmics[[Setting]:[Setting]],fullvax[],4,FALSE)</f>
        <v>0.99</v>
      </c>
      <c r="J139">
        <f>IFERROR(VLOOKUP(all_lmics[[Setting]:[Setting]],prev[],3,FALSE),0)</f>
        <v>0.02</v>
      </c>
      <c r="K139">
        <f>IFERROR(VLOOKUP(all_lmics[[Setting]:[Setting]],prev[],4,FALSE),0)</f>
        <v>1.7999999999999999E-2</v>
      </c>
      <c r="L139">
        <f>IFERROR(VLOOKUP(all_lmics[[Setting]:[Setting]],prev[],5,FALSE),0)</f>
        <v>2.3E-2</v>
      </c>
      <c r="M139">
        <f>IFERROR(VLOOKUP(all_lmics[[Setting]:[Setting]],prev[],7,FALSE),0)</f>
        <v>1.5306122448979589E-3</v>
      </c>
      <c r="N139">
        <f>IFERROR(VLOOKUP(all_lmics[[Setting]:[Setting]],prev[],6,FALSE),0)</f>
        <v>905502</v>
      </c>
      <c r="O139">
        <f>IFERROR(VLOOKUP(all_lmics[[Setting]:[Setting]],SBA[],4,FALSE),0)</f>
        <v>0.99900000000000011</v>
      </c>
      <c r="P139">
        <f>IFERROR(VLOOKUP(all_lmics[[Setting]:[Setting]], facility[], 3,FALSE),0)</f>
        <v>0.98699999999999999</v>
      </c>
      <c r="Q139">
        <f>IFERROR(VLOOKUP(all_lmics[[Setting]:[Setting]],all_cause_mort[],4,FALSE),0)</f>
        <v>2.0703859000000002E-2</v>
      </c>
      <c r="R139">
        <f>IFERROR(VLOOKUP(all_lmics[[Setting]:[Setting]],all_cause_mort[],5,FALSE),0)</f>
        <v>1.0995463E-3</v>
      </c>
      <c r="S139">
        <f>IFERROR(VLOOKUP(all_lmics[[Setting]:[Setting]],all_cause_mort[],6,FALSE),0)</f>
        <v>7.2957983999999995E-4</v>
      </c>
      <c r="T139">
        <f>IFERROR(VLOOKUP(all_lmics[[Setting]:[Setting]],all_cause_mort[],7,FALSE),0)</f>
        <v>6.7984078000000005E-4</v>
      </c>
      <c r="U139">
        <f>IFERROR(VLOOKUP(all_lmics[[Setting]:[Setting]],all_cause_mort[],8,FALSE),0)</f>
        <v>1.5237788E-3</v>
      </c>
      <c r="V139">
        <f>IFERROR(VLOOKUP(all_lmics[[Setting]:[Setting]],all_cause_mort[],9,FALSE),0)</f>
        <v>2.1675984999999999E-3</v>
      </c>
      <c r="W139">
        <f>IFERROR(VLOOKUP(all_lmics[[Setting]:[Setting]],all_cause_mort[],10,FALSE),0)</f>
        <v>2.4056235000000001E-3</v>
      </c>
      <c r="X139">
        <f>IFERROR(VLOOKUP(all_lmics[[Setting]:[Setting]],all_cause_mort[],11,FALSE),0)</f>
        <v>2.8231564E-3</v>
      </c>
      <c r="Y139">
        <f>IFERROR(VLOOKUP(all_lmics[[Setting]:[Setting]],all_cause_mort[],12,FALSE),0)</f>
        <v>3.6225836000000002E-3</v>
      </c>
      <c r="Z139">
        <f>IFERROR(VLOOKUP(all_lmics[[Setting]:[Setting]],all_cause_mort[],13,FALSE),0)</f>
        <v>4.8950621999999996E-3</v>
      </c>
      <c r="AA139">
        <f>IFERROR(VLOOKUP(all_lmics[[Setting]:[Setting]],all_cause_mort[],14,FALSE),0)</f>
        <v>6.9798292E-3</v>
      </c>
      <c r="AB139">
        <f>IFERROR(VLOOKUP(all_lmics[[Setting]:[Setting]],all_cause_mort[],15,FALSE),0)</f>
        <v>1.0152255000000001E-2</v>
      </c>
      <c r="AC139">
        <f>IFERROR(VLOOKUP(all_lmics[[Setting]:[Setting]],all_cause_mort[],16,FALSE),0)</f>
        <v>1.4905674000000001E-2</v>
      </c>
      <c r="AD139">
        <f>IFERROR(VLOOKUP(all_lmics[[Setting]:[Setting]],all_cause_mort[],17,FALSE),0)</f>
        <v>2.3626244000000001E-2</v>
      </c>
      <c r="AE139">
        <f>IFERROR(VLOOKUP(all_lmics[[Setting]:[Setting]],all_cause_mort[],18,FALSE),0)</f>
        <v>3.7879847000000001E-2</v>
      </c>
      <c r="AF139">
        <f>IFERROR(VLOOKUP(all_lmics[[Setting]:[Setting]],all_cause_mort[],19,FALSE),0)</f>
        <v>5.9864582E-2</v>
      </c>
      <c r="AG139">
        <f>IFERROR(VLOOKUP(all_lmics[[Setting]:[Setting]],all_cause_mort[],20,FALSE),0)</f>
        <v>9.4230981000000005E-2</v>
      </c>
      <c r="AH139">
        <f>IFERROR(VLOOKUP(all_lmics[[Setting]:[Setting]],all_cause_mort[],21,FALSE),0)</f>
        <v>0.14965116000000001</v>
      </c>
      <c r="AI139">
        <f>IFERROR(VLOOKUP(all_lmics[[Setting]:[Setting]],all_cause_mort[],22,FALSE),0)</f>
        <v>0.23385951999999999</v>
      </c>
      <c r="AJ139">
        <f>IFERROR(VLOOKUP(all_lmics[[Setting]:[Setting]],all_cause_mort[],23,FALSE),0)</f>
        <v>0.34345299000000001</v>
      </c>
      <c r="AK139">
        <f>IFERROR(VLOOKUP(all_lmics[[Setting]:[Setting]],all_cause_mort[],24,FALSE),0)</f>
        <v>0.48201548</v>
      </c>
      <c r="AL139">
        <f>IFERROR(VLOOKUP(all_lmics[[Setting]:[Setting]],all_cause_mort[],25,FALSE),0)</f>
        <v>0.62447274985139101</v>
      </c>
      <c r="AM139">
        <f>VLOOKUP(all_lmics[[worldbank_region]:[worldbank_region]],Table13[],2,FALSE)</f>
        <v>73.064384999999987</v>
      </c>
      <c r="AN139">
        <f>VLOOKUP(all_lmics[[worldbank_region]:[worldbank_region]],Table13[],3,FALSE)</f>
        <v>73.064384999999987</v>
      </c>
      <c r="AO139">
        <f>VLOOKUP(all_lmics[[worldbank_region]:[worldbank_region]],Table13[],4,FALSE)</f>
        <v>120.79324499999998</v>
      </c>
      <c r="AP139">
        <f>VLOOKUP(all_lmics[[worldbank_region]:[worldbank_region]],Table13[],5,FALSE)</f>
        <v>120.79324499999998</v>
      </c>
      <c r="AQ139">
        <f>VLOOKUP(all_lmics[[worldbank_region]:[worldbank_region]],Table13[],6,FALSE)</f>
        <v>120.79324499999998</v>
      </c>
      <c r="AR139">
        <f>VLOOKUP(all_lmics[[worldbank_region]:[worldbank_region]],Table14[],2,FALSE)</f>
        <v>1.34029</v>
      </c>
      <c r="AS139">
        <f>VLOOKUP(all_lmics[[worldbank_region]:[worldbank_region]],Table14[],3,FALSE)</f>
        <v>1.9577900000000001</v>
      </c>
      <c r="AT139">
        <f>VLOOKUP(all_lmics[[worldbank_region]:[worldbank_region]],Table14[],4,FALSE)</f>
        <v>1.9723159999999997</v>
      </c>
      <c r="AU139">
        <f>VLOOKUP(all_lmics[[worldbank_region]:[worldbank_region]],Table14[],5,FALSE)</f>
        <v>2.5898159999999999</v>
      </c>
      <c r="AV139">
        <f>VLOOKUP(all_lmics[[worldbank_region]:[worldbank_region]],Table14[],6,FALSE)</f>
        <v>3.1600679999999999</v>
      </c>
      <c r="AW139">
        <f>IFERROR(VLOOKUP(all_lmics[[Setting]:[Setting]],nFacSBA[],4,FALSE),0)</f>
        <v>0</v>
      </c>
      <c r="AX139">
        <f>VLOOKUP(all_lmics[[worldbank_region]:[worldbank_region]],hbe[],2)</f>
        <v>0.3</v>
      </c>
      <c r="AY139">
        <f>VLOOKUP(all_lmics[[worldbank_region]:[worldbank_region]],hbe[],5)</f>
        <v>0.875</v>
      </c>
      <c r="AZ139">
        <f>VLOOKUP(all_lmics[[worldbank_region]:[worldbank_region]],hbe[],8)</f>
        <v>0.15</v>
      </c>
    </row>
    <row r="140" spans="1:52" x14ac:dyDescent="0.35">
      <c r="A140" s="12" t="s">
        <v>120</v>
      </c>
      <c r="B140" s="13" t="s">
        <v>57</v>
      </c>
      <c r="C140" s="46" t="s">
        <v>27</v>
      </c>
      <c r="D140" s="14" t="s">
        <v>58</v>
      </c>
      <c r="E140">
        <f>VLOOKUP(all_lmics[[Setting]:[Setting]],populations[],9,FALSE)</f>
        <v>116398</v>
      </c>
      <c r="F140">
        <f>VLOOKUP(all_lmics[[Setting]:[Setting]],birthrate[],3,FALSE)</f>
        <v>2.8223999999999999E-2</v>
      </c>
      <c r="G140">
        <f>all_lmics[[#This Row],[2017_population]]*all_lmics[[#This Row],[2016_birthrate]]</f>
        <v>3285.2171519999997</v>
      </c>
      <c r="H140">
        <f>VLOOKUP(all_lmics[[Setting]:[Setting]],birthdose[],4,FALSE)</f>
        <v>0.89</v>
      </c>
      <c r="I140">
        <f>VLOOKUP(all_lmics[[Setting]:[Setting]],fullvax[],4,FALSE)</f>
        <v>0.9</v>
      </c>
      <c r="J140">
        <f>IFERROR(VLOOKUP(all_lmics[[Setting]:[Setting]],prev[],3,FALSE),0)</f>
        <v>9.0999999999999998E-2</v>
      </c>
      <c r="K140">
        <f>IFERROR(VLOOKUP(all_lmics[[Setting]:[Setting]],prev[],4,FALSE),0)</f>
        <v>6.2E-2</v>
      </c>
      <c r="L140">
        <f>IFERROR(VLOOKUP(all_lmics[[Setting]:[Setting]],prev[],5,FALSE),0)</f>
        <v>0.105</v>
      </c>
      <c r="M140">
        <f>IFERROR(VLOOKUP(all_lmics[[Setting]:[Setting]],prev[],7,FALSE),0)</f>
        <v>7.1428571428571426E-3</v>
      </c>
      <c r="N140">
        <f>IFERROR(VLOOKUP(all_lmics[[Setting]:[Setting]],prev[],6,FALSE),0)</f>
        <v>116398</v>
      </c>
      <c r="O140">
        <f>IFERROR(VLOOKUP(all_lmics[[Setting]:[Setting]],SBA[],4,FALSE),0)</f>
        <v>0.98299999999999998</v>
      </c>
      <c r="P140">
        <f>IFERROR(VLOOKUP(all_lmics[[Setting]:[Setting]], facility[], 3,FALSE),0)</f>
        <v>0.65900000000000003</v>
      </c>
      <c r="Q140">
        <f>IFERROR(VLOOKUP(all_lmics[[Setting]:[Setting]],all_cause_mort[],4,FALSE),0)</f>
        <v>4.4384838000000003E-2</v>
      </c>
      <c r="R140">
        <f>IFERROR(VLOOKUP(all_lmics[[Setting]:[Setting]],all_cause_mort[],5,FALSE),0)</f>
        <v>2.9958557999999998E-3</v>
      </c>
      <c r="S140">
        <f>IFERROR(VLOOKUP(all_lmics[[Setting]:[Setting]],all_cause_mort[],6,FALSE),0)</f>
        <v>1.0128241999999999E-3</v>
      </c>
      <c r="T140">
        <f>IFERROR(VLOOKUP(all_lmics[[Setting]:[Setting]],all_cause_mort[],7,FALSE),0)</f>
        <v>7.7173243000000003E-4</v>
      </c>
      <c r="U140">
        <f>IFERROR(VLOOKUP(all_lmics[[Setting]:[Setting]],all_cause_mort[],8,FALSE),0)</f>
        <v>1.3654617999999999E-3</v>
      </c>
      <c r="V140">
        <f>IFERROR(VLOOKUP(all_lmics[[Setting]:[Setting]],all_cause_mort[],9,FALSE),0)</f>
        <v>1.8167158000000001E-3</v>
      </c>
      <c r="W140">
        <f>IFERROR(VLOOKUP(all_lmics[[Setting]:[Setting]],all_cause_mort[],10,FALSE),0)</f>
        <v>1.9412619E-3</v>
      </c>
      <c r="X140">
        <f>IFERROR(VLOOKUP(all_lmics[[Setting]:[Setting]],all_cause_mort[],11,FALSE),0)</f>
        <v>2.2772661E-3</v>
      </c>
      <c r="Y140">
        <f>IFERROR(VLOOKUP(all_lmics[[Setting]:[Setting]],all_cause_mort[],12,FALSE),0)</f>
        <v>2.9875346999999998E-3</v>
      </c>
      <c r="Z140">
        <f>IFERROR(VLOOKUP(all_lmics[[Setting]:[Setting]],all_cause_mort[],13,FALSE),0)</f>
        <v>4.1302138E-3</v>
      </c>
      <c r="AA140">
        <f>IFERROR(VLOOKUP(all_lmics[[Setting]:[Setting]],all_cause_mort[],14,FALSE),0)</f>
        <v>6.0296665999999997E-3</v>
      </c>
      <c r="AB140">
        <f>IFERROR(VLOOKUP(all_lmics[[Setting]:[Setting]],all_cause_mort[],15,FALSE),0)</f>
        <v>9.0777190999999993E-3</v>
      </c>
      <c r="AC140">
        <f>IFERROR(VLOOKUP(all_lmics[[Setting]:[Setting]],all_cause_mort[],16,FALSE),0)</f>
        <v>1.3780414E-2</v>
      </c>
      <c r="AD140">
        <f>IFERROR(VLOOKUP(all_lmics[[Setting]:[Setting]],all_cause_mort[],17,FALSE),0)</f>
        <v>1.9522999999999999E-2</v>
      </c>
      <c r="AE140">
        <f>IFERROR(VLOOKUP(all_lmics[[Setting]:[Setting]],all_cause_mort[],18,FALSE),0)</f>
        <v>2.7496525000000001E-2</v>
      </c>
      <c r="AF140">
        <f>IFERROR(VLOOKUP(all_lmics[[Setting]:[Setting]],all_cause_mort[],19,FALSE),0)</f>
        <v>4.0930187E-2</v>
      </c>
      <c r="AG140">
        <f>IFERROR(VLOOKUP(all_lmics[[Setting]:[Setting]],all_cause_mort[],20,FALSE),0)</f>
        <v>6.5207473000000002E-2</v>
      </c>
      <c r="AH140">
        <f>IFERROR(VLOOKUP(all_lmics[[Setting]:[Setting]],all_cause_mort[],21,FALSE),0)</f>
        <v>0.10302943000000001</v>
      </c>
      <c r="AI140">
        <f>IFERROR(VLOOKUP(all_lmics[[Setting]:[Setting]],all_cause_mort[],22,FALSE),0)</f>
        <v>0.15319373</v>
      </c>
      <c r="AJ140">
        <f>IFERROR(VLOOKUP(all_lmics[[Setting]:[Setting]],all_cause_mort[],23,FALSE),0)</f>
        <v>0.20799517000000001</v>
      </c>
      <c r="AK140">
        <f>IFERROR(VLOOKUP(all_lmics[[Setting]:[Setting]],all_cause_mort[],24,FALSE),0)</f>
        <v>0.28025011999999999</v>
      </c>
      <c r="AL140">
        <f>IFERROR(VLOOKUP(all_lmics[[Setting]:[Setting]],all_cause_mort[],25,FALSE),0)</f>
        <v>0.36926090546540502</v>
      </c>
      <c r="AM140">
        <f>VLOOKUP(all_lmics[[worldbank_region]:[worldbank_region]],Table13[],2,FALSE)</f>
        <v>73.064384999999987</v>
      </c>
      <c r="AN140">
        <f>VLOOKUP(all_lmics[[worldbank_region]:[worldbank_region]],Table13[],3,FALSE)</f>
        <v>73.064384999999987</v>
      </c>
      <c r="AO140">
        <f>VLOOKUP(all_lmics[[worldbank_region]:[worldbank_region]],Table13[],4,FALSE)</f>
        <v>120.79324499999998</v>
      </c>
      <c r="AP140">
        <f>VLOOKUP(all_lmics[[worldbank_region]:[worldbank_region]],Table13[],5,FALSE)</f>
        <v>120.79324499999998</v>
      </c>
      <c r="AQ140">
        <f>VLOOKUP(all_lmics[[worldbank_region]:[worldbank_region]],Table13[],6,FALSE)</f>
        <v>120.79324499999998</v>
      </c>
      <c r="AR140">
        <f>VLOOKUP(all_lmics[[worldbank_region]:[worldbank_region]],Table14[],2,FALSE)</f>
        <v>1.34029</v>
      </c>
      <c r="AS140">
        <f>VLOOKUP(all_lmics[[worldbank_region]:[worldbank_region]],Table14[],3,FALSE)</f>
        <v>1.9577900000000001</v>
      </c>
      <c r="AT140">
        <f>VLOOKUP(all_lmics[[worldbank_region]:[worldbank_region]],Table14[],4,FALSE)</f>
        <v>1.9723159999999997</v>
      </c>
      <c r="AU140">
        <f>VLOOKUP(all_lmics[[worldbank_region]:[worldbank_region]],Table14[],5,FALSE)</f>
        <v>2.5898159999999999</v>
      </c>
      <c r="AV140">
        <f>VLOOKUP(all_lmics[[worldbank_region]:[worldbank_region]],Table14[],6,FALSE)</f>
        <v>3.1600679999999999</v>
      </c>
      <c r="AW140">
        <f>IFERROR(VLOOKUP(all_lmics[[Setting]:[Setting]],nFacSBA[],4,FALSE),0)</f>
        <v>0</v>
      </c>
      <c r="AX140">
        <f>VLOOKUP(all_lmics[[worldbank_region]:[worldbank_region]],hbe[],2)</f>
        <v>0.3</v>
      </c>
      <c r="AY140">
        <f>VLOOKUP(all_lmics[[worldbank_region]:[worldbank_region]],hbe[],5)</f>
        <v>0.875</v>
      </c>
      <c r="AZ140">
        <f>VLOOKUP(all_lmics[[worldbank_region]:[worldbank_region]],hbe[],8)</f>
        <v>0.15</v>
      </c>
    </row>
    <row r="141" spans="1:52" x14ac:dyDescent="0.35">
      <c r="A141" s="8" t="s">
        <v>123</v>
      </c>
      <c r="B141" s="10" t="s">
        <v>57</v>
      </c>
      <c r="C141" s="45" t="s">
        <v>27</v>
      </c>
      <c r="D141" s="11" t="s">
        <v>58</v>
      </c>
      <c r="E141">
        <f>VLOOKUP(all_lmics[[Setting]:[Setting]],populations[],9,FALSE)</f>
        <v>6858160</v>
      </c>
      <c r="F141">
        <f>VLOOKUP(all_lmics[[Setting]:[Setting]],birthrate[],3,FALSE)</f>
        <v>2.3850000000000003E-2</v>
      </c>
      <c r="G141">
        <f>all_lmics[[#This Row],[2017_population]]*all_lmics[[#This Row],[2016_birthrate]]</f>
        <v>163567.11600000001</v>
      </c>
      <c r="H141">
        <f>VLOOKUP(all_lmics[[Setting]:[Setting]],birthdose[],4,FALSE)</f>
        <v>0.55000000000000004</v>
      </c>
      <c r="I141">
        <f>VLOOKUP(all_lmics[[Setting]:[Setting]],fullvax[],4,FALSE)</f>
        <v>0.85</v>
      </c>
      <c r="J141">
        <f>IFERROR(VLOOKUP(all_lmics[[Setting]:[Setting]],prev[],3,FALSE),0)</f>
        <v>3.6999999999999998E-2</v>
      </c>
      <c r="K141">
        <f>IFERROR(VLOOKUP(all_lmics[[Setting]:[Setting]],prev[],4,FALSE),0)</f>
        <v>3.3000000000000002E-2</v>
      </c>
      <c r="L141">
        <f>IFERROR(VLOOKUP(all_lmics[[Setting]:[Setting]],prev[],5,FALSE),0)</f>
        <v>4.5999999999999999E-2</v>
      </c>
      <c r="M141">
        <f>IFERROR(VLOOKUP(all_lmics[[Setting]:[Setting]],prev[],7,FALSE),0)</f>
        <v>4.591836734693878E-3</v>
      </c>
      <c r="N141">
        <f>IFERROR(VLOOKUP(all_lmics[[Setting]:[Setting]],prev[],6,FALSE),0)</f>
        <v>6858160</v>
      </c>
      <c r="O141">
        <f>IFERROR(VLOOKUP(all_lmics[[Setting]:[Setting]],SBA[],4,FALSE),0)</f>
        <v>0.40100000000000002</v>
      </c>
      <c r="P141">
        <f>IFERROR(VLOOKUP(all_lmics[[Setting]:[Setting]], facility[], 3,FALSE),0)</f>
        <v>0.375</v>
      </c>
      <c r="Q141">
        <f>IFERROR(VLOOKUP(all_lmics[[Setting]:[Setting]],all_cause_mort[],4,FALSE),0)</f>
        <v>4.0084636999999999E-2</v>
      </c>
      <c r="R141">
        <f>IFERROR(VLOOKUP(all_lmics[[Setting]:[Setting]],all_cause_mort[],5,FALSE),0)</f>
        <v>2.5027103000000001E-3</v>
      </c>
      <c r="S141">
        <f>IFERROR(VLOOKUP(all_lmics[[Setting]:[Setting]],all_cause_mort[],6,FALSE),0)</f>
        <v>9.0206374000000001E-4</v>
      </c>
      <c r="T141">
        <f>IFERROR(VLOOKUP(all_lmics[[Setting]:[Setting]],all_cause_mort[],7,FALSE),0)</f>
        <v>7.2194062999999999E-4</v>
      </c>
      <c r="U141">
        <f>IFERROR(VLOOKUP(all_lmics[[Setting]:[Setting]],all_cause_mort[],8,FALSE),0)</f>
        <v>1.2225072999999999E-3</v>
      </c>
      <c r="V141">
        <f>IFERROR(VLOOKUP(all_lmics[[Setting]:[Setting]],all_cause_mort[],9,FALSE),0)</f>
        <v>1.7204778E-3</v>
      </c>
      <c r="W141">
        <f>IFERROR(VLOOKUP(all_lmics[[Setting]:[Setting]],all_cause_mort[],10,FALSE),0)</f>
        <v>1.8670282E-3</v>
      </c>
      <c r="X141">
        <f>IFERROR(VLOOKUP(all_lmics[[Setting]:[Setting]],all_cause_mort[],11,FALSE),0)</f>
        <v>2.1551163E-3</v>
      </c>
      <c r="Y141">
        <f>IFERROR(VLOOKUP(all_lmics[[Setting]:[Setting]],all_cause_mort[],12,FALSE),0)</f>
        <v>2.7507741000000001E-3</v>
      </c>
      <c r="Z141">
        <f>IFERROR(VLOOKUP(all_lmics[[Setting]:[Setting]],all_cause_mort[],13,FALSE),0)</f>
        <v>3.8021356000000001E-3</v>
      </c>
      <c r="AA141">
        <f>IFERROR(VLOOKUP(all_lmics[[Setting]:[Setting]],all_cause_mort[],14,FALSE),0)</f>
        <v>5.6399557999999997E-3</v>
      </c>
      <c r="AB141">
        <f>IFERROR(VLOOKUP(all_lmics[[Setting]:[Setting]],all_cause_mort[],15,FALSE),0)</f>
        <v>8.5390819000000003E-3</v>
      </c>
      <c r="AC141">
        <f>IFERROR(VLOOKUP(all_lmics[[Setting]:[Setting]],all_cause_mort[],16,FALSE),0)</f>
        <v>1.3140208E-2</v>
      </c>
      <c r="AD141">
        <f>IFERROR(VLOOKUP(all_lmics[[Setting]:[Setting]],all_cause_mort[],17,FALSE),0)</f>
        <v>2.0478934000000001E-2</v>
      </c>
      <c r="AE141">
        <f>IFERROR(VLOOKUP(all_lmics[[Setting]:[Setting]],all_cause_mort[],18,FALSE),0)</f>
        <v>3.2299906000000003E-2</v>
      </c>
      <c r="AF141">
        <f>IFERROR(VLOOKUP(all_lmics[[Setting]:[Setting]],all_cause_mort[],19,FALSE),0)</f>
        <v>5.2244034000000002E-2</v>
      </c>
      <c r="AG141">
        <f>IFERROR(VLOOKUP(all_lmics[[Setting]:[Setting]],all_cause_mort[],20,FALSE),0)</f>
        <v>8.5093748999999996E-2</v>
      </c>
      <c r="AH141">
        <f>IFERROR(VLOOKUP(all_lmics[[Setting]:[Setting]],all_cause_mort[],21,FALSE),0)</f>
        <v>0.13841328999999999</v>
      </c>
      <c r="AI141">
        <f>IFERROR(VLOOKUP(all_lmics[[Setting]:[Setting]],all_cause_mort[],22,FALSE),0)</f>
        <v>0.21655833999999999</v>
      </c>
      <c r="AJ141">
        <f>IFERROR(VLOOKUP(all_lmics[[Setting]:[Setting]],all_cause_mort[],23,FALSE),0)</f>
        <v>0.31746930000000001</v>
      </c>
      <c r="AK141">
        <f>IFERROR(VLOOKUP(all_lmics[[Setting]:[Setting]],all_cause_mort[],24,FALSE),0)</f>
        <v>0.44016483000000001</v>
      </c>
      <c r="AL141">
        <f>IFERROR(VLOOKUP(all_lmics[[Setting]:[Setting]],all_cause_mort[],25,FALSE),0)</f>
        <v>0.57808848106673505</v>
      </c>
      <c r="AM141">
        <f>VLOOKUP(all_lmics[[worldbank_region]:[worldbank_region]],Table13[],2,FALSE)</f>
        <v>73.064384999999987</v>
      </c>
      <c r="AN141">
        <f>VLOOKUP(all_lmics[[worldbank_region]:[worldbank_region]],Table13[],3,FALSE)</f>
        <v>73.064384999999987</v>
      </c>
      <c r="AO141">
        <f>VLOOKUP(all_lmics[[worldbank_region]:[worldbank_region]],Table13[],4,FALSE)</f>
        <v>120.79324499999998</v>
      </c>
      <c r="AP141">
        <f>VLOOKUP(all_lmics[[worldbank_region]:[worldbank_region]],Table13[],5,FALSE)</f>
        <v>120.79324499999998</v>
      </c>
      <c r="AQ141">
        <f>VLOOKUP(all_lmics[[worldbank_region]:[worldbank_region]],Table13[],6,FALSE)</f>
        <v>120.79324499999998</v>
      </c>
      <c r="AR141">
        <f>VLOOKUP(all_lmics[[worldbank_region]:[worldbank_region]],Table14[],2,FALSE)</f>
        <v>1.34029</v>
      </c>
      <c r="AS141">
        <f>VLOOKUP(all_lmics[[worldbank_region]:[worldbank_region]],Table14[],3,FALSE)</f>
        <v>1.9577900000000001</v>
      </c>
      <c r="AT141">
        <f>VLOOKUP(all_lmics[[worldbank_region]:[worldbank_region]],Table14[],4,FALSE)</f>
        <v>1.9723159999999997</v>
      </c>
      <c r="AU141">
        <f>VLOOKUP(all_lmics[[worldbank_region]:[worldbank_region]],Table14[],5,FALSE)</f>
        <v>2.5898159999999999</v>
      </c>
      <c r="AV141">
        <f>VLOOKUP(all_lmics[[worldbank_region]:[worldbank_region]],Table14[],6,FALSE)</f>
        <v>3.1600679999999999</v>
      </c>
      <c r="AW141">
        <f>IFERROR(VLOOKUP(all_lmics[[Setting]:[Setting]],nFacSBA[],4,FALSE),0)</f>
        <v>7.1702765889770162E-2</v>
      </c>
      <c r="AX141">
        <f>VLOOKUP(all_lmics[[worldbank_region]:[worldbank_region]],hbe[],2)</f>
        <v>0.3</v>
      </c>
      <c r="AY141">
        <f>VLOOKUP(all_lmics[[worldbank_region]:[worldbank_region]],hbe[],5)</f>
        <v>0.875</v>
      </c>
      <c r="AZ141">
        <f>VLOOKUP(all_lmics[[worldbank_region]:[worldbank_region]],hbe[],8)</f>
        <v>0.15</v>
      </c>
    </row>
    <row r="142" spans="1:52" x14ac:dyDescent="0.35">
      <c r="A142" s="8" t="s">
        <v>133</v>
      </c>
      <c r="B142" s="10" t="s">
        <v>57</v>
      </c>
      <c r="C142" s="45" t="s">
        <v>27</v>
      </c>
      <c r="D142" s="11" t="s">
        <v>58</v>
      </c>
      <c r="E142">
        <f>VLOOKUP(all_lmics[[Setting]:[Setting]],populations[],9,FALSE)</f>
        <v>31624264</v>
      </c>
      <c r="F142">
        <f>VLOOKUP(all_lmics[[Setting]:[Setting]],birthrate[],3,FALSE)</f>
        <v>1.7052000000000001E-2</v>
      </c>
      <c r="G142">
        <f>all_lmics[[#This Row],[2017_population]]*all_lmics[[#This Row],[2016_birthrate]]</f>
        <v>539256.94972800009</v>
      </c>
      <c r="H142">
        <f>VLOOKUP(all_lmics[[Setting]:[Setting]],birthdose[],4,FALSE)</f>
        <v>0.9</v>
      </c>
      <c r="I142">
        <f>VLOOKUP(all_lmics[[Setting]:[Setting]],fullvax[],4,FALSE)</f>
        <v>0.98</v>
      </c>
      <c r="J142">
        <f>IFERROR(VLOOKUP(all_lmics[[Setting]:[Setting]],prev[],3,FALSE),0)</f>
        <v>8.9999999999999993E-3</v>
      </c>
      <c r="K142">
        <f>IFERROR(VLOOKUP(all_lmics[[Setting]:[Setting]],prev[],4,FALSE),0)</f>
        <v>5.0000000000000001E-3</v>
      </c>
      <c r="L142">
        <f>IFERROR(VLOOKUP(all_lmics[[Setting]:[Setting]],prev[],5,FALSE),0)</f>
        <v>0.01</v>
      </c>
      <c r="M142">
        <f>IFERROR(VLOOKUP(all_lmics[[Setting]:[Setting]],prev[],7,FALSE),0)</f>
        <v>5.1020408163265354E-4</v>
      </c>
      <c r="N142">
        <f>IFERROR(VLOOKUP(all_lmics[[Setting]:[Setting]],prev[],6,FALSE),0)</f>
        <v>31624264</v>
      </c>
      <c r="O142">
        <f>IFERROR(VLOOKUP(all_lmics[[Setting]:[Setting]],SBA[],4,FALSE),0)</f>
        <v>0.99400000000000011</v>
      </c>
      <c r="P142">
        <f>IFERROR(VLOOKUP(all_lmics[[Setting]:[Setting]], facility[], 3,FALSE),0)</f>
        <v>0.9890000000000001</v>
      </c>
      <c r="Q142">
        <f>IFERROR(VLOOKUP(all_lmics[[Setting]:[Setting]],all_cause_mort[],4,FALSE),0)</f>
        <v>5.9307283999999998E-3</v>
      </c>
      <c r="R142">
        <f>IFERROR(VLOOKUP(all_lmics[[Setting]:[Setting]],all_cause_mort[],5,FALSE),0)</f>
        <v>2.6927302000000002E-4</v>
      </c>
      <c r="S142">
        <f>IFERROR(VLOOKUP(all_lmics[[Setting]:[Setting]],all_cause_mort[],6,FALSE),0)</f>
        <v>1.7408437000000001E-4</v>
      </c>
      <c r="T142">
        <f>IFERROR(VLOOKUP(all_lmics[[Setting]:[Setting]],all_cause_mort[],7,FALSE),0)</f>
        <v>2.4167024E-4</v>
      </c>
      <c r="U142">
        <f>IFERROR(VLOOKUP(all_lmics[[Setting]:[Setting]],all_cause_mort[],8,FALSE),0)</f>
        <v>5.6535991000000003E-4</v>
      </c>
      <c r="V142">
        <f>IFERROR(VLOOKUP(all_lmics[[Setting]:[Setting]],all_cause_mort[],9,FALSE),0)</f>
        <v>5.9290065000000005E-4</v>
      </c>
      <c r="W142">
        <f>IFERROR(VLOOKUP(all_lmics[[Setting]:[Setting]],all_cause_mort[],10,FALSE),0)</f>
        <v>6.2334768999999996E-4</v>
      </c>
      <c r="X142">
        <f>IFERROR(VLOOKUP(all_lmics[[Setting]:[Setting]],all_cause_mort[],11,FALSE),0)</f>
        <v>1.0789250999999999E-3</v>
      </c>
      <c r="Y142">
        <f>IFERROR(VLOOKUP(all_lmics[[Setting]:[Setting]],all_cause_mort[],12,FALSE),0)</f>
        <v>1.6083642E-3</v>
      </c>
      <c r="Z142">
        <f>IFERROR(VLOOKUP(all_lmics[[Setting]:[Setting]],all_cause_mort[],13,FALSE),0)</f>
        <v>2.3934461000000001E-3</v>
      </c>
      <c r="AA142">
        <f>IFERROR(VLOOKUP(all_lmics[[Setting]:[Setting]],all_cause_mort[],14,FALSE),0)</f>
        <v>4.1970050999999998E-3</v>
      </c>
      <c r="AB142">
        <f>IFERROR(VLOOKUP(all_lmics[[Setting]:[Setting]],all_cause_mort[],15,FALSE),0)</f>
        <v>6.3957772999999997E-3</v>
      </c>
      <c r="AC142">
        <f>IFERROR(VLOOKUP(all_lmics[[Setting]:[Setting]],all_cause_mort[],16,FALSE),0)</f>
        <v>9.3744764999999994E-3</v>
      </c>
      <c r="AD142">
        <f>IFERROR(VLOOKUP(all_lmics[[Setting]:[Setting]],all_cause_mort[],17,FALSE),0)</f>
        <v>1.3013995E-2</v>
      </c>
      <c r="AE142">
        <f>IFERROR(VLOOKUP(all_lmics[[Setting]:[Setting]],all_cause_mort[],18,FALSE),0)</f>
        <v>2.1280139E-2</v>
      </c>
      <c r="AF142">
        <f>IFERROR(VLOOKUP(all_lmics[[Setting]:[Setting]],all_cause_mort[],19,FALSE),0)</f>
        <v>3.7078991999999998E-2</v>
      </c>
      <c r="AG142">
        <f>IFERROR(VLOOKUP(all_lmics[[Setting]:[Setting]],all_cause_mort[],20,FALSE),0)</f>
        <v>5.4851868999999998E-2</v>
      </c>
      <c r="AH142">
        <f>IFERROR(VLOOKUP(all_lmics[[Setting]:[Setting]],all_cause_mort[],21,FALSE),0)</f>
        <v>8.5358191E-2</v>
      </c>
      <c r="AI142">
        <f>IFERROR(VLOOKUP(all_lmics[[Setting]:[Setting]],all_cause_mort[],22,FALSE),0)</f>
        <v>0.12818539000000001</v>
      </c>
      <c r="AJ142">
        <f>IFERROR(VLOOKUP(all_lmics[[Setting]:[Setting]],all_cause_mort[],23,FALSE),0)</f>
        <v>0.18209918999999999</v>
      </c>
      <c r="AK142">
        <f>IFERROR(VLOOKUP(all_lmics[[Setting]:[Setting]],all_cause_mort[],24,FALSE),0)</f>
        <v>0.23688722000000001</v>
      </c>
      <c r="AL142">
        <f>IFERROR(VLOOKUP(all_lmics[[Setting]:[Setting]],all_cause_mort[],25,FALSE),0)</f>
        <v>0.30697249026122098</v>
      </c>
      <c r="AM142">
        <f>VLOOKUP(all_lmics[[worldbank_region]:[worldbank_region]],Table13[],2,FALSE)</f>
        <v>73.064384999999987</v>
      </c>
      <c r="AN142">
        <f>VLOOKUP(all_lmics[[worldbank_region]:[worldbank_region]],Table13[],3,FALSE)</f>
        <v>73.064384999999987</v>
      </c>
      <c r="AO142">
        <f>VLOOKUP(all_lmics[[worldbank_region]:[worldbank_region]],Table13[],4,FALSE)</f>
        <v>120.79324499999998</v>
      </c>
      <c r="AP142">
        <f>VLOOKUP(all_lmics[[worldbank_region]:[worldbank_region]],Table13[],5,FALSE)</f>
        <v>120.79324499999998</v>
      </c>
      <c r="AQ142">
        <f>VLOOKUP(all_lmics[[worldbank_region]:[worldbank_region]],Table13[],6,FALSE)</f>
        <v>120.79324499999998</v>
      </c>
      <c r="AR142">
        <f>VLOOKUP(all_lmics[[worldbank_region]:[worldbank_region]],Table14[],2,FALSE)</f>
        <v>1.34029</v>
      </c>
      <c r="AS142">
        <f>VLOOKUP(all_lmics[[worldbank_region]:[worldbank_region]],Table14[],3,FALSE)</f>
        <v>1.9577900000000001</v>
      </c>
      <c r="AT142">
        <f>VLOOKUP(all_lmics[[worldbank_region]:[worldbank_region]],Table14[],4,FALSE)</f>
        <v>1.9723159999999997</v>
      </c>
      <c r="AU142">
        <f>VLOOKUP(all_lmics[[worldbank_region]:[worldbank_region]],Table14[],5,FALSE)</f>
        <v>2.5898159999999999</v>
      </c>
      <c r="AV142">
        <f>VLOOKUP(all_lmics[[worldbank_region]:[worldbank_region]],Table14[],6,FALSE)</f>
        <v>3.1600679999999999</v>
      </c>
      <c r="AW142">
        <f>IFERROR(VLOOKUP(all_lmics[[Setting]:[Setting]],nFacSBA[],4,FALSE),0)</f>
        <v>0</v>
      </c>
      <c r="AX142">
        <f>VLOOKUP(all_lmics[[worldbank_region]:[worldbank_region]],hbe[],2)</f>
        <v>0.3</v>
      </c>
      <c r="AY142">
        <f>VLOOKUP(all_lmics[[worldbank_region]:[worldbank_region]],hbe[],5)</f>
        <v>0.875</v>
      </c>
      <c r="AZ142">
        <f>VLOOKUP(all_lmics[[worldbank_region]:[worldbank_region]],hbe[],8)</f>
        <v>0.15</v>
      </c>
    </row>
    <row r="143" spans="1:52" x14ac:dyDescent="0.35">
      <c r="A143" s="8" t="s">
        <v>137</v>
      </c>
      <c r="B143" s="10" t="s">
        <v>57</v>
      </c>
      <c r="C143" s="45" t="s">
        <v>27</v>
      </c>
      <c r="D143" s="11" t="s">
        <v>58</v>
      </c>
      <c r="E143">
        <f>VLOOKUP(all_lmics[[Setting]:[Setting]],populations[],9,FALSE)</f>
        <v>53127</v>
      </c>
      <c r="F143">
        <f>VLOOKUP(all_lmics[[Setting]:[Setting]],birthrate[],3,FALSE)</f>
        <v>2.4399999999999998E-2</v>
      </c>
      <c r="G143">
        <f>all_lmics[[#This Row],[2017_population]]*all_lmics[[#This Row],[2016_birthrate]]</f>
        <v>1296.2987999999998</v>
      </c>
      <c r="H143">
        <f>VLOOKUP(all_lmics[[Setting]:[Setting]],birthdose[],4,FALSE)</f>
        <v>0.97</v>
      </c>
      <c r="I143">
        <f>VLOOKUP(all_lmics[[Setting]:[Setting]],fullvax[],4,FALSE)</f>
        <v>0.82</v>
      </c>
      <c r="J143">
        <f>IFERROR(VLOOKUP(all_lmics[[Setting]:[Setting]],prev[],3,FALSE),0)</f>
        <v>7.8E-2</v>
      </c>
      <c r="K143">
        <f>IFERROR(VLOOKUP(all_lmics[[Setting]:[Setting]],prev[],4,FALSE),0)</f>
        <v>6.1400000000000003E-2</v>
      </c>
      <c r="L143">
        <f>IFERROR(VLOOKUP(all_lmics[[Setting]:[Setting]],prev[],5,FALSE),0)</f>
        <v>9.8599999999999993E-2</v>
      </c>
      <c r="M143">
        <f>IFERROR(VLOOKUP(all_lmics[[Setting]:[Setting]],prev[],7,FALSE),0)</f>
        <v>1.0510204081632649E-2</v>
      </c>
      <c r="N143">
        <f>IFERROR(VLOOKUP(all_lmics[[Setting]:[Setting]],prev[],6,FALSE),0)</f>
        <v>52425</v>
      </c>
      <c r="O143">
        <f>IFERROR(VLOOKUP(all_lmics[[Setting]:[Setting]],SBA[],4,FALSE),0)</f>
        <v>0.90099999999999991</v>
      </c>
      <c r="P143">
        <f>IFERROR(VLOOKUP(all_lmics[[Setting]:[Setting]], facility[], 3,FALSE),0)</f>
        <v>0.85099999999999998</v>
      </c>
      <c r="Q143">
        <f>IFERROR(VLOOKUP(all_lmics[[Setting]:[Setting]],all_cause_mort[],4,FALSE),0)</f>
        <v>0</v>
      </c>
      <c r="R143">
        <f>IFERROR(VLOOKUP(all_lmics[[Setting]:[Setting]],all_cause_mort[],5,FALSE),0)</f>
        <v>0</v>
      </c>
      <c r="S143">
        <f>IFERROR(VLOOKUP(all_lmics[[Setting]:[Setting]],all_cause_mort[],6,FALSE),0)</f>
        <v>0</v>
      </c>
      <c r="T143">
        <f>IFERROR(VLOOKUP(all_lmics[[Setting]:[Setting]],all_cause_mort[],7,FALSE),0)</f>
        <v>0</v>
      </c>
      <c r="U143">
        <f>IFERROR(VLOOKUP(all_lmics[[Setting]:[Setting]],all_cause_mort[],8,FALSE),0)</f>
        <v>0</v>
      </c>
      <c r="V143">
        <f>IFERROR(VLOOKUP(all_lmics[[Setting]:[Setting]],all_cause_mort[],9,FALSE),0)</f>
        <v>0</v>
      </c>
      <c r="W143">
        <f>IFERROR(VLOOKUP(all_lmics[[Setting]:[Setting]],all_cause_mort[],10,FALSE),0)</f>
        <v>0</v>
      </c>
      <c r="X143">
        <f>IFERROR(VLOOKUP(all_lmics[[Setting]:[Setting]],all_cause_mort[],11,FALSE),0)</f>
        <v>0</v>
      </c>
      <c r="Y143">
        <f>IFERROR(VLOOKUP(all_lmics[[Setting]:[Setting]],all_cause_mort[],12,FALSE),0)</f>
        <v>0</v>
      </c>
      <c r="Z143">
        <f>IFERROR(VLOOKUP(all_lmics[[Setting]:[Setting]],all_cause_mort[],13,FALSE),0)</f>
        <v>0</v>
      </c>
      <c r="AA143">
        <f>IFERROR(VLOOKUP(all_lmics[[Setting]:[Setting]],all_cause_mort[],14,FALSE),0)</f>
        <v>0</v>
      </c>
      <c r="AB143">
        <f>IFERROR(VLOOKUP(all_lmics[[Setting]:[Setting]],all_cause_mort[],15,FALSE),0)</f>
        <v>0</v>
      </c>
      <c r="AC143">
        <f>IFERROR(VLOOKUP(all_lmics[[Setting]:[Setting]],all_cause_mort[],16,FALSE),0)</f>
        <v>0</v>
      </c>
      <c r="AD143">
        <f>IFERROR(VLOOKUP(all_lmics[[Setting]:[Setting]],all_cause_mort[],17,FALSE),0)</f>
        <v>0</v>
      </c>
      <c r="AE143">
        <f>IFERROR(VLOOKUP(all_lmics[[Setting]:[Setting]],all_cause_mort[],18,FALSE),0)</f>
        <v>0</v>
      </c>
      <c r="AF143">
        <f>IFERROR(VLOOKUP(all_lmics[[Setting]:[Setting]],all_cause_mort[],19,FALSE),0)</f>
        <v>0</v>
      </c>
      <c r="AG143">
        <f>IFERROR(VLOOKUP(all_lmics[[Setting]:[Setting]],all_cause_mort[],20,FALSE),0)</f>
        <v>0</v>
      </c>
      <c r="AH143">
        <f>IFERROR(VLOOKUP(all_lmics[[Setting]:[Setting]],all_cause_mort[],21,FALSE),0)</f>
        <v>0</v>
      </c>
      <c r="AI143">
        <f>IFERROR(VLOOKUP(all_lmics[[Setting]:[Setting]],all_cause_mort[],22,FALSE),0)</f>
        <v>0</v>
      </c>
      <c r="AJ143">
        <f>IFERROR(VLOOKUP(all_lmics[[Setting]:[Setting]],all_cause_mort[],23,FALSE),0)</f>
        <v>0</v>
      </c>
      <c r="AK143">
        <f>IFERROR(VLOOKUP(all_lmics[[Setting]:[Setting]],all_cause_mort[],24,FALSE),0)</f>
        <v>0</v>
      </c>
      <c r="AL143">
        <f>IFERROR(VLOOKUP(all_lmics[[Setting]:[Setting]],all_cause_mort[],25,FALSE),0)</f>
        <v>0</v>
      </c>
      <c r="AM143">
        <f>VLOOKUP(all_lmics[[worldbank_region]:[worldbank_region]],Table13[],2,FALSE)</f>
        <v>73.064384999999987</v>
      </c>
      <c r="AN143">
        <f>VLOOKUP(all_lmics[[worldbank_region]:[worldbank_region]],Table13[],3,FALSE)</f>
        <v>73.064384999999987</v>
      </c>
      <c r="AO143">
        <f>VLOOKUP(all_lmics[[worldbank_region]:[worldbank_region]],Table13[],4,FALSE)</f>
        <v>120.79324499999998</v>
      </c>
      <c r="AP143">
        <f>VLOOKUP(all_lmics[[worldbank_region]:[worldbank_region]],Table13[],5,FALSE)</f>
        <v>120.79324499999998</v>
      </c>
      <c r="AQ143">
        <f>VLOOKUP(all_lmics[[worldbank_region]:[worldbank_region]],Table13[],6,FALSE)</f>
        <v>120.79324499999998</v>
      </c>
      <c r="AR143">
        <f>VLOOKUP(all_lmics[[worldbank_region]:[worldbank_region]],Table14[],2,FALSE)</f>
        <v>1.34029</v>
      </c>
      <c r="AS143">
        <f>VLOOKUP(all_lmics[[worldbank_region]:[worldbank_region]],Table14[],3,FALSE)</f>
        <v>1.9577900000000001</v>
      </c>
      <c r="AT143">
        <f>VLOOKUP(all_lmics[[worldbank_region]:[worldbank_region]],Table14[],4,FALSE)</f>
        <v>1.9723159999999997</v>
      </c>
      <c r="AU143">
        <f>VLOOKUP(all_lmics[[worldbank_region]:[worldbank_region]],Table14[],5,FALSE)</f>
        <v>2.5898159999999999</v>
      </c>
      <c r="AV143">
        <f>VLOOKUP(all_lmics[[worldbank_region]:[worldbank_region]],Table14[],6,FALSE)</f>
        <v>3.1600679999999999</v>
      </c>
      <c r="AW143">
        <f>IFERROR(VLOOKUP(all_lmics[[Setting]:[Setting]],nFacSBA[],4,FALSE),0)</f>
        <v>0</v>
      </c>
      <c r="AX143">
        <f>VLOOKUP(all_lmics[[worldbank_region]:[worldbank_region]],hbe[],2)</f>
        <v>0.3</v>
      </c>
      <c r="AY143">
        <f>VLOOKUP(all_lmics[[worldbank_region]:[worldbank_region]],hbe[],5)</f>
        <v>0.875</v>
      </c>
      <c r="AZ143">
        <f>VLOOKUP(all_lmics[[worldbank_region]:[worldbank_region]],hbe[],8)</f>
        <v>0.15</v>
      </c>
    </row>
    <row r="144" spans="1:52" x14ac:dyDescent="0.35">
      <c r="A144" s="8" t="s">
        <v>141</v>
      </c>
      <c r="B144" s="10" t="s">
        <v>57</v>
      </c>
      <c r="C144" s="45" t="s">
        <v>27</v>
      </c>
      <c r="D144" s="11" t="s">
        <v>58</v>
      </c>
      <c r="E144">
        <f>VLOOKUP(all_lmics[[Setting]:[Setting]],populations[],9,FALSE)</f>
        <v>105544</v>
      </c>
      <c r="F144">
        <f>VLOOKUP(all_lmics[[Setting]:[Setting]],birthrate[],3,FALSE)</f>
        <v>2.3708E-2</v>
      </c>
      <c r="G144">
        <f>all_lmics[[#This Row],[2017_population]]*all_lmics[[#This Row],[2016_birthrate]]</f>
        <v>2502.2371520000002</v>
      </c>
      <c r="H144">
        <f>VLOOKUP(all_lmics[[Setting]:[Setting]],birthdose[],4,FALSE)</f>
        <v>0.75</v>
      </c>
      <c r="I144">
        <f>VLOOKUP(all_lmics[[Setting]:[Setting]],fullvax[],4,FALSE)</f>
        <v>0.8</v>
      </c>
      <c r="J144">
        <f>IFERROR(VLOOKUP(all_lmics[[Setting]:[Setting]],prev[],3,FALSE),0)</f>
        <v>3.5000000000000003E-2</v>
      </c>
      <c r="K144">
        <f>IFERROR(VLOOKUP(all_lmics[[Setting]:[Setting]],prev[],4,FALSE),0)</f>
        <v>2.6599999999999999E-2</v>
      </c>
      <c r="L144">
        <f>IFERROR(VLOOKUP(all_lmics[[Setting]:[Setting]],prev[],5,FALSE),0)</f>
        <v>4.5900000000000003E-2</v>
      </c>
      <c r="M144">
        <f>IFERROR(VLOOKUP(all_lmics[[Setting]:[Setting]],prev[],7,FALSE),0)</f>
        <v>5.5612244897959183E-3</v>
      </c>
      <c r="N144">
        <f>IFERROR(VLOOKUP(all_lmics[[Setting]:[Setting]],prev[],6,FALSE),0)</f>
        <v>103616</v>
      </c>
      <c r="O144">
        <f>IFERROR(VLOOKUP(all_lmics[[Setting]:[Setting]],SBA[],4,FALSE),0)</f>
        <v>0.9998999999999999</v>
      </c>
      <c r="P144">
        <f>IFERROR(VLOOKUP(all_lmics[[Setting]:[Setting]], facility[], 3,FALSE),0)</f>
        <v>0.87</v>
      </c>
      <c r="Q144">
        <f>IFERROR(VLOOKUP(all_lmics[[Setting]:[Setting]],all_cause_mort[],4,FALSE),0)</f>
        <v>2.3937607999999999E-2</v>
      </c>
      <c r="R144">
        <f>IFERROR(VLOOKUP(all_lmics[[Setting]:[Setting]],all_cause_mort[],5,FALSE),0)</f>
        <v>2.1765084999999999E-3</v>
      </c>
      <c r="S144">
        <f>IFERROR(VLOOKUP(all_lmics[[Setting]:[Setting]],all_cause_mort[],6,FALSE),0)</f>
        <v>6.4121112999999995E-4</v>
      </c>
      <c r="T144">
        <f>IFERROR(VLOOKUP(all_lmics[[Setting]:[Setting]],all_cause_mort[],7,FALSE),0)</f>
        <v>5.4815284E-4</v>
      </c>
      <c r="U144">
        <f>IFERROR(VLOOKUP(all_lmics[[Setting]:[Setting]],all_cause_mort[],8,FALSE),0)</f>
        <v>1.0773943000000001E-3</v>
      </c>
      <c r="V144">
        <f>IFERROR(VLOOKUP(all_lmics[[Setting]:[Setting]],all_cause_mort[],9,FALSE),0)</f>
        <v>1.3954583999999999E-3</v>
      </c>
      <c r="W144">
        <f>IFERROR(VLOOKUP(all_lmics[[Setting]:[Setting]],all_cause_mort[],10,FALSE),0)</f>
        <v>1.4820623E-3</v>
      </c>
      <c r="X144">
        <f>IFERROR(VLOOKUP(all_lmics[[Setting]:[Setting]],all_cause_mort[],11,FALSE),0)</f>
        <v>1.7456685000000001E-3</v>
      </c>
      <c r="Y144">
        <f>IFERROR(VLOOKUP(all_lmics[[Setting]:[Setting]],all_cause_mort[],12,FALSE),0)</f>
        <v>2.3141108000000001E-3</v>
      </c>
      <c r="Z144">
        <f>IFERROR(VLOOKUP(all_lmics[[Setting]:[Setting]],all_cause_mort[],13,FALSE),0)</f>
        <v>3.2572043999999998E-3</v>
      </c>
      <c r="AA144">
        <f>IFERROR(VLOOKUP(all_lmics[[Setting]:[Setting]],all_cause_mort[],14,FALSE),0)</f>
        <v>4.9136459000000002E-3</v>
      </c>
      <c r="AB144">
        <f>IFERROR(VLOOKUP(all_lmics[[Setting]:[Setting]],all_cause_mort[],15,FALSE),0)</f>
        <v>7.5800334999999996E-3</v>
      </c>
      <c r="AC144">
        <f>IFERROR(VLOOKUP(all_lmics[[Setting]:[Setting]],all_cause_mort[],16,FALSE),0)</f>
        <v>1.1860900000000001E-2</v>
      </c>
      <c r="AD144">
        <f>IFERROR(VLOOKUP(all_lmics[[Setting]:[Setting]],all_cause_mort[],17,FALSE),0)</f>
        <v>2.3046229000000001E-2</v>
      </c>
      <c r="AE144">
        <f>IFERROR(VLOOKUP(all_lmics[[Setting]:[Setting]],all_cause_mort[],18,FALSE),0)</f>
        <v>4.4734369000000003E-2</v>
      </c>
      <c r="AF144">
        <f>IFERROR(VLOOKUP(all_lmics[[Setting]:[Setting]],all_cause_mort[],19,FALSE),0)</f>
        <v>7.5974070000000005E-2</v>
      </c>
      <c r="AG144">
        <f>IFERROR(VLOOKUP(all_lmics[[Setting]:[Setting]],all_cause_mort[],20,FALSE),0)</f>
        <v>0.11927093</v>
      </c>
      <c r="AH144">
        <f>IFERROR(VLOOKUP(all_lmics[[Setting]:[Setting]],all_cause_mort[],21,FALSE),0)</f>
        <v>0.18764405000000001</v>
      </c>
      <c r="AI144">
        <f>IFERROR(VLOOKUP(all_lmics[[Setting]:[Setting]],all_cause_mort[],22,FALSE),0)</f>
        <v>0.29302043</v>
      </c>
      <c r="AJ144">
        <f>IFERROR(VLOOKUP(all_lmics[[Setting]:[Setting]],all_cause_mort[],23,FALSE),0)</f>
        <v>0.42703175999999998</v>
      </c>
      <c r="AK144">
        <f>IFERROR(VLOOKUP(all_lmics[[Setting]:[Setting]],all_cause_mort[],24,FALSE),0)</f>
        <v>0.60030335000000001</v>
      </c>
      <c r="AL144">
        <f>IFERROR(VLOOKUP(all_lmics[[Setting]:[Setting]],all_cause_mort[],25,FALSE),0)</f>
        <v>0.79832377553498501</v>
      </c>
      <c r="AM144">
        <f>VLOOKUP(all_lmics[[worldbank_region]:[worldbank_region]],Table13[],2,FALSE)</f>
        <v>73.064384999999987</v>
      </c>
      <c r="AN144">
        <f>VLOOKUP(all_lmics[[worldbank_region]:[worldbank_region]],Table13[],3,FALSE)</f>
        <v>73.064384999999987</v>
      </c>
      <c r="AO144">
        <f>VLOOKUP(all_lmics[[worldbank_region]:[worldbank_region]],Table13[],4,FALSE)</f>
        <v>120.79324499999998</v>
      </c>
      <c r="AP144">
        <f>VLOOKUP(all_lmics[[worldbank_region]:[worldbank_region]],Table13[],5,FALSE)</f>
        <v>120.79324499999998</v>
      </c>
      <c r="AQ144">
        <f>VLOOKUP(all_lmics[[worldbank_region]:[worldbank_region]],Table13[],6,FALSE)</f>
        <v>120.79324499999998</v>
      </c>
      <c r="AR144">
        <f>VLOOKUP(all_lmics[[worldbank_region]:[worldbank_region]],Table14[],2,FALSE)</f>
        <v>1.34029</v>
      </c>
      <c r="AS144">
        <f>VLOOKUP(all_lmics[[worldbank_region]:[worldbank_region]],Table14[],3,FALSE)</f>
        <v>1.9577900000000001</v>
      </c>
      <c r="AT144">
        <f>VLOOKUP(all_lmics[[worldbank_region]:[worldbank_region]],Table14[],4,FALSE)</f>
        <v>1.9723159999999997</v>
      </c>
      <c r="AU144">
        <f>VLOOKUP(all_lmics[[worldbank_region]:[worldbank_region]],Table14[],5,FALSE)</f>
        <v>2.5898159999999999</v>
      </c>
      <c r="AV144">
        <f>VLOOKUP(all_lmics[[worldbank_region]:[worldbank_region]],Table14[],6,FALSE)</f>
        <v>3.1600679999999999</v>
      </c>
      <c r="AW144">
        <f>IFERROR(VLOOKUP(all_lmics[[Setting]:[Setting]],nFacSBA[],4,FALSE),0)</f>
        <v>0</v>
      </c>
      <c r="AX144">
        <f>VLOOKUP(all_lmics[[worldbank_region]:[worldbank_region]],hbe[],2)</f>
        <v>0.3</v>
      </c>
      <c r="AY144">
        <f>VLOOKUP(all_lmics[[worldbank_region]:[worldbank_region]],hbe[],5)</f>
        <v>0.875</v>
      </c>
      <c r="AZ144">
        <f>VLOOKUP(all_lmics[[worldbank_region]:[worldbank_region]],hbe[],8)</f>
        <v>0.15</v>
      </c>
    </row>
    <row r="145" spans="1:52" x14ac:dyDescent="0.35">
      <c r="A145" s="8" t="s">
        <v>143</v>
      </c>
      <c r="B145" s="10" t="s">
        <v>57</v>
      </c>
      <c r="C145" s="45" t="s">
        <v>27</v>
      </c>
      <c r="D145" s="11" t="s">
        <v>58</v>
      </c>
      <c r="E145">
        <f>VLOOKUP(all_lmics[[Setting]:[Setting]],populations[],9,FALSE)</f>
        <v>3075647</v>
      </c>
      <c r="F145">
        <f>VLOOKUP(all_lmics[[Setting]:[Setting]],birthrate[],3,FALSE)</f>
        <v>2.3958E-2</v>
      </c>
      <c r="G145">
        <f>all_lmics[[#This Row],[2017_population]]*all_lmics[[#This Row],[2016_birthrate]]</f>
        <v>73686.350825999994</v>
      </c>
      <c r="H145">
        <f>VLOOKUP(all_lmics[[Setting]:[Setting]],birthdose[],4,FALSE)</f>
        <v>0.98</v>
      </c>
      <c r="I145">
        <f>VLOOKUP(all_lmics[[Setting]:[Setting]],fullvax[],4,FALSE)</f>
        <v>0.99</v>
      </c>
      <c r="J145">
        <f>IFERROR(VLOOKUP(all_lmics[[Setting]:[Setting]],prev[],3,FALSE),0)</f>
        <v>4.1000000000000002E-2</v>
      </c>
      <c r="K145">
        <f>IFERROR(VLOOKUP(all_lmics[[Setting]:[Setting]],prev[],4,FALSE),0)</f>
        <v>3.1E-2</v>
      </c>
      <c r="L145">
        <f>IFERROR(VLOOKUP(all_lmics[[Setting]:[Setting]],prev[],5,FALSE),0)</f>
        <v>4.8000000000000001E-2</v>
      </c>
      <c r="M145">
        <f>IFERROR(VLOOKUP(all_lmics[[Setting]:[Setting]],prev[],7,FALSE),0)</f>
        <v>3.5714285714285713E-3</v>
      </c>
      <c r="N145">
        <f>IFERROR(VLOOKUP(all_lmics[[Setting]:[Setting]],prev[],6,FALSE),0)</f>
        <v>3075647</v>
      </c>
      <c r="O145">
        <f>IFERROR(VLOOKUP(all_lmics[[Setting]:[Setting]],SBA[],4,FALSE),0)</f>
        <v>0.9890000000000001</v>
      </c>
      <c r="P145">
        <f>IFERROR(VLOOKUP(all_lmics[[Setting]:[Setting]], facility[], 3,FALSE),0)</f>
        <v>0.9840000000000001</v>
      </c>
      <c r="Q145">
        <f>IFERROR(VLOOKUP(all_lmics[[Setting]:[Setting]],all_cause_mort[],4,FALSE),0)</f>
        <v>1.8391451999999999E-2</v>
      </c>
      <c r="R145">
        <f>IFERROR(VLOOKUP(all_lmics[[Setting]:[Setting]],all_cause_mort[],5,FALSE),0)</f>
        <v>1.0920551E-3</v>
      </c>
      <c r="S145">
        <f>IFERROR(VLOOKUP(all_lmics[[Setting]:[Setting]],all_cause_mort[],6,FALSE),0)</f>
        <v>3.6105436E-4</v>
      </c>
      <c r="T145">
        <f>IFERROR(VLOOKUP(all_lmics[[Setting]:[Setting]],all_cause_mort[],7,FALSE),0)</f>
        <v>3.3617153000000001E-4</v>
      </c>
      <c r="U145">
        <f>IFERROR(VLOOKUP(all_lmics[[Setting]:[Setting]],all_cause_mort[],8,FALSE),0)</f>
        <v>5.2161326000000003E-4</v>
      </c>
      <c r="V145">
        <f>IFERROR(VLOOKUP(all_lmics[[Setting]:[Setting]],all_cause_mort[],9,FALSE),0)</f>
        <v>9.0314053999999999E-4</v>
      </c>
      <c r="W145">
        <f>IFERROR(VLOOKUP(all_lmics[[Setting]:[Setting]],all_cause_mort[],10,FALSE),0)</f>
        <v>1.2924254E-3</v>
      </c>
      <c r="X145">
        <f>IFERROR(VLOOKUP(all_lmics[[Setting]:[Setting]],all_cause_mort[],11,FALSE),0)</f>
        <v>1.956083E-3</v>
      </c>
      <c r="Y145">
        <f>IFERROR(VLOOKUP(all_lmics[[Setting]:[Setting]],all_cause_mort[],12,FALSE),0)</f>
        <v>2.8538693999999999E-3</v>
      </c>
      <c r="Z145">
        <f>IFERROR(VLOOKUP(all_lmics[[Setting]:[Setting]],all_cause_mort[],13,FALSE),0)</f>
        <v>4.3894787000000003E-3</v>
      </c>
      <c r="AA145">
        <f>IFERROR(VLOOKUP(all_lmics[[Setting]:[Setting]],all_cause_mort[],14,FALSE),0)</f>
        <v>7.6067175000000004E-3</v>
      </c>
      <c r="AB145">
        <f>IFERROR(VLOOKUP(all_lmics[[Setting]:[Setting]],all_cause_mort[],15,FALSE),0)</f>
        <v>1.1481323999999999E-2</v>
      </c>
      <c r="AC145">
        <f>IFERROR(VLOOKUP(all_lmics[[Setting]:[Setting]],all_cause_mort[],16,FALSE),0)</f>
        <v>1.5725696000000001E-2</v>
      </c>
      <c r="AD145">
        <f>IFERROR(VLOOKUP(all_lmics[[Setting]:[Setting]],all_cause_mort[],17,FALSE),0)</f>
        <v>2.2428037000000001E-2</v>
      </c>
      <c r="AE145">
        <f>IFERROR(VLOOKUP(all_lmics[[Setting]:[Setting]],all_cause_mort[],18,FALSE),0)</f>
        <v>3.1178014E-2</v>
      </c>
      <c r="AF145">
        <f>IFERROR(VLOOKUP(all_lmics[[Setting]:[Setting]],all_cause_mort[],19,FALSE),0)</f>
        <v>5.1942293E-2</v>
      </c>
      <c r="AG145">
        <f>IFERROR(VLOOKUP(all_lmics[[Setting]:[Setting]],all_cause_mort[],20,FALSE),0)</f>
        <v>7.8840612000000004E-2</v>
      </c>
      <c r="AH145">
        <f>IFERROR(VLOOKUP(all_lmics[[Setting]:[Setting]],all_cause_mort[],21,FALSE),0)</f>
        <v>0.11728566999999999</v>
      </c>
      <c r="AI145">
        <f>IFERROR(VLOOKUP(all_lmics[[Setting]:[Setting]],all_cause_mort[],22,FALSE),0)</f>
        <v>0.17170224000000001</v>
      </c>
      <c r="AJ145">
        <f>IFERROR(VLOOKUP(all_lmics[[Setting]:[Setting]],all_cause_mort[],23,FALSE),0)</f>
        <v>0.24399900999999999</v>
      </c>
      <c r="AK145">
        <f>IFERROR(VLOOKUP(all_lmics[[Setting]:[Setting]],all_cause_mort[],24,FALSE),0)</f>
        <v>0.33252199999999998</v>
      </c>
      <c r="AL145">
        <f>IFERROR(VLOOKUP(all_lmics[[Setting]:[Setting]],all_cause_mort[],25,FALSE),0)</f>
        <v>0.454902490968707</v>
      </c>
      <c r="AM145">
        <f>VLOOKUP(all_lmics[[worldbank_region]:[worldbank_region]],Table13[],2,FALSE)</f>
        <v>73.064384999999987</v>
      </c>
      <c r="AN145">
        <f>VLOOKUP(all_lmics[[worldbank_region]:[worldbank_region]],Table13[],3,FALSE)</f>
        <v>73.064384999999987</v>
      </c>
      <c r="AO145">
        <f>VLOOKUP(all_lmics[[worldbank_region]:[worldbank_region]],Table13[],4,FALSE)</f>
        <v>120.79324499999998</v>
      </c>
      <c r="AP145">
        <f>VLOOKUP(all_lmics[[worldbank_region]:[worldbank_region]],Table13[],5,FALSE)</f>
        <v>120.79324499999998</v>
      </c>
      <c r="AQ145">
        <f>VLOOKUP(all_lmics[[worldbank_region]:[worldbank_region]],Table13[],6,FALSE)</f>
        <v>120.79324499999998</v>
      </c>
      <c r="AR145">
        <f>VLOOKUP(all_lmics[[worldbank_region]:[worldbank_region]],Table14[],2,FALSE)</f>
        <v>1.34029</v>
      </c>
      <c r="AS145">
        <f>VLOOKUP(all_lmics[[worldbank_region]:[worldbank_region]],Table14[],3,FALSE)</f>
        <v>1.9577900000000001</v>
      </c>
      <c r="AT145">
        <f>VLOOKUP(all_lmics[[worldbank_region]:[worldbank_region]],Table14[],4,FALSE)</f>
        <v>1.9723159999999997</v>
      </c>
      <c r="AU145">
        <f>VLOOKUP(all_lmics[[worldbank_region]:[worldbank_region]],Table14[],5,FALSE)</f>
        <v>2.5898159999999999</v>
      </c>
      <c r="AV145">
        <f>VLOOKUP(all_lmics[[worldbank_region]:[worldbank_region]],Table14[],6,FALSE)</f>
        <v>3.1600679999999999</v>
      </c>
      <c r="AW145">
        <f>IFERROR(VLOOKUP(all_lmics[[Setting]:[Setting]],nFacSBA[],4,FALSE),0)</f>
        <v>0.29941474153321612</v>
      </c>
      <c r="AX145">
        <f>VLOOKUP(all_lmics[[worldbank_region]:[worldbank_region]],hbe[],2)</f>
        <v>0.3</v>
      </c>
      <c r="AY145">
        <f>VLOOKUP(all_lmics[[worldbank_region]:[worldbank_region]],hbe[],5)</f>
        <v>0.875</v>
      </c>
      <c r="AZ145">
        <f>VLOOKUP(all_lmics[[worldbank_region]:[worldbank_region]],hbe[],8)</f>
        <v>0.15</v>
      </c>
    </row>
    <row r="146" spans="1:52" x14ac:dyDescent="0.35">
      <c r="A146" s="8" t="s">
        <v>149</v>
      </c>
      <c r="B146" s="10" t="s">
        <v>57</v>
      </c>
      <c r="C146" s="45" t="s">
        <v>27</v>
      </c>
      <c r="D146" s="11" t="s">
        <v>58</v>
      </c>
      <c r="E146">
        <f>VLOOKUP(all_lmics[[Setting]:[Setting]],populations[],9,FALSE)</f>
        <v>13649</v>
      </c>
      <c r="F146">
        <f>VLOOKUP(all_lmics[[Setting]:[Setting]],birthrate[],3,FALSE)</f>
        <v>2.4E-2</v>
      </c>
      <c r="G146">
        <f>all_lmics[[#This Row],[2017_population]]*all_lmics[[#This Row],[2016_birthrate]]</f>
        <v>327.57600000000002</v>
      </c>
      <c r="H146">
        <f>VLOOKUP(all_lmics[[Setting]:[Setting]],birthdose[],4,FALSE)</f>
        <v>0.99</v>
      </c>
      <c r="I146">
        <f>VLOOKUP(all_lmics[[Setting]:[Setting]],fullvax[],4,FALSE)</f>
        <v>0.87</v>
      </c>
      <c r="J146">
        <f>IFERROR(VLOOKUP(all_lmics[[Setting]:[Setting]],prev[],3,FALSE),0)</f>
        <v>0</v>
      </c>
      <c r="K146">
        <f>IFERROR(VLOOKUP(all_lmics[[Setting]:[Setting]],prev[],4,FALSE),0)</f>
        <v>0</v>
      </c>
      <c r="L146">
        <f>IFERROR(VLOOKUP(all_lmics[[Setting]:[Setting]],prev[],5,FALSE),0)</f>
        <v>0</v>
      </c>
      <c r="M146">
        <f>IFERROR(VLOOKUP(all_lmics[[Setting]:[Setting]],prev[],7,FALSE),0)</f>
        <v>0</v>
      </c>
      <c r="N146">
        <f>IFERROR(VLOOKUP(all_lmics[[Setting]:[Setting]],prev[],6,FALSE),0)</f>
        <v>0</v>
      </c>
      <c r="O146">
        <f>IFERROR(VLOOKUP(all_lmics[[Setting]:[Setting]],SBA[],4,FALSE),0)</f>
        <v>0.97400000000000009</v>
      </c>
      <c r="P146">
        <f>IFERROR(VLOOKUP(all_lmics[[Setting]:[Setting]], facility[], 3,FALSE),0)</f>
        <v>0.98699999999999999</v>
      </c>
      <c r="Q146">
        <f>IFERROR(VLOOKUP(all_lmics[[Setting]:[Setting]],all_cause_mort[],4,FALSE),0)</f>
        <v>0</v>
      </c>
      <c r="R146">
        <f>IFERROR(VLOOKUP(all_lmics[[Setting]:[Setting]],all_cause_mort[],5,FALSE),0)</f>
        <v>0</v>
      </c>
      <c r="S146">
        <f>IFERROR(VLOOKUP(all_lmics[[Setting]:[Setting]],all_cause_mort[],6,FALSE),0)</f>
        <v>0</v>
      </c>
      <c r="T146">
        <f>IFERROR(VLOOKUP(all_lmics[[Setting]:[Setting]],all_cause_mort[],7,FALSE),0)</f>
        <v>0</v>
      </c>
      <c r="U146">
        <f>IFERROR(VLOOKUP(all_lmics[[Setting]:[Setting]],all_cause_mort[],8,FALSE),0)</f>
        <v>0</v>
      </c>
      <c r="V146">
        <f>IFERROR(VLOOKUP(all_lmics[[Setting]:[Setting]],all_cause_mort[],9,FALSE),0)</f>
        <v>0</v>
      </c>
      <c r="W146">
        <f>IFERROR(VLOOKUP(all_lmics[[Setting]:[Setting]],all_cause_mort[],10,FALSE),0)</f>
        <v>0</v>
      </c>
      <c r="X146">
        <f>IFERROR(VLOOKUP(all_lmics[[Setting]:[Setting]],all_cause_mort[],11,FALSE),0)</f>
        <v>0</v>
      </c>
      <c r="Y146">
        <f>IFERROR(VLOOKUP(all_lmics[[Setting]:[Setting]],all_cause_mort[],12,FALSE),0)</f>
        <v>0</v>
      </c>
      <c r="Z146">
        <f>IFERROR(VLOOKUP(all_lmics[[Setting]:[Setting]],all_cause_mort[],13,FALSE),0)</f>
        <v>0</v>
      </c>
      <c r="AA146">
        <f>IFERROR(VLOOKUP(all_lmics[[Setting]:[Setting]],all_cause_mort[],14,FALSE),0)</f>
        <v>0</v>
      </c>
      <c r="AB146">
        <f>IFERROR(VLOOKUP(all_lmics[[Setting]:[Setting]],all_cause_mort[],15,FALSE),0)</f>
        <v>0</v>
      </c>
      <c r="AC146">
        <f>IFERROR(VLOOKUP(all_lmics[[Setting]:[Setting]],all_cause_mort[],16,FALSE),0)</f>
        <v>0</v>
      </c>
      <c r="AD146">
        <f>IFERROR(VLOOKUP(all_lmics[[Setting]:[Setting]],all_cause_mort[],17,FALSE),0)</f>
        <v>0</v>
      </c>
      <c r="AE146">
        <f>IFERROR(VLOOKUP(all_lmics[[Setting]:[Setting]],all_cause_mort[],18,FALSE),0)</f>
        <v>0</v>
      </c>
      <c r="AF146">
        <f>IFERROR(VLOOKUP(all_lmics[[Setting]:[Setting]],all_cause_mort[],19,FALSE),0)</f>
        <v>0</v>
      </c>
      <c r="AG146">
        <f>IFERROR(VLOOKUP(all_lmics[[Setting]:[Setting]],all_cause_mort[],20,FALSE),0)</f>
        <v>0</v>
      </c>
      <c r="AH146">
        <f>IFERROR(VLOOKUP(all_lmics[[Setting]:[Setting]],all_cause_mort[],21,FALSE),0)</f>
        <v>0</v>
      </c>
      <c r="AI146">
        <f>IFERROR(VLOOKUP(all_lmics[[Setting]:[Setting]],all_cause_mort[],22,FALSE),0)</f>
        <v>0</v>
      </c>
      <c r="AJ146">
        <f>IFERROR(VLOOKUP(all_lmics[[Setting]:[Setting]],all_cause_mort[],23,FALSE),0)</f>
        <v>0</v>
      </c>
      <c r="AK146">
        <f>IFERROR(VLOOKUP(all_lmics[[Setting]:[Setting]],all_cause_mort[],24,FALSE),0)</f>
        <v>0</v>
      </c>
      <c r="AL146">
        <f>IFERROR(VLOOKUP(all_lmics[[Setting]:[Setting]],all_cause_mort[],25,FALSE),0)</f>
        <v>0</v>
      </c>
      <c r="AM146">
        <f>VLOOKUP(all_lmics[[worldbank_region]:[worldbank_region]],Table13[],2,FALSE)</f>
        <v>73.064384999999987</v>
      </c>
      <c r="AN146">
        <f>VLOOKUP(all_lmics[[worldbank_region]:[worldbank_region]],Table13[],3,FALSE)</f>
        <v>73.064384999999987</v>
      </c>
      <c r="AO146">
        <f>VLOOKUP(all_lmics[[worldbank_region]:[worldbank_region]],Table13[],4,FALSE)</f>
        <v>120.79324499999998</v>
      </c>
      <c r="AP146">
        <f>VLOOKUP(all_lmics[[worldbank_region]:[worldbank_region]],Table13[],5,FALSE)</f>
        <v>120.79324499999998</v>
      </c>
      <c r="AQ146">
        <f>VLOOKUP(all_lmics[[worldbank_region]:[worldbank_region]],Table13[],6,FALSE)</f>
        <v>120.79324499999998</v>
      </c>
      <c r="AR146">
        <f>VLOOKUP(all_lmics[[worldbank_region]:[worldbank_region]],Table14[],2,FALSE)</f>
        <v>1.34029</v>
      </c>
      <c r="AS146">
        <f>VLOOKUP(all_lmics[[worldbank_region]:[worldbank_region]],Table14[],3,FALSE)</f>
        <v>1.9577900000000001</v>
      </c>
      <c r="AT146">
        <f>VLOOKUP(all_lmics[[worldbank_region]:[worldbank_region]],Table14[],4,FALSE)</f>
        <v>1.9723159999999997</v>
      </c>
      <c r="AU146">
        <f>VLOOKUP(all_lmics[[worldbank_region]:[worldbank_region]],Table14[],5,FALSE)</f>
        <v>2.5898159999999999</v>
      </c>
      <c r="AV146">
        <f>VLOOKUP(all_lmics[[worldbank_region]:[worldbank_region]],Table14[],6,FALSE)</f>
        <v>3.1600679999999999</v>
      </c>
      <c r="AW146">
        <f>IFERROR(VLOOKUP(all_lmics[[Setting]:[Setting]],nFacSBA[],4,FALSE),0)</f>
        <v>0</v>
      </c>
      <c r="AX146">
        <f>VLOOKUP(all_lmics[[worldbank_region]:[worldbank_region]],hbe[],2)</f>
        <v>0.3</v>
      </c>
      <c r="AY146">
        <f>VLOOKUP(all_lmics[[worldbank_region]:[worldbank_region]],hbe[],5)</f>
        <v>0.875</v>
      </c>
      <c r="AZ146">
        <f>VLOOKUP(all_lmics[[worldbank_region]:[worldbank_region]],hbe[],8)</f>
        <v>0.15</v>
      </c>
    </row>
    <row r="147" spans="1:52" x14ac:dyDescent="0.35">
      <c r="A147" s="12" t="s">
        <v>156</v>
      </c>
      <c r="B147" s="13" t="s">
        <v>57</v>
      </c>
      <c r="C147" s="46" t="s">
        <v>27</v>
      </c>
      <c r="D147" s="14" t="s">
        <v>58</v>
      </c>
      <c r="E147">
        <f>VLOOKUP(all_lmics[[Setting]:[Setting]],populations[],9,FALSE)</f>
        <v>1627</v>
      </c>
      <c r="F147">
        <f>VLOOKUP(all_lmics[[Setting]:[Setting]],birthrate[],3,FALSE)</f>
        <v>1.584E-2</v>
      </c>
      <c r="G147">
        <f>all_lmics[[#This Row],[2017_population]]*all_lmics[[#This Row],[2016_birthrate]]</f>
        <v>25.77168</v>
      </c>
      <c r="H147">
        <f>VLOOKUP(all_lmics[[Setting]:[Setting]],birthdose[],4,FALSE)</f>
        <v>0.84</v>
      </c>
      <c r="I147">
        <f>VLOOKUP(all_lmics[[Setting]:[Setting]],fullvax[],4,FALSE)</f>
        <v>0.99</v>
      </c>
      <c r="J147">
        <f>IFERROR(VLOOKUP(all_lmics[[Setting]:[Setting]],prev[],3,FALSE),0)</f>
        <v>0.1186</v>
      </c>
      <c r="K147">
        <f>IFERROR(VLOOKUP(all_lmics[[Setting]:[Setting]],prev[],4,FALSE),0)</f>
        <v>0.1011</v>
      </c>
      <c r="L147">
        <f>IFERROR(VLOOKUP(all_lmics[[Setting]:[Setting]],prev[],5,FALSE),0)</f>
        <v>0.1386</v>
      </c>
      <c r="M147">
        <f>IFERROR(VLOOKUP(all_lmics[[Setting]:[Setting]],prev[],7,FALSE),0)</f>
        <v>1.0204081632653064E-2</v>
      </c>
      <c r="N147">
        <f>IFERROR(VLOOKUP(all_lmics[[Setting]:[Setting]],prev[],6,FALSE),0)</f>
        <v>1630</v>
      </c>
      <c r="O147">
        <f>IFERROR(VLOOKUP(all_lmics[[Setting]:[Setting]],SBA[],4,FALSE),0)</f>
        <v>0.9998999999999999</v>
      </c>
      <c r="P147">
        <f>IFERROR(VLOOKUP(all_lmics[[Setting]:[Setting]], facility[], 3,FALSE),0)</f>
        <v>0</v>
      </c>
      <c r="Q147">
        <f>IFERROR(VLOOKUP(all_lmics[[Setting]:[Setting]],all_cause_mort[],4,FALSE),0)</f>
        <v>0</v>
      </c>
      <c r="R147">
        <f>IFERROR(VLOOKUP(all_lmics[[Setting]:[Setting]],all_cause_mort[],5,FALSE),0)</f>
        <v>0</v>
      </c>
      <c r="S147">
        <f>IFERROR(VLOOKUP(all_lmics[[Setting]:[Setting]],all_cause_mort[],6,FALSE),0)</f>
        <v>0</v>
      </c>
      <c r="T147">
        <f>IFERROR(VLOOKUP(all_lmics[[Setting]:[Setting]],all_cause_mort[],7,FALSE),0)</f>
        <v>0</v>
      </c>
      <c r="U147">
        <f>IFERROR(VLOOKUP(all_lmics[[Setting]:[Setting]],all_cause_mort[],8,FALSE),0)</f>
        <v>0</v>
      </c>
      <c r="V147">
        <f>IFERROR(VLOOKUP(all_lmics[[Setting]:[Setting]],all_cause_mort[],9,FALSE),0)</f>
        <v>0</v>
      </c>
      <c r="W147">
        <f>IFERROR(VLOOKUP(all_lmics[[Setting]:[Setting]],all_cause_mort[],10,FALSE),0)</f>
        <v>0</v>
      </c>
      <c r="X147">
        <f>IFERROR(VLOOKUP(all_lmics[[Setting]:[Setting]],all_cause_mort[],11,FALSE),0)</f>
        <v>0</v>
      </c>
      <c r="Y147">
        <f>IFERROR(VLOOKUP(all_lmics[[Setting]:[Setting]],all_cause_mort[],12,FALSE),0)</f>
        <v>0</v>
      </c>
      <c r="Z147">
        <f>IFERROR(VLOOKUP(all_lmics[[Setting]:[Setting]],all_cause_mort[],13,FALSE),0)</f>
        <v>0</v>
      </c>
      <c r="AA147">
        <f>IFERROR(VLOOKUP(all_lmics[[Setting]:[Setting]],all_cause_mort[],14,FALSE),0)</f>
        <v>0</v>
      </c>
      <c r="AB147">
        <f>IFERROR(VLOOKUP(all_lmics[[Setting]:[Setting]],all_cause_mort[],15,FALSE),0)</f>
        <v>0</v>
      </c>
      <c r="AC147">
        <f>IFERROR(VLOOKUP(all_lmics[[Setting]:[Setting]],all_cause_mort[],16,FALSE),0)</f>
        <v>0</v>
      </c>
      <c r="AD147">
        <f>IFERROR(VLOOKUP(all_lmics[[Setting]:[Setting]],all_cause_mort[],17,FALSE),0)</f>
        <v>0</v>
      </c>
      <c r="AE147">
        <f>IFERROR(VLOOKUP(all_lmics[[Setting]:[Setting]],all_cause_mort[],18,FALSE),0)</f>
        <v>0</v>
      </c>
      <c r="AF147">
        <f>IFERROR(VLOOKUP(all_lmics[[Setting]:[Setting]],all_cause_mort[],19,FALSE),0)</f>
        <v>0</v>
      </c>
      <c r="AG147">
        <f>IFERROR(VLOOKUP(all_lmics[[Setting]:[Setting]],all_cause_mort[],20,FALSE),0)</f>
        <v>0</v>
      </c>
      <c r="AH147">
        <f>IFERROR(VLOOKUP(all_lmics[[Setting]:[Setting]],all_cause_mort[],21,FALSE),0)</f>
        <v>0</v>
      </c>
      <c r="AI147">
        <f>IFERROR(VLOOKUP(all_lmics[[Setting]:[Setting]],all_cause_mort[],22,FALSE),0)</f>
        <v>0</v>
      </c>
      <c r="AJ147">
        <f>IFERROR(VLOOKUP(all_lmics[[Setting]:[Setting]],all_cause_mort[],23,FALSE),0)</f>
        <v>0</v>
      </c>
      <c r="AK147">
        <f>IFERROR(VLOOKUP(all_lmics[[Setting]:[Setting]],all_cause_mort[],24,FALSE),0)</f>
        <v>0</v>
      </c>
      <c r="AL147">
        <f>IFERROR(VLOOKUP(all_lmics[[Setting]:[Setting]],all_cause_mort[],25,FALSE),0)</f>
        <v>0</v>
      </c>
      <c r="AM147">
        <f>VLOOKUP(all_lmics[[worldbank_region]:[worldbank_region]],Table13[],2,FALSE)</f>
        <v>73.064384999999987</v>
      </c>
      <c r="AN147">
        <f>VLOOKUP(all_lmics[[worldbank_region]:[worldbank_region]],Table13[],3,FALSE)</f>
        <v>73.064384999999987</v>
      </c>
      <c r="AO147">
        <f>VLOOKUP(all_lmics[[worldbank_region]:[worldbank_region]],Table13[],4,FALSE)</f>
        <v>120.79324499999998</v>
      </c>
      <c r="AP147">
        <f>VLOOKUP(all_lmics[[worldbank_region]:[worldbank_region]],Table13[],5,FALSE)</f>
        <v>120.79324499999998</v>
      </c>
      <c r="AQ147">
        <f>VLOOKUP(all_lmics[[worldbank_region]:[worldbank_region]],Table13[],6,FALSE)</f>
        <v>120.79324499999998</v>
      </c>
      <c r="AR147">
        <f>VLOOKUP(all_lmics[[worldbank_region]:[worldbank_region]],Table14[],2,FALSE)</f>
        <v>1.34029</v>
      </c>
      <c r="AS147">
        <f>VLOOKUP(all_lmics[[worldbank_region]:[worldbank_region]],Table14[],3,FALSE)</f>
        <v>1.9577900000000001</v>
      </c>
      <c r="AT147">
        <f>VLOOKUP(all_lmics[[worldbank_region]:[worldbank_region]],Table14[],4,FALSE)</f>
        <v>1.9723159999999997</v>
      </c>
      <c r="AU147">
        <f>VLOOKUP(all_lmics[[worldbank_region]:[worldbank_region]],Table14[],5,FALSE)</f>
        <v>2.5898159999999999</v>
      </c>
      <c r="AV147">
        <f>VLOOKUP(all_lmics[[worldbank_region]:[worldbank_region]],Table14[],6,FALSE)</f>
        <v>3.1600679999999999</v>
      </c>
      <c r="AW147">
        <f>IFERROR(VLOOKUP(all_lmics[[Setting]:[Setting]],nFacSBA[],4,FALSE),0)</f>
        <v>0</v>
      </c>
      <c r="AX147">
        <f>VLOOKUP(all_lmics[[worldbank_region]:[worldbank_region]],hbe[],2)</f>
        <v>0.3</v>
      </c>
      <c r="AY147">
        <f>VLOOKUP(all_lmics[[worldbank_region]:[worldbank_region]],hbe[],5)</f>
        <v>0.875</v>
      </c>
      <c r="AZ147">
        <f>VLOOKUP(all_lmics[[worldbank_region]:[worldbank_region]],hbe[],8)</f>
        <v>0.15</v>
      </c>
    </row>
    <row r="148" spans="1:52" x14ac:dyDescent="0.35">
      <c r="A148" s="12" t="s">
        <v>160</v>
      </c>
      <c r="B148" s="13" t="s">
        <v>57</v>
      </c>
      <c r="C148" s="46" t="s">
        <v>27</v>
      </c>
      <c r="D148" s="14" t="s">
        <v>58</v>
      </c>
      <c r="E148">
        <f>VLOOKUP(all_lmics[[Setting]:[Setting]],populations[],9,FALSE)</f>
        <v>21729</v>
      </c>
      <c r="F148">
        <f>VLOOKUP(all_lmics[[Setting]:[Setting]],birthrate[],3,FALSE)</f>
        <v>1.2E-2</v>
      </c>
      <c r="G148">
        <f>all_lmics[[#This Row],[2017_population]]*all_lmics[[#This Row],[2016_birthrate]]</f>
        <v>260.74799999999999</v>
      </c>
      <c r="H148">
        <f>VLOOKUP(all_lmics[[Setting]:[Setting]],birthdose[],4,FALSE)</f>
        <v>0.99</v>
      </c>
      <c r="I148">
        <f>VLOOKUP(all_lmics[[Setting]:[Setting]],fullvax[],4,FALSE)</f>
        <v>0.98</v>
      </c>
      <c r="J148">
        <f>IFERROR(VLOOKUP(all_lmics[[Setting]:[Setting]],prev[],3,FALSE),0)</f>
        <v>2.9399999999999999E-2</v>
      </c>
      <c r="K148">
        <f>IFERROR(VLOOKUP(all_lmics[[Setting]:[Setting]],prev[],4,FALSE),0)</f>
        <v>4.1000000000000003E-3</v>
      </c>
      <c r="L148">
        <f>IFERROR(VLOOKUP(all_lmics[[Setting]:[Setting]],prev[],5,FALSE),0)</f>
        <v>0.18140000000000001</v>
      </c>
      <c r="M148">
        <f>IFERROR(VLOOKUP(all_lmics[[Setting]:[Setting]],prev[],7,FALSE),0)</f>
        <v>7.7551020408163265E-2</v>
      </c>
      <c r="N148">
        <f>IFERROR(VLOOKUP(all_lmics[[Setting]:[Setting]],prev[],6,FALSE),0)</f>
        <v>20470</v>
      </c>
      <c r="O148">
        <f>IFERROR(VLOOKUP(all_lmics[[Setting]:[Setting]],SBA[],4,FALSE),0)</f>
        <v>0.9998999999999999</v>
      </c>
      <c r="P148">
        <f>IFERROR(VLOOKUP(all_lmics[[Setting]:[Setting]], facility[], 3,FALSE),0)</f>
        <v>0.9998999999999999</v>
      </c>
      <c r="Q148">
        <f>IFERROR(VLOOKUP(all_lmics[[Setting]:[Setting]],all_cause_mort[],4,FALSE),0)</f>
        <v>0</v>
      </c>
      <c r="R148">
        <f>IFERROR(VLOOKUP(all_lmics[[Setting]:[Setting]],all_cause_mort[],5,FALSE),0)</f>
        <v>0</v>
      </c>
      <c r="S148">
        <f>IFERROR(VLOOKUP(all_lmics[[Setting]:[Setting]],all_cause_mort[],6,FALSE),0)</f>
        <v>0</v>
      </c>
      <c r="T148">
        <f>IFERROR(VLOOKUP(all_lmics[[Setting]:[Setting]],all_cause_mort[],7,FALSE),0)</f>
        <v>0</v>
      </c>
      <c r="U148">
        <f>IFERROR(VLOOKUP(all_lmics[[Setting]:[Setting]],all_cause_mort[],8,FALSE),0)</f>
        <v>0</v>
      </c>
      <c r="V148">
        <f>IFERROR(VLOOKUP(all_lmics[[Setting]:[Setting]],all_cause_mort[],9,FALSE),0)</f>
        <v>0</v>
      </c>
      <c r="W148">
        <f>IFERROR(VLOOKUP(all_lmics[[Setting]:[Setting]],all_cause_mort[],10,FALSE),0)</f>
        <v>0</v>
      </c>
      <c r="X148">
        <f>IFERROR(VLOOKUP(all_lmics[[Setting]:[Setting]],all_cause_mort[],11,FALSE),0)</f>
        <v>0</v>
      </c>
      <c r="Y148">
        <f>IFERROR(VLOOKUP(all_lmics[[Setting]:[Setting]],all_cause_mort[],12,FALSE),0)</f>
        <v>0</v>
      </c>
      <c r="Z148">
        <f>IFERROR(VLOOKUP(all_lmics[[Setting]:[Setting]],all_cause_mort[],13,FALSE),0)</f>
        <v>0</v>
      </c>
      <c r="AA148">
        <f>IFERROR(VLOOKUP(all_lmics[[Setting]:[Setting]],all_cause_mort[],14,FALSE),0)</f>
        <v>0</v>
      </c>
      <c r="AB148">
        <f>IFERROR(VLOOKUP(all_lmics[[Setting]:[Setting]],all_cause_mort[],15,FALSE),0)</f>
        <v>0</v>
      </c>
      <c r="AC148">
        <f>IFERROR(VLOOKUP(all_lmics[[Setting]:[Setting]],all_cause_mort[],16,FALSE),0)</f>
        <v>0</v>
      </c>
      <c r="AD148">
        <f>IFERROR(VLOOKUP(all_lmics[[Setting]:[Setting]],all_cause_mort[],17,FALSE),0)</f>
        <v>0</v>
      </c>
      <c r="AE148">
        <f>IFERROR(VLOOKUP(all_lmics[[Setting]:[Setting]],all_cause_mort[],18,FALSE),0)</f>
        <v>0</v>
      </c>
      <c r="AF148">
        <f>IFERROR(VLOOKUP(all_lmics[[Setting]:[Setting]],all_cause_mort[],19,FALSE),0)</f>
        <v>0</v>
      </c>
      <c r="AG148">
        <f>IFERROR(VLOOKUP(all_lmics[[Setting]:[Setting]],all_cause_mort[],20,FALSE),0)</f>
        <v>0</v>
      </c>
      <c r="AH148">
        <f>IFERROR(VLOOKUP(all_lmics[[Setting]:[Setting]],all_cause_mort[],21,FALSE),0)</f>
        <v>0</v>
      </c>
      <c r="AI148">
        <f>IFERROR(VLOOKUP(all_lmics[[Setting]:[Setting]],all_cause_mort[],22,FALSE),0)</f>
        <v>0</v>
      </c>
      <c r="AJ148">
        <f>IFERROR(VLOOKUP(all_lmics[[Setting]:[Setting]],all_cause_mort[],23,FALSE),0)</f>
        <v>0</v>
      </c>
      <c r="AK148">
        <f>IFERROR(VLOOKUP(all_lmics[[Setting]:[Setting]],all_cause_mort[],24,FALSE),0)</f>
        <v>0</v>
      </c>
      <c r="AL148">
        <f>IFERROR(VLOOKUP(all_lmics[[Setting]:[Setting]],all_cause_mort[],25,FALSE),0)</f>
        <v>0</v>
      </c>
      <c r="AM148">
        <f>VLOOKUP(all_lmics[[worldbank_region]:[worldbank_region]],Table13[],2,FALSE)</f>
        <v>73.064384999999987</v>
      </c>
      <c r="AN148">
        <f>VLOOKUP(all_lmics[[worldbank_region]:[worldbank_region]],Table13[],3,FALSE)</f>
        <v>73.064384999999987</v>
      </c>
      <c r="AO148">
        <f>VLOOKUP(all_lmics[[worldbank_region]:[worldbank_region]],Table13[],4,FALSE)</f>
        <v>120.79324499999998</v>
      </c>
      <c r="AP148">
        <f>VLOOKUP(all_lmics[[worldbank_region]:[worldbank_region]],Table13[],5,FALSE)</f>
        <v>120.79324499999998</v>
      </c>
      <c r="AQ148">
        <f>VLOOKUP(all_lmics[[worldbank_region]:[worldbank_region]],Table13[],6,FALSE)</f>
        <v>120.79324499999998</v>
      </c>
      <c r="AR148">
        <f>VLOOKUP(all_lmics[[worldbank_region]:[worldbank_region]],Table14[],2,FALSE)</f>
        <v>1.34029</v>
      </c>
      <c r="AS148">
        <f>VLOOKUP(all_lmics[[worldbank_region]:[worldbank_region]],Table14[],3,FALSE)</f>
        <v>1.9577900000000001</v>
      </c>
      <c r="AT148">
        <f>VLOOKUP(all_lmics[[worldbank_region]:[worldbank_region]],Table14[],4,FALSE)</f>
        <v>1.9723159999999997</v>
      </c>
      <c r="AU148">
        <f>VLOOKUP(all_lmics[[worldbank_region]:[worldbank_region]],Table14[],5,FALSE)</f>
        <v>2.5898159999999999</v>
      </c>
      <c r="AV148">
        <f>VLOOKUP(all_lmics[[worldbank_region]:[worldbank_region]],Table14[],6,FALSE)</f>
        <v>3.1600679999999999</v>
      </c>
      <c r="AW148">
        <f>IFERROR(VLOOKUP(all_lmics[[Setting]:[Setting]],nFacSBA[],4,FALSE),0)</f>
        <v>0</v>
      </c>
      <c r="AX148">
        <f>VLOOKUP(all_lmics[[worldbank_region]:[worldbank_region]],hbe[],2)</f>
        <v>0.3</v>
      </c>
      <c r="AY148">
        <f>VLOOKUP(all_lmics[[worldbank_region]:[worldbank_region]],hbe[],5)</f>
        <v>0.875</v>
      </c>
      <c r="AZ148">
        <f>VLOOKUP(all_lmics[[worldbank_region]:[worldbank_region]],hbe[],8)</f>
        <v>0.15</v>
      </c>
    </row>
    <row r="149" spans="1:52" x14ac:dyDescent="0.35">
      <c r="A149" s="12" t="s">
        <v>162</v>
      </c>
      <c r="B149" s="13" t="s">
        <v>57</v>
      </c>
      <c r="C149" s="46" t="s">
        <v>27</v>
      </c>
      <c r="D149" s="14" t="s">
        <v>58</v>
      </c>
      <c r="E149">
        <f>VLOOKUP(all_lmics[[Setting]:[Setting]],populations[],9,FALSE)</f>
        <v>8251162</v>
      </c>
      <c r="F149">
        <f>VLOOKUP(all_lmics[[Setting]:[Setting]],birthrate[],3,FALSE)</f>
        <v>2.7606000000000002E-2</v>
      </c>
      <c r="G149">
        <f>all_lmics[[#This Row],[2017_population]]*all_lmics[[#This Row],[2016_birthrate]]</f>
        <v>227781.57817200001</v>
      </c>
      <c r="H149">
        <f>VLOOKUP(all_lmics[[Setting]:[Setting]],birthdose[],4,FALSE)</f>
        <v>0.33</v>
      </c>
      <c r="I149">
        <f>VLOOKUP(all_lmics[[Setting]:[Setting]],fullvax[],4,FALSE)</f>
        <v>0.56000000000000005</v>
      </c>
      <c r="J149">
        <f>IFERROR(VLOOKUP(all_lmics[[Setting]:[Setting]],prev[],3,FALSE),0)</f>
        <v>6.6000000000000003E-2</v>
      </c>
      <c r="K149">
        <f>IFERROR(VLOOKUP(all_lmics[[Setting]:[Setting]],prev[],4,FALSE),0)</f>
        <v>0.06</v>
      </c>
      <c r="L149">
        <f>IFERROR(VLOOKUP(all_lmics[[Setting]:[Setting]],prev[],5,FALSE),0)</f>
        <v>7.6999999999999999E-2</v>
      </c>
      <c r="M149">
        <f>IFERROR(VLOOKUP(all_lmics[[Setting]:[Setting]],prev[],7,FALSE),0)</f>
        <v>5.6122448979591816E-3</v>
      </c>
      <c r="N149">
        <f>IFERROR(VLOOKUP(all_lmics[[Setting]:[Setting]],prev[],6,FALSE),0)</f>
        <v>8251162</v>
      </c>
      <c r="O149">
        <f>IFERROR(VLOOKUP(all_lmics[[Setting]:[Setting]],SBA[],4,FALSE),0)</f>
        <v>0.4</v>
      </c>
      <c r="P149">
        <f>IFERROR(VLOOKUP(all_lmics[[Setting]:[Setting]], facility[], 3,FALSE),0)</f>
        <v>0.43</v>
      </c>
      <c r="Q149">
        <f>IFERROR(VLOOKUP(all_lmics[[Setting]:[Setting]],all_cause_mort[],4,FALSE),0)</f>
        <v>4.3476411E-2</v>
      </c>
      <c r="R149">
        <f>IFERROR(VLOOKUP(all_lmics[[Setting]:[Setting]],all_cause_mort[],5,FALSE),0)</f>
        <v>2.9079266000000001E-3</v>
      </c>
      <c r="S149">
        <f>IFERROR(VLOOKUP(all_lmics[[Setting]:[Setting]],all_cause_mort[],6,FALSE),0)</f>
        <v>1.1746701000000001E-3</v>
      </c>
      <c r="T149">
        <f>IFERROR(VLOOKUP(all_lmics[[Setting]:[Setting]],all_cause_mort[],7,FALSE),0)</f>
        <v>9.2688373999999995E-4</v>
      </c>
      <c r="U149">
        <f>IFERROR(VLOOKUP(all_lmics[[Setting]:[Setting]],all_cause_mort[],8,FALSE),0)</f>
        <v>1.6822899999999999E-3</v>
      </c>
      <c r="V149">
        <f>IFERROR(VLOOKUP(all_lmics[[Setting]:[Setting]],all_cause_mort[],9,FALSE),0)</f>
        <v>2.2730177999999998E-3</v>
      </c>
      <c r="W149">
        <f>IFERROR(VLOOKUP(all_lmics[[Setting]:[Setting]],all_cause_mort[],10,FALSE),0)</f>
        <v>2.4715621000000001E-3</v>
      </c>
      <c r="X149">
        <f>IFERROR(VLOOKUP(all_lmics[[Setting]:[Setting]],all_cause_mort[],11,FALSE),0)</f>
        <v>2.8759676999999999E-3</v>
      </c>
      <c r="Y149">
        <f>IFERROR(VLOOKUP(all_lmics[[Setting]:[Setting]],all_cause_mort[],12,FALSE),0)</f>
        <v>3.6746067000000002E-3</v>
      </c>
      <c r="Z149">
        <f>IFERROR(VLOOKUP(all_lmics[[Setting]:[Setting]],all_cause_mort[],13,FALSE),0)</f>
        <v>4.9171900999999997E-3</v>
      </c>
      <c r="AA149">
        <f>IFERROR(VLOOKUP(all_lmics[[Setting]:[Setting]],all_cause_mort[],14,FALSE),0)</f>
        <v>6.9776673000000004E-3</v>
      </c>
      <c r="AB149">
        <f>IFERROR(VLOOKUP(all_lmics[[Setting]:[Setting]],all_cause_mort[],15,FALSE),0)</f>
        <v>1.0231395000000001E-2</v>
      </c>
      <c r="AC149">
        <f>IFERROR(VLOOKUP(all_lmics[[Setting]:[Setting]],all_cause_mort[],16,FALSE),0)</f>
        <v>1.5188722999999999E-2</v>
      </c>
      <c r="AD149">
        <f>IFERROR(VLOOKUP(all_lmics[[Setting]:[Setting]],all_cause_mort[],17,FALSE),0)</f>
        <v>2.573133E-2</v>
      </c>
      <c r="AE149">
        <f>IFERROR(VLOOKUP(all_lmics[[Setting]:[Setting]],all_cause_mort[],18,FALSE),0)</f>
        <v>4.4059527000000001E-2</v>
      </c>
      <c r="AF149">
        <f>IFERROR(VLOOKUP(all_lmics[[Setting]:[Setting]],all_cause_mort[],19,FALSE),0)</f>
        <v>7.3067984000000002E-2</v>
      </c>
      <c r="AG149">
        <f>IFERROR(VLOOKUP(all_lmics[[Setting]:[Setting]],all_cause_mort[],20,FALSE),0)</f>
        <v>0.11621322000000001</v>
      </c>
      <c r="AH149">
        <f>IFERROR(VLOOKUP(all_lmics[[Setting]:[Setting]],all_cause_mort[],21,FALSE),0)</f>
        <v>0.18128772000000001</v>
      </c>
      <c r="AI149">
        <f>IFERROR(VLOOKUP(all_lmics[[Setting]:[Setting]],all_cause_mort[],22,FALSE),0)</f>
        <v>0.27647423999999998</v>
      </c>
      <c r="AJ149">
        <f>IFERROR(VLOOKUP(all_lmics[[Setting]:[Setting]],all_cause_mort[],23,FALSE),0)</f>
        <v>0.39408220999999999</v>
      </c>
      <c r="AK149">
        <f>IFERROR(VLOOKUP(all_lmics[[Setting]:[Setting]],all_cause_mort[],24,FALSE),0)</f>
        <v>0.53360748999999996</v>
      </c>
      <c r="AL149">
        <f>IFERROR(VLOOKUP(all_lmics[[Setting]:[Setting]],all_cause_mort[],25,FALSE),0)</f>
        <v>0.69123285180900795</v>
      </c>
      <c r="AM149">
        <f>VLOOKUP(all_lmics[[worldbank_region]:[worldbank_region]],Table13[],2,FALSE)</f>
        <v>73.064384999999987</v>
      </c>
      <c r="AN149">
        <f>VLOOKUP(all_lmics[[worldbank_region]:[worldbank_region]],Table13[],3,FALSE)</f>
        <v>73.064384999999987</v>
      </c>
      <c r="AO149">
        <f>VLOOKUP(all_lmics[[worldbank_region]:[worldbank_region]],Table13[],4,FALSE)</f>
        <v>120.79324499999998</v>
      </c>
      <c r="AP149">
        <f>VLOOKUP(all_lmics[[worldbank_region]:[worldbank_region]],Table13[],5,FALSE)</f>
        <v>120.79324499999998</v>
      </c>
      <c r="AQ149">
        <f>VLOOKUP(all_lmics[[worldbank_region]:[worldbank_region]],Table13[],6,FALSE)</f>
        <v>120.79324499999998</v>
      </c>
      <c r="AR149">
        <f>VLOOKUP(all_lmics[[worldbank_region]:[worldbank_region]],Table14[],2,FALSE)</f>
        <v>1.34029</v>
      </c>
      <c r="AS149">
        <f>VLOOKUP(all_lmics[[worldbank_region]:[worldbank_region]],Table14[],3,FALSE)</f>
        <v>1.9577900000000001</v>
      </c>
      <c r="AT149">
        <f>VLOOKUP(all_lmics[[worldbank_region]:[worldbank_region]],Table14[],4,FALSE)</f>
        <v>1.9723159999999997</v>
      </c>
      <c r="AU149">
        <f>VLOOKUP(all_lmics[[worldbank_region]:[worldbank_region]],Table14[],5,FALSE)</f>
        <v>2.5898159999999999</v>
      </c>
      <c r="AV149">
        <f>VLOOKUP(all_lmics[[worldbank_region]:[worldbank_region]],Table14[],6,FALSE)</f>
        <v>3.1600679999999999</v>
      </c>
      <c r="AW149">
        <f>IFERROR(VLOOKUP(all_lmics[[Setting]:[Setting]],nFacSBA[],4,FALSE),0)</f>
        <v>0</v>
      </c>
      <c r="AX149">
        <f>VLOOKUP(all_lmics[[worldbank_region]:[worldbank_region]],hbe[],2)</f>
        <v>0.3</v>
      </c>
      <c r="AY149">
        <f>VLOOKUP(all_lmics[[worldbank_region]:[worldbank_region]],hbe[],5)</f>
        <v>0.875</v>
      </c>
      <c r="AZ149">
        <f>VLOOKUP(all_lmics[[worldbank_region]:[worldbank_region]],hbe[],8)</f>
        <v>0.15</v>
      </c>
    </row>
    <row r="150" spans="1:52" x14ac:dyDescent="0.35">
      <c r="A150" s="8" t="s">
        <v>165</v>
      </c>
      <c r="B150" s="10" t="s">
        <v>57</v>
      </c>
      <c r="C150" s="45" t="s">
        <v>27</v>
      </c>
      <c r="D150" s="11" t="s">
        <v>58</v>
      </c>
      <c r="E150">
        <f>VLOOKUP(all_lmics[[Setting]:[Setting]],populations[],9,FALSE)</f>
        <v>104918090</v>
      </c>
      <c r="F150">
        <f>VLOOKUP(all_lmics[[Setting]:[Setting]],birthrate[],3,FALSE)</f>
        <v>2.3210000000000001E-2</v>
      </c>
      <c r="G150">
        <f>all_lmics[[#This Row],[2017_population]]*all_lmics[[#This Row],[2016_birthrate]]</f>
        <v>2435148.8689000001</v>
      </c>
      <c r="H150">
        <f>VLOOKUP(all_lmics[[Setting]:[Setting]],birthdose[],4,FALSE)</f>
        <v>0.67</v>
      </c>
      <c r="I150">
        <f>VLOOKUP(all_lmics[[Setting]:[Setting]],fullvax[],4,FALSE)</f>
        <v>0.88</v>
      </c>
      <c r="J150">
        <f>IFERROR(VLOOKUP(all_lmics[[Setting]:[Setting]],prev[],3,FALSE),0)</f>
        <v>9.8000000000000004E-2</v>
      </c>
      <c r="K150">
        <f>IFERROR(VLOOKUP(all_lmics[[Setting]:[Setting]],prev[],4,FALSE),0)</f>
        <v>8.7999999999999995E-2</v>
      </c>
      <c r="L150">
        <f>IFERROR(VLOOKUP(all_lmics[[Setting]:[Setting]],prev[],5,FALSE),0)</f>
        <v>0.109</v>
      </c>
      <c r="M150">
        <f>IFERROR(VLOOKUP(all_lmics[[Setting]:[Setting]],prev[],7,FALSE),0)</f>
        <v>5.6122448979591816E-3</v>
      </c>
      <c r="N150">
        <f>IFERROR(VLOOKUP(all_lmics[[Setting]:[Setting]],prev[],6,FALSE),0)</f>
        <v>104918090</v>
      </c>
      <c r="O150">
        <f>IFERROR(VLOOKUP(all_lmics[[Setting]:[Setting]],SBA[],4,FALSE),0)</f>
        <v>0.72799999999999998</v>
      </c>
      <c r="P150">
        <f>IFERROR(VLOOKUP(all_lmics[[Setting]:[Setting]], facility[], 3,FALSE),0)</f>
        <v>0.61099999999999999</v>
      </c>
      <c r="Q150">
        <f>IFERROR(VLOOKUP(all_lmics[[Setting]:[Setting]],all_cause_mort[],4,FALSE),0)</f>
        <v>2.0008061000000001E-2</v>
      </c>
      <c r="R150">
        <f>IFERROR(VLOOKUP(all_lmics[[Setting]:[Setting]],all_cause_mort[],5,FALSE),0)</f>
        <v>2.0546607000000001E-3</v>
      </c>
      <c r="S150">
        <f>IFERROR(VLOOKUP(all_lmics[[Setting]:[Setting]],all_cause_mort[],6,FALSE),0)</f>
        <v>6.1392798999999995E-4</v>
      </c>
      <c r="T150">
        <f>IFERROR(VLOOKUP(all_lmics[[Setting]:[Setting]],all_cause_mort[],7,FALSE),0)</f>
        <v>5.3274137999999999E-4</v>
      </c>
      <c r="U150">
        <f>IFERROR(VLOOKUP(all_lmics[[Setting]:[Setting]],all_cause_mort[],8,FALSE),0)</f>
        <v>1.1410983E-3</v>
      </c>
      <c r="V150">
        <f>IFERROR(VLOOKUP(all_lmics[[Setting]:[Setting]],all_cause_mort[],9,FALSE),0)</f>
        <v>1.598159E-3</v>
      </c>
      <c r="W150">
        <f>IFERROR(VLOOKUP(all_lmics[[Setting]:[Setting]],all_cause_mort[],10,FALSE),0)</f>
        <v>1.747333E-3</v>
      </c>
      <c r="X150">
        <f>IFERROR(VLOOKUP(all_lmics[[Setting]:[Setting]],all_cause_mort[],11,FALSE),0)</f>
        <v>2.0867637E-3</v>
      </c>
      <c r="Y150">
        <f>IFERROR(VLOOKUP(all_lmics[[Setting]:[Setting]],all_cause_mort[],12,FALSE),0)</f>
        <v>2.7738117E-3</v>
      </c>
      <c r="Z150">
        <f>IFERROR(VLOOKUP(all_lmics[[Setting]:[Setting]],all_cause_mort[],13,FALSE),0)</f>
        <v>3.9041178000000002E-3</v>
      </c>
      <c r="AA150">
        <f>IFERROR(VLOOKUP(all_lmics[[Setting]:[Setting]],all_cause_mort[],14,FALSE),0)</f>
        <v>5.8097141999999997E-3</v>
      </c>
      <c r="AB150">
        <f>IFERROR(VLOOKUP(all_lmics[[Setting]:[Setting]],all_cause_mort[],15,FALSE),0)</f>
        <v>8.7515739000000002E-3</v>
      </c>
      <c r="AC150">
        <f>IFERROR(VLOOKUP(all_lmics[[Setting]:[Setting]],all_cause_mort[],16,FALSE),0)</f>
        <v>1.3195676999999999E-2</v>
      </c>
      <c r="AD150">
        <f>IFERROR(VLOOKUP(all_lmics[[Setting]:[Setting]],all_cause_mort[],17,FALSE),0)</f>
        <v>1.8202122000000001E-2</v>
      </c>
      <c r="AE150">
        <f>IFERROR(VLOOKUP(all_lmics[[Setting]:[Setting]],all_cause_mort[],18,FALSE),0)</f>
        <v>2.4944500000000001E-2</v>
      </c>
      <c r="AF150">
        <f>IFERROR(VLOOKUP(all_lmics[[Setting]:[Setting]],all_cause_mort[],19,FALSE),0)</f>
        <v>3.6728228000000002E-2</v>
      </c>
      <c r="AG150">
        <f>IFERROR(VLOOKUP(all_lmics[[Setting]:[Setting]],all_cause_mort[],20,FALSE),0)</f>
        <v>5.9166007E-2</v>
      </c>
      <c r="AH150">
        <f>IFERROR(VLOOKUP(all_lmics[[Setting]:[Setting]],all_cause_mort[],21,FALSE),0)</f>
        <v>9.3905343000000002E-2</v>
      </c>
      <c r="AI150">
        <f>IFERROR(VLOOKUP(all_lmics[[Setting]:[Setting]],all_cause_mort[],22,FALSE),0)</f>
        <v>0.14436562999999999</v>
      </c>
      <c r="AJ150">
        <f>IFERROR(VLOOKUP(all_lmics[[Setting]:[Setting]],all_cause_mort[],23,FALSE),0)</f>
        <v>0.20891223</v>
      </c>
      <c r="AK150">
        <f>IFERROR(VLOOKUP(all_lmics[[Setting]:[Setting]],all_cause_mort[],24,FALSE),0)</f>
        <v>0.29338666000000002</v>
      </c>
      <c r="AL150">
        <f>IFERROR(VLOOKUP(all_lmics[[Setting]:[Setting]],all_cause_mort[],25,FALSE),0)</f>
        <v>0.39832271086328003</v>
      </c>
      <c r="AM150">
        <f>VLOOKUP(all_lmics[[worldbank_region]:[worldbank_region]],Table13[],2,FALSE)</f>
        <v>73.064384999999987</v>
      </c>
      <c r="AN150">
        <f>VLOOKUP(all_lmics[[worldbank_region]:[worldbank_region]],Table13[],3,FALSE)</f>
        <v>73.064384999999987</v>
      </c>
      <c r="AO150">
        <f>VLOOKUP(all_lmics[[worldbank_region]:[worldbank_region]],Table13[],4,FALSE)</f>
        <v>120.79324499999998</v>
      </c>
      <c r="AP150">
        <f>VLOOKUP(all_lmics[[worldbank_region]:[worldbank_region]],Table13[],5,FALSE)</f>
        <v>120.79324499999998</v>
      </c>
      <c r="AQ150">
        <f>VLOOKUP(all_lmics[[worldbank_region]:[worldbank_region]],Table13[],6,FALSE)</f>
        <v>120.79324499999998</v>
      </c>
      <c r="AR150">
        <f>VLOOKUP(all_lmics[[worldbank_region]:[worldbank_region]],Table14[],2,FALSE)</f>
        <v>1.34029</v>
      </c>
      <c r="AS150">
        <f>VLOOKUP(all_lmics[[worldbank_region]:[worldbank_region]],Table14[],3,FALSE)</f>
        <v>1.9577900000000001</v>
      </c>
      <c r="AT150">
        <f>VLOOKUP(all_lmics[[worldbank_region]:[worldbank_region]],Table14[],4,FALSE)</f>
        <v>1.9723159999999997</v>
      </c>
      <c r="AU150">
        <f>VLOOKUP(all_lmics[[worldbank_region]:[worldbank_region]],Table14[],5,FALSE)</f>
        <v>2.5898159999999999</v>
      </c>
      <c r="AV150">
        <f>VLOOKUP(all_lmics[[worldbank_region]:[worldbank_region]],Table14[],6,FALSE)</f>
        <v>3.1600679999999999</v>
      </c>
      <c r="AW150">
        <f>IFERROR(VLOOKUP(all_lmics[[Setting]:[Setting]],nFacSBA[],4,FALSE),0)</f>
        <v>0</v>
      </c>
      <c r="AX150">
        <f>VLOOKUP(all_lmics[[worldbank_region]:[worldbank_region]],hbe[],2)</f>
        <v>0.3</v>
      </c>
      <c r="AY150">
        <f>VLOOKUP(all_lmics[[worldbank_region]:[worldbank_region]],hbe[],5)</f>
        <v>0.875</v>
      </c>
      <c r="AZ150">
        <f>VLOOKUP(all_lmics[[worldbank_region]:[worldbank_region]],hbe[],8)</f>
        <v>0.15</v>
      </c>
    </row>
    <row r="151" spans="1:52" x14ac:dyDescent="0.35">
      <c r="A151" s="8" t="s">
        <v>169</v>
      </c>
      <c r="B151" s="10" t="s">
        <v>57</v>
      </c>
      <c r="C151" s="45" t="s">
        <v>27</v>
      </c>
      <c r="D151" s="11" t="s">
        <v>58</v>
      </c>
      <c r="E151">
        <f>VLOOKUP(all_lmics[[Setting]:[Setting]],populations[],9,FALSE)</f>
        <v>51466201</v>
      </c>
      <c r="F151">
        <f>VLOOKUP(all_lmics[[Setting]:[Setting]],birthrate[],3,FALSE)</f>
        <v>7.9000000000000008E-3</v>
      </c>
      <c r="G151">
        <f>all_lmics[[#This Row],[2017_population]]*all_lmics[[#This Row],[2016_birthrate]]</f>
        <v>406582.98790000007</v>
      </c>
      <c r="H151">
        <f>VLOOKUP(all_lmics[[Setting]:[Setting]],birthdose[],4,FALSE)</f>
        <v>0.92</v>
      </c>
      <c r="I151">
        <f>VLOOKUP(all_lmics[[Setting]:[Setting]],fullvax[],4,FALSE)</f>
        <v>0.98</v>
      </c>
      <c r="J151">
        <f>IFERROR(VLOOKUP(all_lmics[[Setting]:[Setting]],prev[],3,FALSE),0)</f>
        <v>2.4E-2</v>
      </c>
      <c r="K151">
        <f>IFERROR(VLOOKUP(all_lmics[[Setting]:[Setting]],prev[],4,FALSE),0)</f>
        <v>2.3E-2</v>
      </c>
      <c r="L151">
        <f>IFERROR(VLOOKUP(all_lmics[[Setting]:[Setting]],prev[],5,FALSE),0)</f>
        <v>0.03</v>
      </c>
      <c r="M151">
        <f>IFERROR(VLOOKUP(all_lmics[[Setting]:[Setting]],prev[],7,FALSE),0)</f>
        <v>3.0612244897959178E-3</v>
      </c>
      <c r="N151">
        <f>IFERROR(VLOOKUP(all_lmics[[Setting]:[Setting]],prev[],6,FALSE),0)</f>
        <v>51466201</v>
      </c>
      <c r="O151">
        <f>IFERROR(VLOOKUP(all_lmics[[Setting]:[Setting]],SBA[],4,FALSE),0)</f>
        <v>0.9998999999999999</v>
      </c>
      <c r="P151">
        <f>IFERROR(VLOOKUP(all_lmics[[Setting]:[Setting]], facility[], 3,FALSE),0)</f>
        <v>0.9998999999999999</v>
      </c>
      <c r="Q151">
        <f>IFERROR(VLOOKUP(all_lmics[[Setting]:[Setting]],all_cause_mort[],4,FALSE),0)</f>
        <v>2.1108488000000001E-3</v>
      </c>
      <c r="R151">
        <f>IFERROR(VLOOKUP(all_lmics[[Setting]:[Setting]],all_cause_mort[],5,FALSE),0)</f>
        <v>1.2721904999999999E-4</v>
      </c>
      <c r="S151">
        <f>IFERROR(VLOOKUP(all_lmics[[Setting]:[Setting]],all_cause_mort[],6,FALSE),0)</f>
        <v>7.0104950000000004E-5</v>
      </c>
      <c r="T151">
        <f>IFERROR(VLOOKUP(all_lmics[[Setting]:[Setting]],all_cause_mort[],7,FALSE),0)</f>
        <v>7.6186736000000005E-5</v>
      </c>
      <c r="U151">
        <f>IFERROR(VLOOKUP(all_lmics[[Setting]:[Setting]],all_cause_mort[],8,FALSE),0)</f>
        <v>1.942987E-4</v>
      </c>
      <c r="V151">
        <f>IFERROR(VLOOKUP(all_lmics[[Setting]:[Setting]],all_cause_mort[],9,FALSE),0)</f>
        <v>2.9824696999999998E-4</v>
      </c>
      <c r="W151">
        <f>IFERROR(VLOOKUP(all_lmics[[Setting]:[Setting]],all_cause_mort[],10,FALSE),0)</f>
        <v>4.1832342999999998E-4</v>
      </c>
      <c r="X151">
        <f>IFERROR(VLOOKUP(all_lmics[[Setting]:[Setting]],all_cause_mort[],11,FALSE),0)</f>
        <v>5.5543884000000001E-4</v>
      </c>
      <c r="Y151">
        <f>IFERROR(VLOOKUP(all_lmics[[Setting]:[Setting]],all_cause_mort[],12,FALSE),0)</f>
        <v>7.4561245999999999E-4</v>
      </c>
      <c r="Z151">
        <f>IFERROR(VLOOKUP(all_lmics[[Setting]:[Setting]],all_cause_mort[],13,FALSE),0)</f>
        <v>1.1482713000000001E-3</v>
      </c>
      <c r="AA151">
        <f>IFERROR(VLOOKUP(all_lmics[[Setting]:[Setting]],all_cause_mort[],14,FALSE),0)</f>
        <v>1.8248663E-3</v>
      </c>
      <c r="AB151">
        <f>IFERROR(VLOOKUP(all_lmics[[Setting]:[Setting]],all_cause_mort[],15,FALSE),0)</f>
        <v>2.7369803000000001E-3</v>
      </c>
      <c r="AC151">
        <f>IFERROR(VLOOKUP(all_lmics[[Setting]:[Setting]],all_cause_mort[],16,FALSE),0)</f>
        <v>3.8686596999999998E-3</v>
      </c>
      <c r="AD151">
        <f>IFERROR(VLOOKUP(all_lmics[[Setting]:[Setting]],all_cause_mort[],17,FALSE),0)</f>
        <v>5.6378089999999997E-3</v>
      </c>
      <c r="AE151">
        <f>IFERROR(VLOOKUP(all_lmics[[Setting]:[Setting]],all_cause_mort[],18,FALSE),0)</f>
        <v>8.8808813000000007E-3</v>
      </c>
      <c r="AF151">
        <f>IFERROR(VLOOKUP(all_lmics[[Setting]:[Setting]],all_cause_mort[],19,FALSE),0)</f>
        <v>1.6377685999999999E-2</v>
      </c>
      <c r="AG151">
        <f>IFERROR(VLOOKUP(all_lmics[[Setting]:[Setting]],all_cause_mort[],20,FALSE),0)</f>
        <v>3.0525514E-2</v>
      </c>
      <c r="AH151">
        <f>IFERROR(VLOOKUP(all_lmics[[Setting]:[Setting]],all_cause_mort[],21,FALSE),0)</f>
        <v>5.7129930000000002E-2</v>
      </c>
      <c r="AI151">
        <f>IFERROR(VLOOKUP(all_lmics[[Setting]:[Setting]],all_cause_mort[],22,FALSE),0)</f>
        <v>0.10283521</v>
      </c>
      <c r="AJ151">
        <f>IFERROR(VLOOKUP(all_lmics[[Setting]:[Setting]],all_cause_mort[],23,FALSE),0)</f>
        <v>0.17527654000000001</v>
      </c>
      <c r="AK151">
        <f>IFERROR(VLOOKUP(all_lmics[[Setting]:[Setting]],all_cause_mort[],24,FALSE),0)</f>
        <v>0.27737387000000002</v>
      </c>
      <c r="AL151">
        <f>IFERROR(VLOOKUP(all_lmics[[Setting]:[Setting]],all_cause_mort[],25,FALSE),0)</f>
        <v>0.42712427052513702</v>
      </c>
      <c r="AM151">
        <f>VLOOKUP(all_lmics[[worldbank_region]:[worldbank_region]],Table13[],2,FALSE)</f>
        <v>73.064384999999987</v>
      </c>
      <c r="AN151">
        <f>VLOOKUP(all_lmics[[worldbank_region]:[worldbank_region]],Table13[],3,FALSE)</f>
        <v>73.064384999999987</v>
      </c>
      <c r="AO151">
        <f>VLOOKUP(all_lmics[[worldbank_region]:[worldbank_region]],Table13[],4,FALSE)</f>
        <v>120.79324499999998</v>
      </c>
      <c r="AP151">
        <f>VLOOKUP(all_lmics[[worldbank_region]:[worldbank_region]],Table13[],5,FALSE)</f>
        <v>120.79324499999998</v>
      </c>
      <c r="AQ151">
        <f>VLOOKUP(all_lmics[[worldbank_region]:[worldbank_region]],Table13[],6,FALSE)</f>
        <v>120.79324499999998</v>
      </c>
      <c r="AR151">
        <f>VLOOKUP(all_lmics[[worldbank_region]:[worldbank_region]],Table14[],2,FALSE)</f>
        <v>1.34029</v>
      </c>
      <c r="AS151">
        <f>VLOOKUP(all_lmics[[worldbank_region]:[worldbank_region]],Table14[],3,FALSE)</f>
        <v>1.9577900000000001</v>
      </c>
      <c r="AT151">
        <f>VLOOKUP(all_lmics[[worldbank_region]:[worldbank_region]],Table14[],4,FALSE)</f>
        <v>1.9723159999999997</v>
      </c>
      <c r="AU151">
        <f>VLOOKUP(all_lmics[[worldbank_region]:[worldbank_region]],Table14[],5,FALSE)</f>
        <v>2.5898159999999999</v>
      </c>
      <c r="AV151">
        <f>VLOOKUP(all_lmics[[worldbank_region]:[worldbank_region]],Table14[],6,FALSE)</f>
        <v>3.1600679999999999</v>
      </c>
      <c r="AW151">
        <f>IFERROR(VLOOKUP(all_lmics[[Setting]:[Setting]],nFacSBA[],4,FALSE),0)</f>
        <v>0</v>
      </c>
      <c r="AX151">
        <f>VLOOKUP(all_lmics[[worldbank_region]:[worldbank_region]],hbe[],2)</f>
        <v>0.3</v>
      </c>
      <c r="AY151">
        <f>VLOOKUP(all_lmics[[worldbank_region]:[worldbank_region]],hbe[],5)</f>
        <v>0.875</v>
      </c>
      <c r="AZ151">
        <f>VLOOKUP(all_lmics[[worldbank_region]:[worldbank_region]],hbe[],8)</f>
        <v>0.15</v>
      </c>
    </row>
    <row r="152" spans="1:52" x14ac:dyDescent="0.35">
      <c r="A152" s="8" t="s">
        <v>177</v>
      </c>
      <c r="B152" s="10" t="s">
        <v>57</v>
      </c>
      <c r="C152" s="45" t="s">
        <v>27</v>
      </c>
      <c r="D152" s="11" t="s">
        <v>58</v>
      </c>
      <c r="E152">
        <f>VLOOKUP(all_lmics[[Setting]:[Setting]],populations[],9,FALSE)</f>
        <v>196440</v>
      </c>
      <c r="F152">
        <f>VLOOKUP(all_lmics[[Setting]:[Setting]],birthrate[],3,FALSE)</f>
        <v>2.4688999999999999E-2</v>
      </c>
      <c r="G152">
        <f>all_lmics[[#This Row],[2017_population]]*all_lmics[[#This Row],[2016_birthrate]]</f>
        <v>4849.9071599999997</v>
      </c>
      <c r="H152">
        <f>VLOOKUP(all_lmics[[Setting]:[Setting]],birthdose[],4,FALSE)</f>
        <v>0.81</v>
      </c>
      <c r="I152">
        <f>VLOOKUP(all_lmics[[Setting]:[Setting]],fullvax[],4,FALSE)</f>
        <v>0.73</v>
      </c>
      <c r="J152">
        <f>IFERROR(VLOOKUP(all_lmics[[Setting]:[Setting]],prev[],3,FALSE),0)</f>
        <v>5.5300000000000002E-2</v>
      </c>
      <c r="K152">
        <f>IFERROR(VLOOKUP(all_lmics[[Setting]:[Setting]],prev[],4,FALSE),0)</f>
        <v>3.6700000000000003E-2</v>
      </c>
      <c r="L152">
        <f>IFERROR(VLOOKUP(all_lmics[[Setting]:[Setting]],prev[],5,FALSE),0)</f>
        <v>8.2500000000000004E-2</v>
      </c>
      <c r="M152">
        <f>IFERROR(VLOOKUP(all_lmics[[Setting]:[Setting]],prev[],7,FALSE),0)</f>
        <v>1.3877551020408165E-2</v>
      </c>
      <c r="N152">
        <f>IFERROR(VLOOKUP(all_lmics[[Setting]:[Setting]],prev[],6,FALSE),0)</f>
        <v>186205</v>
      </c>
      <c r="O152">
        <f>IFERROR(VLOOKUP(all_lmics[[Setting]:[Setting]],SBA[],4,FALSE),0)</f>
        <v>0.82499999999999996</v>
      </c>
      <c r="P152">
        <f>IFERROR(VLOOKUP(all_lmics[[Setting]:[Setting]], facility[], 3,FALSE),0)</f>
        <v>0.81900000000000006</v>
      </c>
      <c r="Q152">
        <f>IFERROR(VLOOKUP(all_lmics[[Setting]:[Setting]],all_cause_mort[],4,FALSE),0)</f>
        <v>1.3619459E-2</v>
      </c>
      <c r="R152">
        <f>IFERROR(VLOOKUP(all_lmics[[Setting]:[Setting]],all_cause_mort[],5,FALSE),0)</f>
        <v>6.9369883999999998E-4</v>
      </c>
      <c r="S152">
        <f>IFERROR(VLOOKUP(all_lmics[[Setting]:[Setting]],all_cause_mort[],6,FALSE),0)</f>
        <v>2.7290753999999998E-4</v>
      </c>
      <c r="T152">
        <f>IFERROR(VLOOKUP(all_lmics[[Setting]:[Setting]],all_cause_mort[],7,FALSE),0)</f>
        <v>2.4881863000000002E-4</v>
      </c>
      <c r="U152">
        <f>IFERROR(VLOOKUP(all_lmics[[Setting]:[Setting]],all_cause_mort[],8,FALSE),0)</f>
        <v>5.7707774999999999E-4</v>
      </c>
      <c r="V152">
        <f>IFERROR(VLOOKUP(all_lmics[[Setting]:[Setting]],all_cause_mort[],9,FALSE),0)</f>
        <v>7.5020697999999999E-4</v>
      </c>
      <c r="W152">
        <f>IFERROR(VLOOKUP(all_lmics[[Setting]:[Setting]],all_cause_mort[],10,FALSE),0)</f>
        <v>7.6786260999999996E-4</v>
      </c>
      <c r="X152">
        <f>IFERROR(VLOOKUP(all_lmics[[Setting]:[Setting]],all_cause_mort[],11,FALSE),0)</f>
        <v>9.2014482999999995E-4</v>
      </c>
      <c r="Y152">
        <f>IFERROR(VLOOKUP(all_lmics[[Setting]:[Setting]],all_cause_mort[],12,FALSE),0)</f>
        <v>1.2895789000000001E-3</v>
      </c>
      <c r="Z152">
        <f>IFERROR(VLOOKUP(all_lmics[[Setting]:[Setting]],all_cause_mort[],13,FALSE),0)</f>
        <v>1.9906466000000002E-3</v>
      </c>
      <c r="AA152">
        <f>IFERROR(VLOOKUP(all_lmics[[Setting]:[Setting]],all_cause_mort[],14,FALSE),0)</f>
        <v>3.2896677999999999E-3</v>
      </c>
      <c r="AB152">
        <f>IFERROR(VLOOKUP(all_lmics[[Setting]:[Setting]],all_cause_mort[],15,FALSE),0)</f>
        <v>5.3850284000000002E-3</v>
      </c>
      <c r="AC152">
        <f>IFERROR(VLOOKUP(all_lmics[[Setting]:[Setting]],all_cause_mort[],16,FALSE),0)</f>
        <v>8.7768015000000005E-3</v>
      </c>
      <c r="AD152">
        <f>IFERROR(VLOOKUP(all_lmics[[Setting]:[Setting]],all_cause_mort[],17,FALSE),0)</f>
        <v>1.5764291E-2</v>
      </c>
      <c r="AE152">
        <f>IFERROR(VLOOKUP(all_lmics[[Setting]:[Setting]],all_cause_mort[],18,FALSE),0)</f>
        <v>2.8201343E-2</v>
      </c>
      <c r="AF152">
        <f>IFERROR(VLOOKUP(all_lmics[[Setting]:[Setting]],all_cause_mort[],19,FALSE),0)</f>
        <v>4.8257095E-2</v>
      </c>
      <c r="AG152">
        <f>IFERROR(VLOOKUP(all_lmics[[Setting]:[Setting]],all_cause_mort[],20,FALSE),0)</f>
        <v>8.0932924000000003E-2</v>
      </c>
      <c r="AH152">
        <f>IFERROR(VLOOKUP(all_lmics[[Setting]:[Setting]],all_cause_mort[],21,FALSE),0)</f>
        <v>0.13405503999999999</v>
      </c>
      <c r="AI152">
        <f>IFERROR(VLOOKUP(all_lmics[[Setting]:[Setting]],all_cause_mort[],22,FALSE),0)</f>
        <v>0.21751577</v>
      </c>
      <c r="AJ152">
        <f>IFERROR(VLOOKUP(all_lmics[[Setting]:[Setting]],all_cause_mort[],23,FALSE),0)</f>
        <v>0.33408251</v>
      </c>
      <c r="AK152">
        <f>IFERROR(VLOOKUP(all_lmics[[Setting]:[Setting]],all_cause_mort[],24,FALSE),0)</f>
        <v>0.48425148000000001</v>
      </c>
      <c r="AL152">
        <f>IFERROR(VLOOKUP(all_lmics[[Setting]:[Setting]],all_cause_mort[],25,FALSE),0)</f>
        <v>0.66030855558493895</v>
      </c>
      <c r="AM152">
        <f>VLOOKUP(all_lmics[[worldbank_region]:[worldbank_region]],Table13[],2,FALSE)</f>
        <v>73.064384999999987</v>
      </c>
      <c r="AN152">
        <f>VLOOKUP(all_lmics[[worldbank_region]:[worldbank_region]],Table13[],3,FALSE)</f>
        <v>73.064384999999987</v>
      </c>
      <c r="AO152">
        <f>VLOOKUP(all_lmics[[worldbank_region]:[worldbank_region]],Table13[],4,FALSE)</f>
        <v>120.79324499999998</v>
      </c>
      <c r="AP152">
        <f>VLOOKUP(all_lmics[[worldbank_region]:[worldbank_region]],Table13[],5,FALSE)</f>
        <v>120.79324499999998</v>
      </c>
      <c r="AQ152">
        <f>VLOOKUP(all_lmics[[worldbank_region]:[worldbank_region]],Table13[],6,FALSE)</f>
        <v>120.79324499999998</v>
      </c>
      <c r="AR152">
        <f>VLOOKUP(all_lmics[[worldbank_region]:[worldbank_region]],Table14[],2,FALSE)</f>
        <v>1.34029</v>
      </c>
      <c r="AS152">
        <f>VLOOKUP(all_lmics[[worldbank_region]:[worldbank_region]],Table14[],3,FALSE)</f>
        <v>1.9577900000000001</v>
      </c>
      <c r="AT152">
        <f>VLOOKUP(all_lmics[[worldbank_region]:[worldbank_region]],Table14[],4,FALSE)</f>
        <v>1.9723159999999997</v>
      </c>
      <c r="AU152">
        <f>VLOOKUP(all_lmics[[worldbank_region]:[worldbank_region]],Table14[],5,FALSE)</f>
        <v>2.5898159999999999</v>
      </c>
      <c r="AV152">
        <f>VLOOKUP(all_lmics[[worldbank_region]:[worldbank_region]],Table14[],6,FALSE)</f>
        <v>3.1600679999999999</v>
      </c>
      <c r="AW152">
        <f>IFERROR(VLOOKUP(all_lmics[[Setting]:[Setting]],nFacSBA[],4,FALSE),0)</f>
        <v>0</v>
      </c>
      <c r="AX152">
        <f>VLOOKUP(all_lmics[[worldbank_region]:[worldbank_region]],hbe[],2)</f>
        <v>0.3</v>
      </c>
      <c r="AY152">
        <f>VLOOKUP(all_lmics[[worldbank_region]:[worldbank_region]],hbe[],5)</f>
        <v>0.875</v>
      </c>
      <c r="AZ152">
        <f>VLOOKUP(all_lmics[[worldbank_region]:[worldbank_region]],hbe[],8)</f>
        <v>0.15</v>
      </c>
    </row>
    <row r="153" spans="1:52" x14ac:dyDescent="0.35">
      <c r="A153" s="12" t="s">
        <v>188</v>
      </c>
      <c r="B153" s="13" t="s">
        <v>57</v>
      </c>
      <c r="C153" s="46" t="s">
        <v>27</v>
      </c>
      <c r="D153" s="14" t="s">
        <v>58</v>
      </c>
      <c r="E153">
        <f>VLOOKUP(all_lmics[[Setting]:[Setting]],populations[],9,FALSE)</f>
        <v>611343</v>
      </c>
      <c r="F153">
        <f>VLOOKUP(all_lmics[[Setting]:[Setting]],birthrate[],3,FALSE)</f>
        <v>2.8713000000000002E-2</v>
      </c>
      <c r="G153">
        <f>all_lmics[[#This Row],[2017_population]]*all_lmics[[#This Row],[2016_birthrate]]</f>
        <v>17553.491559000002</v>
      </c>
      <c r="H153">
        <f>VLOOKUP(all_lmics[[Setting]:[Setting]],birthdose[],4,FALSE)</f>
        <v>0.67</v>
      </c>
      <c r="I153">
        <f>VLOOKUP(all_lmics[[Setting]:[Setting]],fullvax[],4,FALSE)</f>
        <v>0.99</v>
      </c>
      <c r="J153">
        <f>IFERROR(VLOOKUP(all_lmics[[Setting]:[Setting]],prev[],3,FALSE),0)</f>
        <v>0.1883</v>
      </c>
      <c r="K153">
        <f>IFERROR(VLOOKUP(all_lmics[[Setting]:[Setting]],prev[],4,FALSE),0)</f>
        <v>0.1757</v>
      </c>
      <c r="L153">
        <f>IFERROR(VLOOKUP(all_lmics[[Setting]:[Setting]],prev[],5,FALSE),0)</f>
        <v>0.20150000000000001</v>
      </c>
      <c r="M153">
        <f>IFERROR(VLOOKUP(all_lmics[[Setting]:[Setting]],prev[],7,FALSE),0)</f>
        <v>6.7346938775510292E-3</v>
      </c>
      <c r="N153">
        <f>IFERROR(VLOOKUP(all_lmics[[Setting]:[Setting]],prev[],6,FALSE),0)</f>
        <v>527790</v>
      </c>
      <c r="O153">
        <f>IFERROR(VLOOKUP(all_lmics[[Setting]:[Setting]],SBA[],4,FALSE),0)</f>
        <v>0.86199999999999999</v>
      </c>
      <c r="P153">
        <f>IFERROR(VLOOKUP(all_lmics[[Setting]:[Setting]], facility[], 3,FALSE),0)</f>
        <v>0.84499999999999997</v>
      </c>
      <c r="Q153">
        <f>IFERROR(VLOOKUP(all_lmics[[Setting]:[Setting]],all_cause_mort[],4,FALSE),0)</f>
        <v>1.5676563000000001E-2</v>
      </c>
      <c r="R153">
        <f>IFERROR(VLOOKUP(all_lmics[[Setting]:[Setting]],all_cause_mort[],5,FALSE),0)</f>
        <v>1.1885070000000001E-3</v>
      </c>
      <c r="S153">
        <f>IFERROR(VLOOKUP(all_lmics[[Setting]:[Setting]],all_cause_mort[],6,FALSE),0)</f>
        <v>4.3504211000000001E-4</v>
      </c>
      <c r="T153">
        <f>IFERROR(VLOOKUP(all_lmics[[Setting]:[Setting]],all_cause_mort[],7,FALSE),0)</f>
        <v>4.0059477000000001E-4</v>
      </c>
      <c r="U153">
        <f>IFERROR(VLOOKUP(all_lmics[[Setting]:[Setting]],all_cause_mort[],8,FALSE),0)</f>
        <v>8.8013375E-4</v>
      </c>
      <c r="V153">
        <f>IFERROR(VLOOKUP(all_lmics[[Setting]:[Setting]],all_cause_mort[],9,FALSE),0)</f>
        <v>1.1545195000000001E-3</v>
      </c>
      <c r="W153">
        <f>IFERROR(VLOOKUP(all_lmics[[Setting]:[Setting]],all_cause_mort[],10,FALSE),0)</f>
        <v>1.2182426E-3</v>
      </c>
      <c r="X153">
        <f>IFERROR(VLOOKUP(all_lmics[[Setting]:[Setting]],all_cause_mort[],11,FALSE),0)</f>
        <v>1.4485531E-3</v>
      </c>
      <c r="Y153">
        <f>IFERROR(VLOOKUP(all_lmics[[Setting]:[Setting]],all_cause_mort[],12,FALSE),0)</f>
        <v>1.9529415000000001E-3</v>
      </c>
      <c r="Z153">
        <f>IFERROR(VLOOKUP(all_lmics[[Setting]:[Setting]],all_cause_mort[],13,FALSE),0)</f>
        <v>2.8183841000000002E-3</v>
      </c>
      <c r="AA153">
        <f>IFERROR(VLOOKUP(all_lmics[[Setting]:[Setting]],all_cause_mort[],14,FALSE),0)</f>
        <v>4.3580193999999996E-3</v>
      </c>
      <c r="AB153">
        <f>IFERROR(VLOOKUP(all_lmics[[Setting]:[Setting]],all_cause_mort[],15,FALSE),0)</f>
        <v>6.8130214E-3</v>
      </c>
      <c r="AC153">
        <f>IFERROR(VLOOKUP(all_lmics[[Setting]:[Setting]],all_cause_mort[],16,FALSE),0)</f>
        <v>1.0731584000000001E-2</v>
      </c>
      <c r="AD153">
        <f>IFERROR(VLOOKUP(all_lmics[[Setting]:[Setting]],all_cause_mort[],17,FALSE),0)</f>
        <v>1.6194627999999999E-2</v>
      </c>
      <c r="AE153">
        <f>IFERROR(VLOOKUP(all_lmics[[Setting]:[Setting]],all_cause_mort[],18,FALSE),0)</f>
        <v>2.4325448999999999E-2</v>
      </c>
      <c r="AF153">
        <f>IFERROR(VLOOKUP(all_lmics[[Setting]:[Setting]],all_cause_mort[],19,FALSE),0)</f>
        <v>3.8457981000000002E-2</v>
      </c>
      <c r="AG153">
        <f>IFERROR(VLOOKUP(all_lmics[[Setting]:[Setting]],all_cause_mort[],20,FALSE),0)</f>
        <v>6.4409590000000003E-2</v>
      </c>
      <c r="AH153">
        <f>IFERROR(VLOOKUP(all_lmics[[Setting]:[Setting]],all_cause_mort[],21,FALSE),0)</f>
        <v>0.10541418</v>
      </c>
      <c r="AI153">
        <f>IFERROR(VLOOKUP(all_lmics[[Setting]:[Setting]],all_cause_mort[],22,FALSE),0)</f>
        <v>0.16893850999999999</v>
      </c>
      <c r="AJ153">
        <f>IFERROR(VLOOKUP(all_lmics[[Setting]:[Setting]],all_cause_mort[],23,FALSE),0)</f>
        <v>0.25410733000000002</v>
      </c>
      <c r="AK153">
        <f>IFERROR(VLOOKUP(all_lmics[[Setting]:[Setting]],all_cause_mort[],24,FALSE),0)</f>
        <v>0.36252000000000001</v>
      </c>
      <c r="AL153">
        <f>IFERROR(VLOOKUP(all_lmics[[Setting]:[Setting]],all_cause_mort[],25,FALSE),0)</f>
        <v>0.49190680491084299</v>
      </c>
      <c r="AM153">
        <f>VLOOKUP(all_lmics[[worldbank_region]:[worldbank_region]],Table13[],2,FALSE)</f>
        <v>73.064384999999987</v>
      </c>
      <c r="AN153">
        <f>VLOOKUP(all_lmics[[worldbank_region]:[worldbank_region]],Table13[],3,FALSE)</f>
        <v>73.064384999999987</v>
      </c>
      <c r="AO153">
        <f>VLOOKUP(all_lmics[[worldbank_region]:[worldbank_region]],Table13[],4,FALSE)</f>
        <v>120.79324499999998</v>
      </c>
      <c r="AP153">
        <f>VLOOKUP(all_lmics[[worldbank_region]:[worldbank_region]],Table13[],5,FALSE)</f>
        <v>120.79324499999998</v>
      </c>
      <c r="AQ153">
        <f>VLOOKUP(all_lmics[[worldbank_region]:[worldbank_region]],Table13[],6,FALSE)</f>
        <v>120.79324499999998</v>
      </c>
      <c r="AR153">
        <f>VLOOKUP(all_lmics[[worldbank_region]:[worldbank_region]],Table14[],2,FALSE)</f>
        <v>1.34029</v>
      </c>
      <c r="AS153">
        <f>VLOOKUP(all_lmics[[worldbank_region]:[worldbank_region]],Table14[],3,FALSE)</f>
        <v>1.9577900000000001</v>
      </c>
      <c r="AT153">
        <f>VLOOKUP(all_lmics[[worldbank_region]:[worldbank_region]],Table14[],4,FALSE)</f>
        <v>1.9723159999999997</v>
      </c>
      <c r="AU153">
        <f>VLOOKUP(all_lmics[[worldbank_region]:[worldbank_region]],Table14[],5,FALSE)</f>
        <v>2.5898159999999999</v>
      </c>
      <c r="AV153">
        <f>VLOOKUP(all_lmics[[worldbank_region]:[worldbank_region]],Table14[],6,FALSE)</f>
        <v>3.1600679999999999</v>
      </c>
      <c r="AW153">
        <f>IFERROR(VLOOKUP(all_lmics[[Setting]:[Setting]],nFacSBA[],4,FALSE),0)</f>
        <v>0</v>
      </c>
      <c r="AX153">
        <f>VLOOKUP(all_lmics[[worldbank_region]:[worldbank_region]],hbe[],2)</f>
        <v>0.3</v>
      </c>
      <c r="AY153">
        <f>VLOOKUP(all_lmics[[worldbank_region]:[worldbank_region]],hbe[],5)</f>
        <v>0.875</v>
      </c>
      <c r="AZ153">
        <f>VLOOKUP(all_lmics[[worldbank_region]:[worldbank_region]],hbe[],8)</f>
        <v>0.15</v>
      </c>
    </row>
    <row r="154" spans="1:52" x14ac:dyDescent="0.35">
      <c r="A154" s="8" t="s">
        <v>205</v>
      </c>
      <c r="B154" s="10" t="s">
        <v>57</v>
      </c>
      <c r="C154" s="45" t="s">
        <v>27</v>
      </c>
      <c r="D154" s="11" t="s">
        <v>58</v>
      </c>
      <c r="E154">
        <f>VLOOKUP(all_lmics[[Setting]:[Setting]],populations[],9,FALSE)</f>
        <v>108020</v>
      </c>
      <c r="F154">
        <f>VLOOKUP(all_lmics[[Setting]:[Setting]],birthrate[],3,FALSE)</f>
        <v>2.3982E-2</v>
      </c>
      <c r="G154">
        <f>all_lmics[[#This Row],[2017_population]]*all_lmics[[#This Row],[2016_birthrate]]</f>
        <v>2590.5356400000001</v>
      </c>
      <c r="H154">
        <f>VLOOKUP(all_lmics[[Setting]:[Setting]],birthdose[],4,FALSE)</f>
        <v>0.88</v>
      </c>
      <c r="I154">
        <f>VLOOKUP(all_lmics[[Setting]:[Setting]],fullvax[],4,FALSE)</f>
        <v>0.81</v>
      </c>
      <c r="J154">
        <f>IFERROR(VLOOKUP(all_lmics[[Setting]:[Setting]],prev[],3,FALSE),0)</f>
        <v>0</v>
      </c>
      <c r="K154">
        <f>IFERROR(VLOOKUP(all_lmics[[Setting]:[Setting]],prev[],4,FALSE),0)</f>
        <v>0</v>
      </c>
      <c r="L154">
        <f>IFERROR(VLOOKUP(all_lmics[[Setting]:[Setting]],prev[],5,FALSE),0)</f>
        <v>0</v>
      </c>
      <c r="M154">
        <f>IFERROR(VLOOKUP(all_lmics[[Setting]:[Setting]],prev[],7,FALSE),0)</f>
        <v>0</v>
      </c>
      <c r="N154">
        <f>IFERROR(VLOOKUP(all_lmics[[Setting]:[Setting]],prev[],6,FALSE),0)</f>
        <v>0</v>
      </c>
      <c r="O154">
        <f>IFERROR(VLOOKUP(all_lmics[[Setting]:[Setting]],SBA[],4,FALSE),0)</f>
        <v>0.95499999999999996</v>
      </c>
      <c r="P154">
        <f>IFERROR(VLOOKUP(all_lmics[[Setting]:[Setting]], facility[], 3,FALSE),0)</f>
        <v>0.98</v>
      </c>
      <c r="Q154">
        <f>IFERROR(VLOOKUP(all_lmics[[Setting]:[Setting]],all_cause_mort[],4,FALSE),0)</f>
        <v>1.2661955000000001E-2</v>
      </c>
      <c r="R154">
        <f>IFERROR(VLOOKUP(all_lmics[[Setting]:[Setting]],all_cause_mort[],5,FALSE),0)</f>
        <v>7.8736967000000004E-4</v>
      </c>
      <c r="S154">
        <f>IFERROR(VLOOKUP(all_lmics[[Setting]:[Setting]],all_cause_mort[],6,FALSE),0)</f>
        <v>3.9850804E-4</v>
      </c>
      <c r="T154">
        <f>IFERROR(VLOOKUP(all_lmics[[Setting]:[Setting]],all_cause_mort[],7,FALSE),0)</f>
        <v>3.7846878E-4</v>
      </c>
      <c r="U154">
        <f>IFERROR(VLOOKUP(all_lmics[[Setting]:[Setting]],all_cause_mort[],8,FALSE),0)</f>
        <v>9.4684244999999998E-4</v>
      </c>
      <c r="V154">
        <f>IFERROR(VLOOKUP(all_lmics[[Setting]:[Setting]],all_cause_mort[],9,FALSE),0)</f>
        <v>1.3777779E-3</v>
      </c>
      <c r="W154">
        <f>IFERROR(VLOOKUP(all_lmics[[Setting]:[Setting]],all_cause_mort[],10,FALSE),0)</f>
        <v>1.5084690999999999E-3</v>
      </c>
      <c r="X154">
        <f>IFERROR(VLOOKUP(all_lmics[[Setting]:[Setting]],all_cause_mort[],11,FALSE),0)</f>
        <v>1.8046478E-3</v>
      </c>
      <c r="Y154">
        <f>IFERROR(VLOOKUP(all_lmics[[Setting]:[Setting]],all_cause_mort[],12,FALSE),0)</f>
        <v>2.4358008E-3</v>
      </c>
      <c r="Z154">
        <f>IFERROR(VLOOKUP(all_lmics[[Setting]:[Setting]],all_cause_mort[],13,FALSE),0)</f>
        <v>3.5094525999999999E-3</v>
      </c>
      <c r="AA154">
        <f>IFERROR(VLOOKUP(all_lmics[[Setting]:[Setting]],all_cause_mort[],14,FALSE),0)</f>
        <v>5.2965757000000002E-3</v>
      </c>
      <c r="AB154">
        <f>IFERROR(VLOOKUP(all_lmics[[Setting]:[Setting]],all_cause_mort[],15,FALSE),0)</f>
        <v>8.0573542000000001E-3</v>
      </c>
      <c r="AC154">
        <f>IFERROR(VLOOKUP(all_lmics[[Setting]:[Setting]],all_cause_mort[],16,FALSE),0)</f>
        <v>1.2005972E-2</v>
      </c>
      <c r="AD154">
        <f>IFERROR(VLOOKUP(all_lmics[[Setting]:[Setting]],all_cause_mort[],17,FALSE),0)</f>
        <v>1.9367005E-2</v>
      </c>
      <c r="AE154">
        <f>IFERROR(VLOOKUP(all_lmics[[Setting]:[Setting]],all_cause_mort[],18,FALSE),0)</f>
        <v>3.1715694000000003E-2</v>
      </c>
      <c r="AF154">
        <f>IFERROR(VLOOKUP(all_lmics[[Setting]:[Setting]],all_cause_mort[],19,FALSE),0)</f>
        <v>5.1409031000000001E-2</v>
      </c>
      <c r="AG154">
        <f>IFERROR(VLOOKUP(all_lmics[[Setting]:[Setting]],all_cause_mort[],20,FALSE),0)</f>
        <v>8.2907612000000006E-2</v>
      </c>
      <c r="AH154">
        <f>IFERROR(VLOOKUP(all_lmics[[Setting]:[Setting]],all_cause_mort[],21,FALSE),0)</f>
        <v>0.13405068000000001</v>
      </c>
      <c r="AI154">
        <f>IFERROR(VLOOKUP(all_lmics[[Setting]:[Setting]],all_cause_mort[],22,FALSE),0)</f>
        <v>0.21364996</v>
      </c>
      <c r="AJ154">
        <f>IFERROR(VLOOKUP(all_lmics[[Setting]:[Setting]],all_cause_mort[],23,FALSE),0)</f>
        <v>0.32364739999999997</v>
      </c>
      <c r="AK154">
        <f>IFERROR(VLOOKUP(all_lmics[[Setting]:[Setting]],all_cause_mort[],24,FALSE),0)</f>
        <v>0.45968676000000003</v>
      </c>
      <c r="AL154">
        <f>IFERROR(VLOOKUP(all_lmics[[Setting]:[Setting]],all_cause_mort[],25,FALSE),0)</f>
        <v>0.61024581983139004</v>
      </c>
      <c r="AM154">
        <f>VLOOKUP(all_lmics[[worldbank_region]:[worldbank_region]],Table13[],2,FALSE)</f>
        <v>73.064384999999987</v>
      </c>
      <c r="AN154">
        <f>VLOOKUP(all_lmics[[worldbank_region]:[worldbank_region]],Table13[],3,FALSE)</f>
        <v>73.064384999999987</v>
      </c>
      <c r="AO154">
        <f>VLOOKUP(all_lmics[[worldbank_region]:[worldbank_region]],Table13[],4,FALSE)</f>
        <v>120.79324499999998</v>
      </c>
      <c r="AP154">
        <f>VLOOKUP(all_lmics[[worldbank_region]:[worldbank_region]],Table13[],5,FALSE)</f>
        <v>120.79324499999998</v>
      </c>
      <c r="AQ154">
        <f>VLOOKUP(all_lmics[[worldbank_region]:[worldbank_region]],Table13[],6,FALSE)</f>
        <v>120.79324499999998</v>
      </c>
      <c r="AR154">
        <f>VLOOKUP(all_lmics[[worldbank_region]:[worldbank_region]],Table14[],2,FALSE)</f>
        <v>1.34029</v>
      </c>
      <c r="AS154">
        <f>VLOOKUP(all_lmics[[worldbank_region]:[worldbank_region]],Table14[],3,FALSE)</f>
        <v>1.9577900000000001</v>
      </c>
      <c r="AT154">
        <f>VLOOKUP(all_lmics[[worldbank_region]:[worldbank_region]],Table14[],4,FALSE)</f>
        <v>1.9723159999999997</v>
      </c>
      <c r="AU154">
        <f>VLOOKUP(all_lmics[[worldbank_region]:[worldbank_region]],Table14[],5,FALSE)</f>
        <v>2.5898159999999999</v>
      </c>
      <c r="AV154">
        <f>VLOOKUP(all_lmics[[worldbank_region]:[worldbank_region]],Table14[],6,FALSE)</f>
        <v>3.1600679999999999</v>
      </c>
      <c r="AW154">
        <f>IFERROR(VLOOKUP(all_lmics[[Setting]:[Setting]],nFacSBA[],4,FALSE),0)</f>
        <v>0</v>
      </c>
      <c r="AX154">
        <f>VLOOKUP(all_lmics[[worldbank_region]:[worldbank_region]],hbe[],2)</f>
        <v>0.3</v>
      </c>
      <c r="AY154">
        <f>VLOOKUP(all_lmics[[worldbank_region]:[worldbank_region]],hbe[],5)</f>
        <v>0.875</v>
      </c>
      <c r="AZ154">
        <f>VLOOKUP(all_lmics[[worldbank_region]:[worldbank_region]],hbe[],8)</f>
        <v>0.15</v>
      </c>
    </row>
    <row r="155" spans="1:52" x14ac:dyDescent="0.35">
      <c r="A155" s="12" t="s">
        <v>210</v>
      </c>
      <c r="B155" s="13" t="s">
        <v>57</v>
      </c>
      <c r="C155" s="46" t="s">
        <v>27</v>
      </c>
      <c r="D155" s="14" t="s">
        <v>58</v>
      </c>
      <c r="E155">
        <f>VLOOKUP(all_lmics[[Setting]:[Setting]],populations[],9,FALSE)</f>
        <v>11192</v>
      </c>
      <c r="F155">
        <f>VLOOKUP(all_lmics[[Setting]:[Setting]],birthrate[],3,FALSE)</f>
        <v>2.3699999999999999E-2</v>
      </c>
      <c r="G155">
        <f>all_lmics[[#This Row],[2017_population]]*all_lmics[[#This Row],[2016_birthrate]]</f>
        <v>265.25040000000001</v>
      </c>
      <c r="H155">
        <f>VLOOKUP(all_lmics[[Setting]:[Setting]],birthdose[],4,FALSE)</f>
        <v>0.99</v>
      </c>
      <c r="I155">
        <f>VLOOKUP(all_lmics[[Setting]:[Setting]],fullvax[],4,FALSE)</f>
        <v>0.96</v>
      </c>
      <c r="J155">
        <f>IFERROR(VLOOKUP(all_lmics[[Setting]:[Setting]],prev[],3,FALSE),0)</f>
        <v>7.1400000000000005E-2</v>
      </c>
      <c r="K155">
        <f>IFERROR(VLOOKUP(all_lmics[[Setting]:[Setting]],prev[],4,FALSE),0)</f>
        <v>1.7899999999999999E-2</v>
      </c>
      <c r="L155">
        <f>IFERROR(VLOOKUP(all_lmics[[Setting]:[Setting]],prev[],5,FALSE),0)</f>
        <v>0.24479999999999999</v>
      </c>
      <c r="M155">
        <f>IFERROR(VLOOKUP(all_lmics[[Setting]:[Setting]],prev[],7,FALSE),0)</f>
        <v>8.8469387755102047E-2</v>
      </c>
      <c r="N155">
        <f>IFERROR(VLOOKUP(all_lmics[[Setting]:[Setting]],prev[],6,FALSE),0)</f>
        <v>10531</v>
      </c>
      <c r="O155">
        <f>IFERROR(VLOOKUP(all_lmics[[Setting]:[Setting]],SBA[],4,FALSE),0)</f>
        <v>0.93099999999999994</v>
      </c>
      <c r="P155">
        <f>IFERROR(VLOOKUP(all_lmics[[Setting]:[Setting]], facility[], 3,FALSE),0)</f>
        <v>0.93</v>
      </c>
      <c r="Q155">
        <f>IFERROR(VLOOKUP(all_lmics[[Setting]:[Setting]],all_cause_mort[],4,FALSE),0)</f>
        <v>0</v>
      </c>
      <c r="R155">
        <f>IFERROR(VLOOKUP(all_lmics[[Setting]:[Setting]],all_cause_mort[],5,FALSE),0)</f>
        <v>0</v>
      </c>
      <c r="S155">
        <f>IFERROR(VLOOKUP(all_lmics[[Setting]:[Setting]],all_cause_mort[],6,FALSE),0)</f>
        <v>0</v>
      </c>
      <c r="T155">
        <f>IFERROR(VLOOKUP(all_lmics[[Setting]:[Setting]],all_cause_mort[],7,FALSE),0)</f>
        <v>0</v>
      </c>
      <c r="U155">
        <f>IFERROR(VLOOKUP(all_lmics[[Setting]:[Setting]],all_cause_mort[],8,FALSE),0)</f>
        <v>0</v>
      </c>
      <c r="V155">
        <f>IFERROR(VLOOKUP(all_lmics[[Setting]:[Setting]],all_cause_mort[],9,FALSE),0)</f>
        <v>0</v>
      </c>
      <c r="W155">
        <f>IFERROR(VLOOKUP(all_lmics[[Setting]:[Setting]],all_cause_mort[],10,FALSE),0)</f>
        <v>0</v>
      </c>
      <c r="X155">
        <f>IFERROR(VLOOKUP(all_lmics[[Setting]:[Setting]],all_cause_mort[],11,FALSE),0)</f>
        <v>0</v>
      </c>
      <c r="Y155">
        <f>IFERROR(VLOOKUP(all_lmics[[Setting]:[Setting]],all_cause_mort[],12,FALSE),0)</f>
        <v>0</v>
      </c>
      <c r="Z155">
        <f>IFERROR(VLOOKUP(all_lmics[[Setting]:[Setting]],all_cause_mort[],13,FALSE),0)</f>
        <v>0</v>
      </c>
      <c r="AA155">
        <f>IFERROR(VLOOKUP(all_lmics[[Setting]:[Setting]],all_cause_mort[],14,FALSE),0)</f>
        <v>0</v>
      </c>
      <c r="AB155">
        <f>IFERROR(VLOOKUP(all_lmics[[Setting]:[Setting]],all_cause_mort[],15,FALSE),0)</f>
        <v>0</v>
      </c>
      <c r="AC155">
        <f>IFERROR(VLOOKUP(all_lmics[[Setting]:[Setting]],all_cause_mort[],16,FALSE),0)</f>
        <v>0</v>
      </c>
      <c r="AD155">
        <f>IFERROR(VLOOKUP(all_lmics[[Setting]:[Setting]],all_cause_mort[],17,FALSE),0)</f>
        <v>0</v>
      </c>
      <c r="AE155">
        <f>IFERROR(VLOOKUP(all_lmics[[Setting]:[Setting]],all_cause_mort[],18,FALSE),0)</f>
        <v>0</v>
      </c>
      <c r="AF155">
        <f>IFERROR(VLOOKUP(all_lmics[[Setting]:[Setting]],all_cause_mort[],19,FALSE),0)</f>
        <v>0</v>
      </c>
      <c r="AG155">
        <f>IFERROR(VLOOKUP(all_lmics[[Setting]:[Setting]],all_cause_mort[],20,FALSE),0)</f>
        <v>0</v>
      </c>
      <c r="AH155">
        <f>IFERROR(VLOOKUP(all_lmics[[Setting]:[Setting]],all_cause_mort[],21,FALSE),0)</f>
        <v>0</v>
      </c>
      <c r="AI155">
        <f>IFERROR(VLOOKUP(all_lmics[[Setting]:[Setting]],all_cause_mort[],22,FALSE),0)</f>
        <v>0</v>
      </c>
      <c r="AJ155">
        <f>IFERROR(VLOOKUP(all_lmics[[Setting]:[Setting]],all_cause_mort[],23,FALSE),0)</f>
        <v>0</v>
      </c>
      <c r="AK155">
        <f>IFERROR(VLOOKUP(all_lmics[[Setting]:[Setting]],all_cause_mort[],24,FALSE),0)</f>
        <v>0</v>
      </c>
      <c r="AL155">
        <f>IFERROR(VLOOKUP(all_lmics[[Setting]:[Setting]],all_cause_mort[],25,FALSE),0)</f>
        <v>0</v>
      </c>
      <c r="AM155">
        <f>VLOOKUP(all_lmics[[worldbank_region]:[worldbank_region]],Table13[],2,FALSE)</f>
        <v>73.064384999999987</v>
      </c>
      <c r="AN155">
        <f>VLOOKUP(all_lmics[[worldbank_region]:[worldbank_region]],Table13[],3,FALSE)</f>
        <v>73.064384999999987</v>
      </c>
      <c r="AO155">
        <f>VLOOKUP(all_lmics[[worldbank_region]:[worldbank_region]],Table13[],4,FALSE)</f>
        <v>120.79324499999998</v>
      </c>
      <c r="AP155">
        <f>VLOOKUP(all_lmics[[worldbank_region]:[worldbank_region]],Table13[],5,FALSE)</f>
        <v>120.79324499999998</v>
      </c>
      <c r="AQ155">
        <f>VLOOKUP(all_lmics[[worldbank_region]:[worldbank_region]],Table13[],6,FALSE)</f>
        <v>120.79324499999998</v>
      </c>
      <c r="AR155">
        <f>VLOOKUP(all_lmics[[worldbank_region]:[worldbank_region]],Table14[],2,FALSE)</f>
        <v>1.34029</v>
      </c>
      <c r="AS155">
        <f>VLOOKUP(all_lmics[[worldbank_region]:[worldbank_region]],Table14[],3,FALSE)</f>
        <v>1.9577900000000001</v>
      </c>
      <c r="AT155">
        <f>VLOOKUP(all_lmics[[worldbank_region]:[worldbank_region]],Table14[],4,FALSE)</f>
        <v>1.9723159999999997</v>
      </c>
      <c r="AU155">
        <f>VLOOKUP(all_lmics[[worldbank_region]:[worldbank_region]],Table14[],5,FALSE)</f>
        <v>2.5898159999999999</v>
      </c>
      <c r="AV155">
        <f>VLOOKUP(all_lmics[[worldbank_region]:[worldbank_region]],Table14[],6,FALSE)</f>
        <v>3.1600679999999999</v>
      </c>
      <c r="AW155">
        <f>IFERROR(VLOOKUP(all_lmics[[Setting]:[Setting]],nFacSBA[],4,FALSE),0)</f>
        <v>0</v>
      </c>
      <c r="AX155">
        <f>VLOOKUP(all_lmics[[worldbank_region]:[worldbank_region]],hbe[],2)</f>
        <v>0.3</v>
      </c>
      <c r="AY155">
        <f>VLOOKUP(all_lmics[[worldbank_region]:[worldbank_region]],hbe[],5)</f>
        <v>0.875</v>
      </c>
      <c r="AZ155">
        <f>VLOOKUP(all_lmics[[worldbank_region]:[worldbank_region]],hbe[],8)</f>
        <v>0.15</v>
      </c>
    </row>
    <row r="156" spans="1:52" x14ac:dyDescent="0.35">
      <c r="A156" s="8" t="s">
        <v>219</v>
      </c>
      <c r="B156" s="10" t="s">
        <v>57</v>
      </c>
      <c r="C156" s="45" t="s">
        <v>27</v>
      </c>
      <c r="D156" s="11" t="s">
        <v>58</v>
      </c>
      <c r="E156">
        <f>VLOOKUP(all_lmics[[Setting]:[Setting]],populations[],9,FALSE)</f>
        <v>276244</v>
      </c>
      <c r="F156">
        <f>VLOOKUP(all_lmics[[Setting]:[Setting]],birthrate[],3,FALSE)</f>
        <v>2.5855E-2</v>
      </c>
      <c r="G156">
        <f>all_lmics[[#This Row],[2017_population]]*all_lmics[[#This Row],[2016_birthrate]]</f>
        <v>7142.2886200000003</v>
      </c>
      <c r="H156">
        <f>VLOOKUP(all_lmics[[Setting]:[Setting]],birthdose[],4,FALSE)</f>
        <v>0</v>
      </c>
      <c r="I156">
        <f>VLOOKUP(all_lmics[[Setting]:[Setting]],fullvax[],4,FALSE)</f>
        <v>0.85</v>
      </c>
      <c r="J156">
        <f>IFERROR(VLOOKUP(all_lmics[[Setting]:[Setting]],prev[],3,FALSE),0)</f>
        <v>0.1754</v>
      </c>
      <c r="K156">
        <f>IFERROR(VLOOKUP(all_lmics[[Setting]:[Setting]],prev[],4,FALSE),0)</f>
        <v>0.16200000000000001</v>
      </c>
      <c r="L156">
        <f>IFERROR(VLOOKUP(all_lmics[[Setting]:[Setting]],prev[],5,FALSE),0)</f>
        <v>0.18959999999999999</v>
      </c>
      <c r="M156">
        <f>IFERROR(VLOOKUP(all_lmics[[Setting]:[Setting]],prev[],7,FALSE),0)</f>
        <v>7.2448979591836684E-3</v>
      </c>
      <c r="N156">
        <f>IFERROR(VLOOKUP(all_lmics[[Setting]:[Setting]],prev[],6,FALSE),0)</f>
        <v>236295</v>
      </c>
      <c r="O156">
        <f>IFERROR(VLOOKUP(all_lmics[[Setting]:[Setting]],SBA[],4,FALSE),0)</f>
        <v>0.89400000000000002</v>
      </c>
      <c r="P156">
        <f>IFERROR(VLOOKUP(all_lmics[[Setting]:[Setting]], facility[], 3,FALSE),0)</f>
        <v>0.88500000000000001</v>
      </c>
      <c r="Q156">
        <f>IFERROR(VLOOKUP(all_lmics[[Setting]:[Setting]],all_cause_mort[],4,FALSE),0)</f>
        <v>2.2818972E-2</v>
      </c>
      <c r="R156">
        <f>IFERROR(VLOOKUP(all_lmics[[Setting]:[Setting]],all_cause_mort[],5,FALSE),0)</f>
        <v>1.0958938E-3</v>
      </c>
      <c r="S156">
        <f>IFERROR(VLOOKUP(all_lmics[[Setting]:[Setting]],all_cause_mort[],6,FALSE),0)</f>
        <v>4.275905E-4</v>
      </c>
      <c r="T156">
        <f>IFERROR(VLOOKUP(all_lmics[[Setting]:[Setting]],all_cause_mort[],7,FALSE),0)</f>
        <v>3.6348221999999998E-4</v>
      </c>
      <c r="U156">
        <f>IFERROR(VLOOKUP(all_lmics[[Setting]:[Setting]],all_cause_mort[],8,FALSE),0)</f>
        <v>7.3143977999999999E-4</v>
      </c>
      <c r="V156">
        <f>IFERROR(VLOOKUP(all_lmics[[Setting]:[Setting]],all_cause_mort[],9,FALSE),0)</f>
        <v>9.0623007999999995E-4</v>
      </c>
      <c r="W156">
        <f>IFERROR(VLOOKUP(all_lmics[[Setting]:[Setting]],all_cause_mort[],10,FALSE),0)</f>
        <v>9.3196005999999999E-4</v>
      </c>
      <c r="X156">
        <f>IFERROR(VLOOKUP(all_lmics[[Setting]:[Setting]],all_cause_mort[],11,FALSE),0)</f>
        <v>1.1303239E-3</v>
      </c>
      <c r="Y156">
        <f>IFERROR(VLOOKUP(all_lmics[[Setting]:[Setting]],all_cause_mort[],12,FALSE),0)</f>
        <v>1.5775431999999999E-3</v>
      </c>
      <c r="Z156">
        <f>IFERROR(VLOOKUP(all_lmics[[Setting]:[Setting]],all_cause_mort[],13,FALSE),0)</f>
        <v>2.3640515E-3</v>
      </c>
      <c r="AA156">
        <f>IFERROR(VLOOKUP(all_lmics[[Setting]:[Setting]],all_cause_mort[],14,FALSE),0)</f>
        <v>3.8020951000000002E-3</v>
      </c>
      <c r="AB156">
        <f>IFERROR(VLOOKUP(all_lmics[[Setting]:[Setting]],all_cause_mort[],15,FALSE),0)</f>
        <v>6.1542556999999998E-3</v>
      </c>
      <c r="AC156">
        <f>IFERROR(VLOOKUP(all_lmics[[Setting]:[Setting]],all_cause_mort[],16,FALSE),0)</f>
        <v>1.0011404999999999E-2</v>
      </c>
      <c r="AD156">
        <f>IFERROR(VLOOKUP(all_lmics[[Setting]:[Setting]],all_cause_mort[],17,FALSE),0)</f>
        <v>1.9041493E-2</v>
      </c>
      <c r="AE156">
        <f>IFERROR(VLOOKUP(all_lmics[[Setting]:[Setting]],all_cause_mort[],18,FALSE),0)</f>
        <v>3.6110462000000003E-2</v>
      </c>
      <c r="AF156">
        <f>IFERROR(VLOOKUP(all_lmics[[Setting]:[Setting]],all_cause_mort[],19,FALSE),0)</f>
        <v>6.3378347000000002E-2</v>
      </c>
      <c r="AG156">
        <f>IFERROR(VLOOKUP(all_lmics[[Setting]:[Setting]],all_cause_mort[],20,FALSE),0)</f>
        <v>0.10518805000000001</v>
      </c>
      <c r="AH156">
        <f>IFERROR(VLOOKUP(all_lmics[[Setting]:[Setting]],all_cause_mort[],21,FALSE),0)</f>
        <v>0.16984272</v>
      </c>
      <c r="AI156">
        <f>IFERROR(VLOOKUP(all_lmics[[Setting]:[Setting]],all_cause_mort[],22,FALSE),0)</f>
        <v>0.26882140999999998</v>
      </c>
      <c r="AJ156">
        <f>IFERROR(VLOOKUP(all_lmics[[Setting]:[Setting]],all_cause_mort[],23,FALSE),0)</f>
        <v>0.39911385999999999</v>
      </c>
      <c r="AK156">
        <f>IFERROR(VLOOKUP(all_lmics[[Setting]:[Setting]],all_cause_mort[],24,FALSE),0)</f>
        <v>0.56274024</v>
      </c>
      <c r="AL156">
        <f>IFERROR(VLOOKUP(all_lmics[[Setting]:[Setting]],all_cause_mort[],25,FALSE),0)</f>
        <v>0.75072206324848401</v>
      </c>
      <c r="AM156">
        <f>VLOOKUP(all_lmics[[worldbank_region]:[worldbank_region]],Table13[],2,FALSE)</f>
        <v>73.064384999999987</v>
      </c>
      <c r="AN156">
        <f>VLOOKUP(all_lmics[[worldbank_region]:[worldbank_region]],Table13[],3,FALSE)</f>
        <v>73.064384999999987</v>
      </c>
      <c r="AO156">
        <f>VLOOKUP(all_lmics[[worldbank_region]:[worldbank_region]],Table13[],4,FALSE)</f>
        <v>120.79324499999998</v>
      </c>
      <c r="AP156">
        <f>VLOOKUP(all_lmics[[worldbank_region]:[worldbank_region]],Table13[],5,FALSE)</f>
        <v>120.79324499999998</v>
      </c>
      <c r="AQ156">
        <f>VLOOKUP(all_lmics[[worldbank_region]:[worldbank_region]],Table13[],6,FALSE)</f>
        <v>120.79324499999998</v>
      </c>
      <c r="AR156">
        <f>VLOOKUP(all_lmics[[worldbank_region]:[worldbank_region]],Table14[],2,FALSE)</f>
        <v>1.34029</v>
      </c>
      <c r="AS156">
        <f>VLOOKUP(all_lmics[[worldbank_region]:[worldbank_region]],Table14[],3,FALSE)</f>
        <v>1.9577900000000001</v>
      </c>
      <c r="AT156">
        <f>VLOOKUP(all_lmics[[worldbank_region]:[worldbank_region]],Table14[],4,FALSE)</f>
        <v>1.9723159999999997</v>
      </c>
      <c r="AU156">
        <f>VLOOKUP(all_lmics[[worldbank_region]:[worldbank_region]],Table14[],5,FALSE)</f>
        <v>2.5898159999999999</v>
      </c>
      <c r="AV156">
        <f>VLOOKUP(all_lmics[[worldbank_region]:[worldbank_region]],Table14[],6,FALSE)</f>
        <v>3.1600679999999999</v>
      </c>
      <c r="AW156">
        <f>IFERROR(VLOOKUP(all_lmics[[Setting]:[Setting]],nFacSBA[],4,FALSE),0)</f>
        <v>0</v>
      </c>
      <c r="AX156">
        <f>VLOOKUP(all_lmics[[worldbank_region]:[worldbank_region]],hbe[],2)</f>
        <v>0.3</v>
      </c>
      <c r="AY156">
        <f>VLOOKUP(all_lmics[[worldbank_region]:[worldbank_region]],hbe[],5)</f>
        <v>0.875</v>
      </c>
      <c r="AZ156">
        <f>VLOOKUP(all_lmics[[worldbank_region]:[worldbank_region]],hbe[],8)</f>
        <v>0.15</v>
      </c>
    </row>
    <row r="157" spans="1:52" x14ac:dyDescent="0.35">
      <c r="A157" s="42" t="s">
        <v>221</v>
      </c>
      <c r="B157" s="32" t="s">
        <v>57</v>
      </c>
      <c r="C157" s="47" t="s">
        <v>27</v>
      </c>
      <c r="D157" s="43" t="s">
        <v>58</v>
      </c>
      <c r="E157">
        <f>VLOOKUP(all_lmics[[Setting]:[Setting]],populations[],9,FALSE)</f>
        <v>95540800</v>
      </c>
      <c r="F157">
        <f>VLOOKUP(all_lmics[[Setting]:[Setting]],birthrate[],3,FALSE)</f>
        <v>1.6690999999999998E-2</v>
      </c>
      <c r="G157">
        <f>all_lmics[[#This Row],[2017_population]]*all_lmics[[#This Row],[2016_birthrate]]</f>
        <v>1594671.4927999997</v>
      </c>
      <c r="H157">
        <f>VLOOKUP(all_lmics[[Setting]:[Setting]],birthdose[],4,FALSE)</f>
        <v>0.77</v>
      </c>
      <c r="I157">
        <f>VLOOKUP(all_lmics[[Setting]:[Setting]],fullvax[],4,FALSE)</f>
        <v>0.94</v>
      </c>
      <c r="J157">
        <f>IFERROR(VLOOKUP(all_lmics[[Setting]:[Setting]],prev[],3,FALSE),0)</f>
        <v>8.2000000000000003E-2</v>
      </c>
      <c r="K157">
        <f>IFERROR(VLOOKUP(all_lmics[[Setting]:[Setting]],prev[],4,FALSE),0)</f>
        <v>7.2999999999999995E-2</v>
      </c>
      <c r="L157">
        <f>IFERROR(VLOOKUP(all_lmics[[Setting]:[Setting]],prev[],5,FALSE),0)</f>
        <v>0.10299999999999999</v>
      </c>
      <c r="M157">
        <f>IFERROR(VLOOKUP(all_lmics[[Setting]:[Setting]],prev[],7,FALSE),0)</f>
        <v>1.0714285714285709E-2</v>
      </c>
      <c r="N157">
        <f>IFERROR(VLOOKUP(all_lmics[[Setting]:[Setting]],prev[],6,FALSE),0)</f>
        <v>95540800</v>
      </c>
      <c r="O157">
        <f>IFERROR(VLOOKUP(all_lmics[[Setting]:[Setting]],SBA[],4,FALSE),0)</f>
        <v>0.93799999999999994</v>
      </c>
      <c r="P157">
        <f>IFERROR(VLOOKUP(all_lmics[[Setting]:[Setting]], facility[], 3,FALSE),0)</f>
        <v>0.93599999999999994</v>
      </c>
      <c r="Q157">
        <f>IFERROR(VLOOKUP(all_lmics[[Setting]:[Setting]],all_cause_mort[],4,FALSE),0)</f>
        <v>1.6976798000000001E-2</v>
      </c>
      <c r="R157">
        <f>IFERROR(VLOOKUP(all_lmics[[Setting]:[Setting]],all_cause_mort[],5,FALSE),0)</f>
        <v>1.0768367999999999E-3</v>
      </c>
      <c r="S157">
        <f>IFERROR(VLOOKUP(all_lmics[[Setting]:[Setting]],all_cause_mort[],6,FALSE),0)</f>
        <v>5.2053663999999998E-4</v>
      </c>
      <c r="T157">
        <f>IFERROR(VLOOKUP(all_lmics[[Setting]:[Setting]],all_cause_mort[],7,FALSE),0)</f>
        <v>4.6478006000000001E-4</v>
      </c>
      <c r="U157">
        <f>IFERROR(VLOOKUP(all_lmics[[Setting]:[Setting]],all_cause_mort[],8,FALSE),0)</f>
        <v>7.4839147000000002E-4</v>
      </c>
      <c r="V157">
        <f>IFERROR(VLOOKUP(all_lmics[[Setting]:[Setting]],all_cause_mort[],9,FALSE),0)</f>
        <v>1.0978372E-3</v>
      </c>
      <c r="W157">
        <f>IFERROR(VLOOKUP(all_lmics[[Setting]:[Setting]],all_cause_mort[],10,FALSE),0)</f>
        <v>1.3523147999999999E-3</v>
      </c>
      <c r="X157">
        <f>IFERROR(VLOOKUP(all_lmics[[Setting]:[Setting]],all_cause_mort[],11,FALSE),0)</f>
        <v>1.5801029E-3</v>
      </c>
      <c r="Y157">
        <f>IFERROR(VLOOKUP(all_lmics[[Setting]:[Setting]],all_cause_mort[],12,FALSE),0)</f>
        <v>1.9559948999999998E-3</v>
      </c>
      <c r="Z157">
        <f>IFERROR(VLOOKUP(all_lmics[[Setting]:[Setting]],all_cause_mort[],13,FALSE),0)</f>
        <v>2.7645002000000001E-3</v>
      </c>
      <c r="AA157">
        <f>IFERROR(VLOOKUP(all_lmics[[Setting]:[Setting]],all_cause_mort[],14,FALSE),0)</f>
        <v>3.8816285E-3</v>
      </c>
      <c r="AB157">
        <f>IFERROR(VLOOKUP(all_lmics[[Setting]:[Setting]],all_cause_mort[],15,FALSE),0)</f>
        <v>6.1845214999999999E-3</v>
      </c>
      <c r="AC157">
        <f>IFERROR(VLOOKUP(all_lmics[[Setting]:[Setting]],all_cause_mort[],16,FALSE),0)</f>
        <v>9.2934188999999993E-3</v>
      </c>
      <c r="AD157">
        <f>IFERROR(VLOOKUP(all_lmics[[Setting]:[Setting]],all_cause_mort[],17,FALSE),0)</f>
        <v>1.2742138E-2</v>
      </c>
      <c r="AE157">
        <f>IFERROR(VLOOKUP(all_lmics[[Setting]:[Setting]],all_cause_mort[],18,FALSE),0)</f>
        <v>2.0623757999999999E-2</v>
      </c>
      <c r="AF157">
        <f>IFERROR(VLOOKUP(all_lmics[[Setting]:[Setting]],all_cause_mort[],19,FALSE),0)</f>
        <v>3.0673853000000001E-2</v>
      </c>
      <c r="AG157">
        <f>IFERROR(VLOOKUP(all_lmics[[Setting]:[Setting]],all_cause_mort[],20,FALSE),0)</f>
        <v>4.5973561000000003E-2</v>
      </c>
      <c r="AH157">
        <f>IFERROR(VLOOKUP(all_lmics[[Setting]:[Setting]],all_cause_mort[],21,FALSE),0)</f>
        <v>6.8831007999999999E-2</v>
      </c>
      <c r="AI157">
        <f>IFERROR(VLOOKUP(all_lmics[[Setting]:[Setting]],all_cause_mort[],22,FALSE),0)</f>
        <v>0.10241421000000001</v>
      </c>
      <c r="AJ157">
        <f>IFERROR(VLOOKUP(all_lmics[[Setting]:[Setting]],all_cause_mort[],23,FALSE),0)</f>
        <v>0.15050156000000001</v>
      </c>
      <c r="AK157">
        <f>IFERROR(VLOOKUP(all_lmics[[Setting]:[Setting]],all_cause_mort[],24,FALSE),0)</f>
        <v>0.21646425999999999</v>
      </c>
      <c r="AL157">
        <f>IFERROR(VLOOKUP(all_lmics[[Setting]:[Setting]],all_cause_mort[],25,FALSE),0)</f>
        <v>0.31673164363547202</v>
      </c>
      <c r="AM157">
        <f>VLOOKUP(all_lmics[[worldbank_region]:[worldbank_region]],Table13[],2,FALSE)</f>
        <v>73.064384999999987</v>
      </c>
      <c r="AN157">
        <f>VLOOKUP(all_lmics[[worldbank_region]:[worldbank_region]],Table13[],3,FALSE)</f>
        <v>73.064384999999987</v>
      </c>
      <c r="AO157">
        <f>VLOOKUP(all_lmics[[worldbank_region]:[worldbank_region]],Table13[],4,FALSE)</f>
        <v>120.79324499999998</v>
      </c>
      <c r="AP157">
        <f>VLOOKUP(all_lmics[[worldbank_region]:[worldbank_region]],Table13[],5,FALSE)</f>
        <v>120.79324499999998</v>
      </c>
      <c r="AQ157">
        <f>VLOOKUP(all_lmics[[worldbank_region]:[worldbank_region]],Table13[],6,FALSE)</f>
        <v>120.79324499999998</v>
      </c>
      <c r="AR157">
        <f>VLOOKUP(all_lmics[[worldbank_region]:[worldbank_region]],Table14[],2,FALSE)</f>
        <v>1.34029</v>
      </c>
      <c r="AS157">
        <f>VLOOKUP(all_lmics[[worldbank_region]:[worldbank_region]],Table14[],3,FALSE)</f>
        <v>1.9577900000000001</v>
      </c>
      <c r="AT157">
        <f>VLOOKUP(all_lmics[[worldbank_region]:[worldbank_region]],Table14[],4,FALSE)</f>
        <v>1.9723159999999997</v>
      </c>
      <c r="AU157">
        <f>VLOOKUP(all_lmics[[worldbank_region]:[worldbank_region]],Table14[],5,FALSE)</f>
        <v>2.5898159999999999</v>
      </c>
      <c r="AV157">
        <f>VLOOKUP(all_lmics[[worldbank_region]:[worldbank_region]],Table14[],6,FALSE)</f>
        <v>3.1600679999999999</v>
      </c>
      <c r="AW157">
        <f>IFERROR(VLOOKUP(all_lmics[[Setting]:[Setting]],nFacSBA[],4,FALSE),0)</f>
        <v>0.11198516051870065</v>
      </c>
      <c r="AX157">
        <f>VLOOKUP(all_lmics[[worldbank_region]:[worldbank_region]],hbe[],2)</f>
        <v>0.3</v>
      </c>
      <c r="AY157">
        <f>VLOOKUP(all_lmics[[worldbank_region]:[worldbank_region]],hbe[],5)</f>
        <v>0.875</v>
      </c>
      <c r="AZ157">
        <f>VLOOKUP(all_lmics[[worldbank_region]:[worldbank_region]],hbe[],8)</f>
        <v>0.15</v>
      </c>
    </row>
    <row r="158" spans="1:52" x14ac:dyDescent="0.35">
      <c r="A158" s="50" t="s">
        <v>287</v>
      </c>
      <c r="B158" s="32" t="s">
        <v>49</v>
      </c>
      <c r="C158" s="2"/>
      <c r="D158" s="51" t="s">
        <v>15</v>
      </c>
      <c r="E158" s="52">
        <f>VLOOKUP(all_lmics[[Setting]:[Setting]],populations[],9,FALSE)</f>
        <v>1367254</v>
      </c>
      <c r="F158" s="2">
        <f>VLOOKUP(all_lmics[[Setting]:[Setting]],birthrate[],3,FALSE)</f>
        <v>2.8850000000000001E-2</v>
      </c>
      <c r="G158" s="52">
        <f>all_lmics[[#This Row],[2017_population]]*all_lmics[[#This Row],[2016_birthrate]]</f>
        <v>39445.277900000001</v>
      </c>
      <c r="H158" s="52">
        <f>VLOOKUP(all_lmics[[Setting]:[Setting]],birthdose[],4,FALSE)</f>
        <v>0</v>
      </c>
      <c r="I158" s="52">
        <f>VLOOKUP(all_lmics[[Setting]:[Setting]],fullvax[],4,FALSE)</f>
        <v>0.9</v>
      </c>
      <c r="J158" s="52">
        <f>IFERROR(VLOOKUP(all_lmics[[Setting]:[Setting]],prev[],3,FALSE),0)</f>
        <v>0</v>
      </c>
      <c r="K158" s="52">
        <f>IFERROR(VLOOKUP(all_lmics[[Setting]:[Setting]],prev[],4,FALSE),0)</f>
        <v>0</v>
      </c>
      <c r="L158" s="52">
        <f>IFERROR(VLOOKUP(all_lmics[[Setting]:[Setting]],prev[],5,FALSE),0)</f>
        <v>0</v>
      </c>
      <c r="M158" s="52">
        <f>IFERROR(VLOOKUP(all_lmics[[Setting]:[Setting]],prev[],7,FALSE),0)</f>
        <v>0</v>
      </c>
      <c r="N158" s="52">
        <f>IFERROR(VLOOKUP(all_lmics[[Setting]:[Setting]],prev[],6,FALSE),0)</f>
        <v>0</v>
      </c>
      <c r="O158" s="52">
        <f>IFERROR(VLOOKUP(all_lmics[[Setting]:[Setting]],SBA[],4,FALSE),0)</f>
        <v>0.88300000000000001</v>
      </c>
      <c r="P158" s="52">
        <f>IFERROR(VLOOKUP(all_lmics[[Setting]:[Setting]], facility[], 3,FALSE),0)</f>
        <v>0</v>
      </c>
      <c r="Q158" s="52">
        <f>IFERROR(VLOOKUP(all_lmics[[Setting]:[Setting]],all_cause_mort[],4,FALSE),0)</f>
        <v>4.2842314999999999E-2</v>
      </c>
      <c r="R158" s="52">
        <f>IFERROR(VLOOKUP(all_lmics[[Setting]:[Setting]],all_cause_mort[],5,FALSE),0)</f>
        <v>3.4352841999999999E-3</v>
      </c>
      <c r="S158" s="52">
        <f>IFERROR(VLOOKUP(all_lmics[[Setting]:[Setting]],all_cause_mort[],6,FALSE),0)</f>
        <v>9.8271491000000003E-4</v>
      </c>
      <c r="T158" s="52">
        <f>IFERROR(VLOOKUP(all_lmics[[Setting]:[Setting]],all_cause_mort[],7,FALSE),0)</f>
        <v>8.6990585999999995E-4</v>
      </c>
      <c r="U158" s="52">
        <f>IFERROR(VLOOKUP(all_lmics[[Setting]:[Setting]],all_cause_mort[],8,FALSE),0)</f>
        <v>1.4508917E-3</v>
      </c>
      <c r="V158" s="52">
        <f>IFERROR(VLOOKUP(all_lmics[[Setting]:[Setting]],all_cause_mort[],9,FALSE),0)</f>
        <v>2.7312017000000002E-3</v>
      </c>
      <c r="W158" s="52">
        <f>IFERROR(VLOOKUP(all_lmics[[Setting]:[Setting]],all_cause_mort[],10,FALSE),0)</f>
        <v>5.1741618000000003E-3</v>
      </c>
      <c r="X158" s="52">
        <f>IFERROR(VLOOKUP(all_lmics[[Setting]:[Setting]],all_cause_mort[],11,FALSE),0)</f>
        <v>8.0394066999999996E-3</v>
      </c>
      <c r="Y158" s="52">
        <f>IFERROR(VLOOKUP(all_lmics[[Setting]:[Setting]],all_cause_mort[],12,FALSE),0)</f>
        <v>1.2191359000000001E-2</v>
      </c>
      <c r="Z158" s="52">
        <f>IFERROR(VLOOKUP(all_lmics[[Setting]:[Setting]],all_cause_mort[],13,FALSE),0)</f>
        <v>1.4257389000000001E-2</v>
      </c>
      <c r="AA158" s="52">
        <f>IFERROR(VLOOKUP(all_lmics[[Setting]:[Setting]],all_cause_mort[],14,FALSE),0)</f>
        <v>1.7170839E-2</v>
      </c>
      <c r="AB158" s="52">
        <f>IFERROR(VLOOKUP(all_lmics[[Setting]:[Setting]],all_cause_mort[],15,FALSE),0)</f>
        <v>2.0149085000000001E-2</v>
      </c>
      <c r="AC158" s="52">
        <f>IFERROR(VLOOKUP(all_lmics[[Setting]:[Setting]],all_cause_mort[],16,FALSE),0)</f>
        <v>2.3698844E-2</v>
      </c>
      <c r="AD158" s="52">
        <f>IFERROR(VLOOKUP(all_lmics[[Setting]:[Setting]],all_cause_mort[],17,FALSE),0)</f>
        <v>2.9060295999999999E-2</v>
      </c>
      <c r="AE158" s="52">
        <f>IFERROR(VLOOKUP(all_lmics[[Setting]:[Setting]],all_cause_mort[],18,FALSE),0)</f>
        <v>3.8194315E-2</v>
      </c>
      <c r="AF158" s="52">
        <f>IFERROR(VLOOKUP(all_lmics[[Setting]:[Setting]],all_cause_mort[],19,FALSE),0)</f>
        <v>5.4079817000000002E-2</v>
      </c>
      <c r="AG158" s="52">
        <f>IFERROR(VLOOKUP(all_lmics[[Setting]:[Setting]],all_cause_mort[],20,FALSE),0)</f>
        <v>7.9760807000000003E-2</v>
      </c>
      <c r="AH158" s="52">
        <f>IFERROR(VLOOKUP(all_lmics[[Setting]:[Setting]],all_cause_mort[],21,FALSE),0)</f>
        <v>0.1299034</v>
      </c>
      <c r="AI158" s="52">
        <f>IFERROR(VLOOKUP(all_lmics[[Setting]:[Setting]],all_cause_mort[],22,FALSE),0)</f>
        <v>0.22013100999999999</v>
      </c>
      <c r="AJ158" s="52">
        <f>IFERROR(VLOOKUP(all_lmics[[Setting]:[Setting]],all_cause_mort[],23,FALSE),0)</f>
        <v>0.35291978000000002</v>
      </c>
      <c r="AK158" s="52">
        <f>IFERROR(VLOOKUP(all_lmics[[Setting]:[Setting]],all_cause_mort[],24,FALSE),0)</f>
        <v>0.48200472</v>
      </c>
      <c r="AL158" s="52">
        <f>IFERROR(VLOOKUP(all_lmics[[Setting]:[Setting]],all_cause_mort[],25,FALSE),0)</f>
        <v>0.60371027050627202</v>
      </c>
      <c r="AM158" s="52">
        <f>VLOOKUP(all_lmics[[worldbank_region]:[worldbank_region]],Table13[],2,FALSE)</f>
        <v>29.912264999999998</v>
      </c>
      <c r="AN158" s="52">
        <f>VLOOKUP(all_lmics[[worldbank_region]:[worldbank_region]],Table13[],3,FALSE)</f>
        <v>29.912264999999998</v>
      </c>
      <c r="AO158" s="52">
        <f>VLOOKUP(all_lmics[[worldbank_region]:[worldbank_region]],Table13[],4,FALSE)</f>
        <v>77.641124999999988</v>
      </c>
      <c r="AP158" s="52">
        <f>VLOOKUP(all_lmics[[worldbank_region]:[worldbank_region]],Table13[],5,FALSE)</f>
        <v>77.641124999999988</v>
      </c>
      <c r="AQ158" s="52">
        <f>VLOOKUP(all_lmics[[worldbank_region]:[worldbank_region]],Table13[],6,FALSE)</f>
        <v>77.641124999999988</v>
      </c>
      <c r="AR158" s="52">
        <f>VLOOKUP(all_lmics[[worldbank_region]:[worldbank_region]],Table14[],2,FALSE)</f>
        <v>0.96979199999999999</v>
      </c>
      <c r="AS158" s="52">
        <f>VLOOKUP(all_lmics[[worldbank_region]:[worldbank_region]],Table14[],3,FALSE)</f>
        <v>1.5872920000000001</v>
      </c>
      <c r="AT158" s="52">
        <f>VLOOKUP(all_lmics[[worldbank_region]:[worldbank_region]],Table14[],4,FALSE)</f>
        <v>5.7971629999999994</v>
      </c>
      <c r="AU158" s="52">
        <f>VLOOKUP(all_lmics[[worldbank_region]:[worldbank_region]],Table14[],5,FALSE)</f>
        <v>6.4146629999999991</v>
      </c>
      <c r="AV158" s="52">
        <f>VLOOKUP(all_lmics[[worldbank_region]:[worldbank_region]],Table14[],6,FALSE)</f>
        <v>6.9849149999999991</v>
      </c>
      <c r="AW158" s="52">
        <f>IFERROR(VLOOKUP(all_lmics[[Setting]:[Setting]],nFacSBA[],4,FALSE),0)</f>
        <v>0</v>
      </c>
      <c r="AX158" s="52">
        <f>VLOOKUP(all_lmics[[worldbank_region]:[worldbank_region]],hbe[],2)</f>
        <v>0.3</v>
      </c>
      <c r="AY158" s="52">
        <f>VLOOKUP(all_lmics[[worldbank_region]:[worldbank_region]],hbe[],5)</f>
        <v>0.875</v>
      </c>
      <c r="AZ158" s="52">
        <f>VLOOKUP(all_lmics[[worldbank_region]:[worldbank_region]],hbe[],8)</f>
        <v>0.15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2"/>
  <sheetViews>
    <sheetView workbookViewId="0">
      <selection activeCell="AD12" sqref="A12:AD12"/>
    </sheetView>
  </sheetViews>
  <sheetFormatPr defaultRowHeight="14.5" x14ac:dyDescent="0.35"/>
  <cols>
    <col min="1" max="1" width="25.26953125" customWidth="1"/>
    <col min="3" max="3" width="9.08984375" customWidth="1"/>
    <col min="4" max="4" width="9.7265625" customWidth="1"/>
    <col min="11" max="28" width="10.54296875" customWidth="1"/>
    <col min="29" max="29" width="9.54296875" customWidth="1"/>
    <col min="30" max="30" width="10.54296875" customWidth="1"/>
  </cols>
  <sheetData>
    <row r="1" spans="1:30" x14ac:dyDescent="0.35">
      <c r="A1" s="48" t="s">
        <v>441</v>
      </c>
      <c r="B1" s="16" t="s">
        <v>240</v>
      </c>
      <c r="C1" s="16" t="s">
        <v>450</v>
      </c>
      <c r="D1" s="16" t="s">
        <v>451</v>
      </c>
      <c r="E1" s="16" t="s">
        <v>244</v>
      </c>
      <c r="F1" s="16" t="s">
        <v>453</v>
      </c>
      <c r="G1" s="16" t="s">
        <v>454</v>
      </c>
      <c r="H1" s="16" t="s">
        <v>385</v>
      </c>
      <c r="I1" s="16" t="s">
        <v>386</v>
      </c>
      <c r="J1" s="16" t="s">
        <v>387</v>
      </c>
      <c r="K1" s="49" t="s">
        <v>388</v>
      </c>
      <c r="L1" s="49" t="s">
        <v>389</v>
      </c>
      <c r="M1" s="49" t="s">
        <v>390</v>
      </c>
      <c r="N1" s="49" t="s">
        <v>391</v>
      </c>
      <c r="O1" s="49" t="s">
        <v>392</v>
      </c>
      <c r="P1" s="49" t="s">
        <v>393</v>
      </c>
      <c r="Q1" s="49" t="s">
        <v>394</v>
      </c>
      <c r="R1" s="49" t="s">
        <v>395</v>
      </c>
      <c r="S1" s="49" t="s">
        <v>396</v>
      </c>
      <c r="T1" s="49" t="s">
        <v>397</v>
      </c>
      <c r="U1" s="49" t="s">
        <v>398</v>
      </c>
      <c r="V1" s="49" t="s">
        <v>399</v>
      </c>
      <c r="W1" s="49" t="s">
        <v>400</v>
      </c>
      <c r="X1" s="49" t="s">
        <v>401</v>
      </c>
      <c r="Y1" s="49" t="s">
        <v>402</v>
      </c>
      <c r="Z1" s="49" t="s">
        <v>403</v>
      </c>
      <c r="AA1" s="16" t="s">
        <v>404</v>
      </c>
      <c r="AB1" s="16" t="s">
        <v>405</v>
      </c>
      <c r="AC1" s="16" t="s">
        <v>406</v>
      </c>
      <c r="AD1" s="16" t="s">
        <v>455</v>
      </c>
    </row>
    <row r="2" spans="1:30" x14ac:dyDescent="0.35">
      <c r="A2" t="s">
        <v>14</v>
      </c>
      <c r="B2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9.5690136475304097E-2</v>
      </c>
      <c r="C2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8.3483655386644831E-2</v>
      </c>
      <c r="D2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0.10963942706260829</v>
      </c>
      <c r="E2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7.116984993522547E-3</v>
      </c>
      <c r="F2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0.52233247238747982</v>
      </c>
      <c r="G2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0.52323844019865517</v>
      </c>
      <c r="H2">
        <f>SUMPRODUCT((all_lmics[[who_choice_region]:[who_choice_region]]=$A2)*all_lmics[mu_01]*all_lmics[[2017_births]:[2017_births]])/SUMPRODUCT((all_lmics[[who_choice_region]:[who_choice_region]]=$A2)*all_lmics[[2017_births]:[2017_births]])</f>
        <v>5.746444300760211E-2</v>
      </c>
      <c r="I2">
        <f>SUMPRODUCT((all_lmics[[who_choice_region]:[who_choice_region]]=$A2)*all_lmics[mu_14]*all_lmics[[2017_births]:[2017_births]])/SUMPRODUCT((all_lmics[[who_choice_region]:[who_choice_region]]=$A2)*all_lmics[[2017_births]:[2017_births]])</f>
        <v>8.4167311382942755E-3</v>
      </c>
      <c r="J2">
        <f>SUMPRODUCT((all_lmics[[who_choice_region]:[who_choice_region]]=$A2)*all_lmics[mu_59]*all_lmics[[2017_births]:[2017_births]])/SUMPRODUCT((all_lmics[[who_choice_region]:[who_choice_region]]=$A2)*all_lmics[[2017_births]:[2017_births]])</f>
        <v>3.8709322328449934E-3</v>
      </c>
      <c r="K2">
        <f>SUMPRODUCT((all_lmics[[who_choice_region]:[who_choice_region]]=$A2)*all_lmics[mu_1014]*all_lmics[[2017_births]:[2017_births]])/SUMPRODUCT((all_lmics[[who_choice_region]:[who_choice_region]]=$A2)*all_lmics[[2017_births]:[2017_births]])</f>
        <v>2.2418367735669922E-3</v>
      </c>
      <c r="L2">
        <f>SUMPRODUCT((all_lmics[[who_choice_region]:[who_choice_region]]=$A2)*all_lmics[mu_1519]*all_lmics[[2017_births]:[2017_births]])/SUMPRODUCT((all_lmics[[who_choice_region]:[who_choice_region]]=$A2)*all_lmics[[2017_births]:[2017_births]])</f>
        <v>3.4615873128881875E-3</v>
      </c>
      <c r="M2">
        <f>SUMPRODUCT((all_lmics[[who_choice_region]:[who_choice_region]]=$A2)*all_lmics[mu_2024]*all_lmics[[2017_births]:[2017_births]])/SUMPRODUCT((all_lmics[[who_choice_region]:[who_choice_region]]=$A2)*all_lmics[[2017_births]:[2017_births]])</f>
        <v>4.3945643325610352E-3</v>
      </c>
      <c r="N2">
        <f>SUMPRODUCT((all_lmics[[who_choice_region]:[who_choice_region]]=$A2)*all_lmics[mu_2529]*all_lmics[[2017_births]:[2017_births]])/SUMPRODUCT((all_lmics[[who_choice_region]:[who_choice_region]]=$A2)*all_lmics[[2017_births]:[2017_births]])</f>
        <v>4.9225992408530898E-3</v>
      </c>
      <c r="O2">
        <f>SUMPRODUCT((all_lmics[[who_choice_region]:[who_choice_region]]=$A2)*all_lmics[mu_3034]*all_lmics[[2017_births]:[2017_births]])/SUMPRODUCT((all_lmics[[who_choice_region]:[who_choice_region]]=$A2)*all_lmics[[2017_births]:[2017_births]])</f>
        <v>5.3720732950860058E-3</v>
      </c>
      <c r="P2">
        <f>SUMPRODUCT((all_lmics[[who_choice_region]:[who_choice_region]]=$A2)*all_lmics[mu_3539]*all_lmics[[2017_births]:[2017_births]])/SUMPRODUCT((all_lmics[[who_choice_region]:[who_choice_region]]=$A2)*all_lmics[[2017_births]:[2017_births]])</f>
        <v>6.132200828715891E-3</v>
      </c>
      <c r="Q2">
        <f>SUMPRODUCT((all_lmics[[who_choice_region]:[who_choice_region]]=$A2)*all_lmics[mu_4044]*all_lmics[[2017_births]:[2017_births]])/SUMPRODUCT((all_lmics[[who_choice_region]:[who_choice_region]]=$A2)*all_lmics[[2017_births]:[2017_births]])</f>
        <v>7.2270785391539572E-3</v>
      </c>
      <c r="R2">
        <f>SUMPRODUCT((all_lmics[[who_choice_region]:[who_choice_region]]=$A2)*all_lmics[mu_4549]*all_lmics[[2017_births]:[2017_births]])/SUMPRODUCT((all_lmics[[who_choice_region]:[who_choice_region]]=$A2)*all_lmics[[2017_births]:[2017_births]])</f>
        <v>8.7034626342556605E-3</v>
      </c>
      <c r="S2">
        <f>SUMPRODUCT((all_lmics[[who_choice_region]:[who_choice_region]]=$A2)*all_lmics[mu_5054]*all_lmics[[2017_births]:[2017_births]])/SUMPRODUCT((all_lmics[[who_choice_region]:[who_choice_region]]=$A2)*all_lmics[[2017_births]:[2017_births]])</f>
        <v>1.1796262306784461E-2</v>
      </c>
      <c r="T2">
        <f>SUMPRODUCT((all_lmics[[who_choice_region]:[who_choice_region]]=$A2)*all_lmics[mu_5559]*all_lmics[[2017_births]:[2017_births]])/SUMPRODUCT((all_lmics[[who_choice_region]:[who_choice_region]]=$A2)*all_lmics[[2017_births]:[2017_births]])</f>
        <v>1.6466999376651408E-2</v>
      </c>
      <c r="U2">
        <f>SUMPRODUCT((all_lmics[[who_choice_region]:[who_choice_region]]=$A2)*all_lmics[mu_6064]*all_lmics[[2017_births]:[2017_births]])/SUMPRODUCT((all_lmics[[who_choice_region]:[who_choice_region]]=$A2)*all_lmics[[2017_births]:[2017_births]])</f>
        <v>2.5548466882579422E-2</v>
      </c>
      <c r="V2">
        <f>SUMPRODUCT((all_lmics[[who_choice_region]:[who_choice_region]]=$A2)*all_lmics[mu_6569]*all_lmics[[2017_births]:[2017_births]])/SUMPRODUCT((all_lmics[[who_choice_region]:[who_choice_region]]=$A2)*all_lmics[[2017_births]:[2017_births]])</f>
        <v>3.9954670917006573E-2</v>
      </c>
      <c r="W2">
        <f>SUMPRODUCT((all_lmics[[who_choice_region]:[who_choice_region]]=$A2)*all_lmics[mu_7074]*all_lmics[[2017_births]:[2017_births]])/SUMPRODUCT((all_lmics[[who_choice_region]:[who_choice_region]]=$A2)*all_lmics[[2017_births]:[2017_births]])</f>
        <v>6.5927039072664922E-2</v>
      </c>
      <c r="X2">
        <f>SUMPRODUCT((all_lmics[[who_choice_region]:[who_choice_region]]=$A2)*all_lmics[mu_7579]*all_lmics[[2017_births]:[2017_births]])/SUMPRODUCT((all_lmics[[who_choice_region]:[who_choice_region]]=$A2)*all_lmics[[2017_births]:[2017_births]])</f>
        <v>0.10851137488629593</v>
      </c>
      <c r="Y2">
        <f>SUMPRODUCT((all_lmics[[who_choice_region]:[who_choice_region]]=$A2)*all_lmics[mu_8084]*all_lmics[[2017_births]:[2017_births]])/SUMPRODUCT((all_lmics[[who_choice_region]:[who_choice_region]]=$A2)*all_lmics[[2017_births]:[2017_births]])</f>
        <v>0.17625636495338506</v>
      </c>
      <c r="Z2">
        <f>SUMPRODUCT((all_lmics[[who_choice_region]:[who_choice_region]]=$A2)*all_lmics[mu_8589]*all_lmics[[2017_births]:[2017_births]])/SUMPRODUCT((all_lmics[[who_choice_region]:[who_choice_region]]=$A2)*all_lmics[[2017_births]:[2017_births]])</f>
        <v>0.2715730412498919</v>
      </c>
      <c r="AA2">
        <f>SUMPRODUCT((all_lmics[[who_choice_region]:[who_choice_region]]=$A2)*all_lmics[mu_9094]*all_lmics[[2017_births]:[2017_births]])/SUMPRODUCT((all_lmics[[who_choice_region]:[who_choice_region]]=$A2)*all_lmics[[2017_births]:[2017_births]])</f>
        <v>0.39645010157188526</v>
      </c>
      <c r="AB2">
        <f>SUMPRODUCT((all_lmics[[who_choice_region]:[who_choice_region]]=$A2)*all_lmics[mu_9599]*all_lmics[[2017_births]:[2017_births]])/SUMPRODUCT((all_lmics[[who_choice_region]:[who_choice_region]]=$A2)*all_lmics[[2017_births]:[2017_births]])</f>
        <v>0.51517714800014536</v>
      </c>
      <c r="AC2">
        <f>SUMPRODUCT((all_lmics[[who_choice_region]:[who_choice_region]]=$A2)*all_lmics[mu_100]*all_lmics[[2017_births]:[2017_births]])/SUMPRODUCT((all_lmics[[who_choice_region]:[who_choice_region]]=$A2)*all_lmics[[2017_births]:[2017_births]])</f>
        <v>0.70505381323802052</v>
      </c>
      <c r="AD2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6.9182077263473599E-2</v>
      </c>
    </row>
    <row r="3" spans="1:30" x14ac:dyDescent="0.35">
      <c r="A3" t="s">
        <v>49</v>
      </c>
      <c r="B3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6.1603803394989463E-2</v>
      </c>
      <c r="C3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5.3667603639892883E-2</v>
      </c>
      <c r="D3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6.7669984621395951E-2</v>
      </c>
      <c r="E3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3.0949904216359672E-3</v>
      </c>
      <c r="F3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0.64545218770301527</v>
      </c>
      <c r="G3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0.63831605638088318</v>
      </c>
      <c r="H3">
        <f>SUMPRODUCT((all_lmics[[who_choice_region]:[who_choice_region]]=$A3)*all_lmics[mu_01]*all_lmics[[2017_births]:[2017_births]])/SUMPRODUCT((all_lmics[[who_choice_region]:[who_choice_region]]=$A3)*all_lmics[[2017_births]:[2017_births]])</f>
        <v>4.8101339154786676E-2</v>
      </c>
      <c r="I3">
        <f>SUMPRODUCT((all_lmics[[who_choice_region]:[who_choice_region]]=$A3)*all_lmics[mu_14]*all_lmics[[2017_births]:[2017_births]])/SUMPRODUCT((all_lmics[[who_choice_region]:[who_choice_region]]=$A3)*all_lmics[[2017_births]:[2017_births]])</f>
        <v>5.3190666231315272E-3</v>
      </c>
      <c r="J3">
        <f>SUMPRODUCT((all_lmics[[who_choice_region]:[who_choice_region]]=$A3)*all_lmics[mu_59]*all_lmics[[2017_births]:[2017_births]])/SUMPRODUCT((all_lmics[[who_choice_region]:[who_choice_region]]=$A3)*all_lmics[[2017_births]:[2017_births]])</f>
        <v>1.976003644955151E-3</v>
      </c>
      <c r="K3">
        <f>SUMPRODUCT((all_lmics[[who_choice_region]:[who_choice_region]]=$A3)*all_lmics[mu_1014]*all_lmics[[2017_births]:[2017_births]])/SUMPRODUCT((all_lmics[[who_choice_region]:[who_choice_region]]=$A3)*all_lmics[[2017_births]:[2017_births]])</f>
        <v>1.3728119715124189E-3</v>
      </c>
      <c r="L3">
        <f>SUMPRODUCT((all_lmics[[who_choice_region]:[who_choice_region]]=$A3)*all_lmics[mu_1519]*all_lmics[[2017_births]:[2017_births]])/SUMPRODUCT((all_lmics[[who_choice_region]:[who_choice_region]]=$A3)*all_lmics[[2017_births]:[2017_births]])</f>
        <v>1.9790642104116065E-3</v>
      </c>
      <c r="M3">
        <f>SUMPRODUCT((all_lmics[[who_choice_region]:[who_choice_region]]=$A3)*all_lmics[mu_2024]*all_lmics[[2017_births]:[2017_births]])/SUMPRODUCT((all_lmics[[who_choice_region]:[who_choice_region]]=$A3)*all_lmics[[2017_births]:[2017_births]])</f>
        <v>2.8646468003988069E-3</v>
      </c>
      <c r="N3">
        <f>SUMPRODUCT((all_lmics[[who_choice_region]:[who_choice_region]]=$A3)*all_lmics[mu_2529]*all_lmics[[2017_births]:[2017_births]])/SUMPRODUCT((all_lmics[[who_choice_region]:[who_choice_region]]=$A3)*all_lmics[[2017_births]:[2017_births]])</f>
        <v>3.6549509168808877E-3</v>
      </c>
      <c r="O3">
        <f>SUMPRODUCT((all_lmics[[who_choice_region]:[who_choice_region]]=$A3)*all_lmics[mu_3034]*all_lmics[[2017_births]:[2017_births]])/SUMPRODUCT((all_lmics[[who_choice_region]:[who_choice_region]]=$A3)*all_lmics[[2017_births]:[2017_births]])</f>
        <v>4.5951249423236999E-3</v>
      </c>
      <c r="P3">
        <f>SUMPRODUCT((all_lmics[[who_choice_region]:[who_choice_region]]=$A3)*all_lmics[mu_3539]*all_lmics[[2017_births]:[2017_births]])/SUMPRODUCT((all_lmics[[who_choice_region]:[who_choice_region]]=$A3)*all_lmics[[2017_births]:[2017_births]])</f>
        <v>5.9860567862946787E-3</v>
      </c>
      <c r="Q3">
        <f>SUMPRODUCT((all_lmics[[who_choice_region]:[who_choice_region]]=$A3)*all_lmics[mu_4044]*all_lmics[[2017_births]:[2017_births]])/SUMPRODUCT((all_lmics[[who_choice_region]:[who_choice_region]]=$A3)*all_lmics[[2017_births]:[2017_births]])</f>
        <v>7.3030803697802767E-3</v>
      </c>
      <c r="R3">
        <f>SUMPRODUCT((all_lmics[[who_choice_region]:[who_choice_region]]=$A3)*all_lmics[mu_4549]*all_lmics[[2017_births]:[2017_births]])/SUMPRODUCT((all_lmics[[who_choice_region]:[who_choice_region]]=$A3)*all_lmics[[2017_births]:[2017_births]])</f>
        <v>8.8178208899849127E-3</v>
      </c>
      <c r="S3">
        <f>SUMPRODUCT((all_lmics[[who_choice_region]:[who_choice_region]]=$A3)*all_lmics[mu_5054]*all_lmics[[2017_births]:[2017_births]])/SUMPRODUCT((all_lmics[[who_choice_region]:[who_choice_region]]=$A3)*all_lmics[[2017_births]:[2017_births]])</f>
        <v>1.1581740667480656E-2</v>
      </c>
      <c r="T3">
        <f>SUMPRODUCT((all_lmics[[who_choice_region]:[who_choice_region]]=$A3)*all_lmics[mu_5559]*all_lmics[[2017_births]:[2017_births]])/SUMPRODUCT((all_lmics[[who_choice_region]:[who_choice_region]]=$A3)*all_lmics[[2017_births]:[2017_births]])</f>
        <v>1.4978997948099378E-2</v>
      </c>
      <c r="U3">
        <f>SUMPRODUCT((all_lmics[[who_choice_region]:[who_choice_region]]=$A3)*all_lmics[mu_6064]*all_lmics[[2017_births]:[2017_births]])/SUMPRODUCT((all_lmics[[who_choice_region]:[who_choice_region]]=$A3)*all_lmics[[2017_births]:[2017_births]])</f>
        <v>2.1809115656820123E-2</v>
      </c>
      <c r="V3">
        <f>SUMPRODUCT((all_lmics[[who_choice_region]:[who_choice_region]]=$A3)*all_lmics[mu_6569]*all_lmics[[2017_births]:[2017_births]])/SUMPRODUCT((all_lmics[[who_choice_region]:[who_choice_region]]=$A3)*all_lmics[[2017_births]:[2017_births]])</f>
        <v>3.3239276380772058E-2</v>
      </c>
      <c r="W3">
        <f>SUMPRODUCT((all_lmics[[who_choice_region]:[who_choice_region]]=$A3)*all_lmics[mu_7074]*all_lmics[[2017_births]:[2017_births]])/SUMPRODUCT((all_lmics[[who_choice_region]:[who_choice_region]]=$A3)*all_lmics[[2017_births]:[2017_births]])</f>
        <v>5.2451627392528025E-2</v>
      </c>
      <c r="X3">
        <f>SUMPRODUCT((all_lmics[[who_choice_region]:[who_choice_region]]=$A3)*all_lmics[mu_7579]*all_lmics[[2017_births]:[2017_births]])/SUMPRODUCT((all_lmics[[who_choice_region]:[who_choice_region]]=$A3)*all_lmics[[2017_births]:[2017_births]])</f>
        <v>8.3919808190745099E-2</v>
      </c>
      <c r="Y3">
        <f>SUMPRODUCT((all_lmics[[who_choice_region]:[who_choice_region]]=$A3)*all_lmics[mu_8084]*all_lmics[[2017_births]:[2017_births]])/SUMPRODUCT((all_lmics[[who_choice_region]:[who_choice_region]]=$A3)*all_lmics[[2017_births]:[2017_births]])</f>
        <v>0.13827720044782127</v>
      </c>
      <c r="Z3">
        <f>SUMPRODUCT((all_lmics[[who_choice_region]:[who_choice_region]]=$A3)*all_lmics[mu_8589]*all_lmics[[2017_births]:[2017_births]])/SUMPRODUCT((all_lmics[[who_choice_region]:[who_choice_region]]=$A3)*all_lmics[[2017_births]:[2017_births]])</f>
        <v>0.22561373207190302</v>
      </c>
      <c r="AA3">
        <f>SUMPRODUCT((all_lmics[[who_choice_region]:[who_choice_region]]=$A3)*all_lmics[mu_9094]*all_lmics[[2017_births]:[2017_births]])/SUMPRODUCT((all_lmics[[who_choice_region]:[who_choice_region]]=$A3)*all_lmics[[2017_births]:[2017_births]])</f>
        <v>0.35750637134131918</v>
      </c>
      <c r="AB3">
        <f>SUMPRODUCT((all_lmics[[who_choice_region]:[who_choice_region]]=$A3)*all_lmics[mu_9599]*all_lmics[[2017_births]:[2017_births]])/SUMPRODUCT((all_lmics[[who_choice_region]:[who_choice_region]]=$A3)*all_lmics[[2017_births]:[2017_births]])</f>
        <v>0.5036358845944342</v>
      </c>
      <c r="AC3">
        <f>SUMPRODUCT((all_lmics[[who_choice_region]:[who_choice_region]]=$A3)*all_lmics[mu_100]*all_lmics[[2017_births]:[2017_births]])/SUMPRODUCT((all_lmics[[who_choice_region]:[who_choice_region]]=$A3)*all_lmics[[2017_births]:[2017_births]])</f>
        <v>0.66242758627150344</v>
      </c>
      <c r="AD3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4.9841116175969501E-2</v>
      </c>
    </row>
    <row r="4" spans="1:30" x14ac:dyDescent="0.35">
      <c r="A4" t="s">
        <v>22</v>
      </c>
      <c r="B4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4.1444892127893984E-3</v>
      </c>
      <c r="C4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2.6055266579680684E-3</v>
      </c>
      <c r="D4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7.7002555713058798E-3</v>
      </c>
      <c r="E4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1.8146552860433664E-3</v>
      </c>
      <c r="F4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0.97729272347761476</v>
      </c>
      <c r="G4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0.97897758427523118</v>
      </c>
      <c r="H4">
        <f>SUMPRODUCT((all_lmics[[who_choice_region]:[who_choice_region]]=$A4)*all_lmics[mu_01]*all_lmics[[2017_births]:[2017_births]])/SUMPRODUCT((all_lmics[[who_choice_region]:[who_choice_region]]=$A4)*all_lmics[[2017_births]:[2017_births]])</f>
        <v>1.4248933230069195E-2</v>
      </c>
      <c r="I4">
        <f>SUMPRODUCT((all_lmics[[who_choice_region]:[who_choice_region]]=$A4)*all_lmics[mu_14]*all_lmics[[2017_births]:[2017_births]])/SUMPRODUCT((all_lmics[[who_choice_region]:[who_choice_region]]=$A4)*all_lmics[[2017_births]:[2017_births]])</f>
        <v>6.2059672144430377E-4</v>
      </c>
      <c r="J4">
        <f>SUMPRODUCT((all_lmics[[who_choice_region]:[who_choice_region]]=$A4)*all_lmics[mu_59]*all_lmics[[2017_births]:[2017_births]])/SUMPRODUCT((all_lmics[[who_choice_region]:[who_choice_region]]=$A4)*all_lmics[[2017_births]:[2017_births]])</f>
        <v>2.7163641572990901E-4</v>
      </c>
      <c r="K4">
        <f>SUMPRODUCT((all_lmics[[who_choice_region]:[who_choice_region]]=$A4)*all_lmics[mu_1014]*all_lmics[[2017_births]:[2017_births]])/SUMPRODUCT((all_lmics[[who_choice_region]:[who_choice_region]]=$A4)*all_lmics[[2017_births]:[2017_births]])</f>
        <v>3.3965203446702355E-4</v>
      </c>
      <c r="L4">
        <f>SUMPRODUCT((all_lmics[[who_choice_region]:[who_choice_region]]=$A4)*all_lmics[mu_1519]*all_lmics[[2017_births]:[2017_births]])/SUMPRODUCT((all_lmics[[who_choice_region]:[who_choice_region]]=$A4)*all_lmics[[2017_births]:[2017_births]])</f>
        <v>9.5235573322869597E-4</v>
      </c>
      <c r="M4">
        <f>SUMPRODUCT((all_lmics[[who_choice_region]:[who_choice_region]]=$A4)*all_lmics[mu_2024]*all_lmics[[2017_births]:[2017_births]])/SUMPRODUCT((all_lmics[[who_choice_region]:[who_choice_region]]=$A4)*all_lmics[[2017_births]:[2017_births]])</f>
        <v>1.506073942869571E-3</v>
      </c>
      <c r="N4">
        <f>SUMPRODUCT((all_lmics[[who_choice_region]:[who_choice_region]]=$A4)*all_lmics[mu_2529]*all_lmics[[2017_births]:[2017_births]])/SUMPRODUCT((all_lmics[[who_choice_region]:[who_choice_region]]=$A4)*all_lmics[[2017_births]:[2017_births]])</f>
        <v>1.6186363938697082E-3</v>
      </c>
      <c r="O4">
        <f>SUMPRODUCT((all_lmics[[who_choice_region]:[who_choice_region]]=$A4)*all_lmics[mu_3034]*all_lmics[[2017_births]:[2017_births]])/SUMPRODUCT((all_lmics[[who_choice_region]:[who_choice_region]]=$A4)*all_lmics[[2017_births]:[2017_births]])</f>
        <v>1.8082087370652829E-3</v>
      </c>
      <c r="P4">
        <f>SUMPRODUCT((all_lmics[[who_choice_region]:[who_choice_region]]=$A4)*all_lmics[mu_3539]*all_lmics[[2017_births]:[2017_births]])/SUMPRODUCT((all_lmics[[who_choice_region]:[who_choice_region]]=$A4)*all_lmics[[2017_births]:[2017_births]])</f>
        <v>2.1561320182217755E-3</v>
      </c>
      <c r="Q4">
        <f>SUMPRODUCT((all_lmics[[who_choice_region]:[who_choice_region]]=$A4)*all_lmics[mu_4044]*all_lmics[[2017_births]:[2017_births]])/SUMPRODUCT((all_lmics[[who_choice_region]:[who_choice_region]]=$A4)*all_lmics[[2017_births]:[2017_births]])</f>
        <v>2.7792702875905507E-3</v>
      </c>
      <c r="R4">
        <f>SUMPRODUCT((all_lmics[[who_choice_region]:[who_choice_region]]=$A4)*all_lmics[mu_4549]*all_lmics[[2017_births]:[2017_births]])/SUMPRODUCT((all_lmics[[who_choice_region]:[who_choice_region]]=$A4)*all_lmics[[2017_births]:[2017_births]])</f>
        <v>3.9658396160708841E-3</v>
      </c>
      <c r="S4">
        <f>SUMPRODUCT((all_lmics[[who_choice_region]:[who_choice_region]]=$A4)*all_lmics[mu_5054]*all_lmics[[2017_births]:[2017_births]])/SUMPRODUCT((all_lmics[[who_choice_region]:[who_choice_region]]=$A4)*all_lmics[[2017_births]:[2017_births]])</f>
        <v>5.8514548590195775E-3</v>
      </c>
      <c r="T4">
        <f>SUMPRODUCT((all_lmics[[who_choice_region]:[who_choice_region]]=$A4)*all_lmics[mu_5559]*all_lmics[[2017_births]:[2017_births]])/SUMPRODUCT((all_lmics[[who_choice_region]:[who_choice_region]]=$A4)*all_lmics[[2017_births]:[2017_births]])</f>
        <v>8.6574529952604101E-3</v>
      </c>
      <c r="U4">
        <f>SUMPRODUCT((all_lmics[[who_choice_region]:[who_choice_region]]=$A4)*all_lmics[mu_6064]*all_lmics[[2017_births]:[2017_births]])/SUMPRODUCT((all_lmics[[who_choice_region]:[who_choice_region]]=$A4)*all_lmics[[2017_births]:[2017_births]])</f>
        <v>1.3115831217175869E-2</v>
      </c>
      <c r="V4">
        <f>SUMPRODUCT((all_lmics[[who_choice_region]:[who_choice_region]]=$A4)*all_lmics[mu_6569]*all_lmics[[2017_births]:[2017_births]])/SUMPRODUCT((all_lmics[[who_choice_region]:[who_choice_region]]=$A4)*all_lmics[[2017_births]:[2017_births]])</f>
        <v>2.0065990759328588E-2</v>
      </c>
      <c r="W4">
        <f>SUMPRODUCT((all_lmics[[who_choice_region]:[who_choice_region]]=$A4)*all_lmics[mu_7074]*all_lmics[[2017_births]:[2017_births]])/SUMPRODUCT((all_lmics[[who_choice_region]:[who_choice_region]]=$A4)*all_lmics[[2017_births]:[2017_births]])</f>
        <v>3.002419587261939E-2</v>
      </c>
      <c r="X4">
        <f>SUMPRODUCT((all_lmics[[who_choice_region]:[who_choice_region]]=$A4)*all_lmics[mu_7579]*all_lmics[[2017_births]:[2017_births]])/SUMPRODUCT((all_lmics[[who_choice_region]:[who_choice_region]]=$A4)*all_lmics[[2017_births]:[2017_births]])</f>
        <v>4.6158032553931964E-2</v>
      </c>
      <c r="Y4">
        <f>SUMPRODUCT((all_lmics[[who_choice_region]:[who_choice_region]]=$A4)*all_lmics[mu_8084]*all_lmics[[2017_births]:[2017_births]])/SUMPRODUCT((all_lmics[[who_choice_region]:[who_choice_region]]=$A4)*all_lmics[[2017_births]:[2017_births]])</f>
        <v>7.0928885243889364E-2</v>
      </c>
      <c r="Z4">
        <f>SUMPRODUCT((all_lmics[[who_choice_region]:[who_choice_region]]=$A4)*all_lmics[mu_8589]*all_lmics[[2017_births]:[2017_births]])/SUMPRODUCT((all_lmics[[who_choice_region]:[who_choice_region]]=$A4)*all_lmics[[2017_births]:[2017_births]])</f>
        <v>0.10967671748198599</v>
      </c>
      <c r="AA4">
        <f>SUMPRODUCT((all_lmics[[who_choice_region]:[who_choice_region]]=$A4)*all_lmics[mu_9094]*all_lmics[[2017_births]:[2017_births]])/SUMPRODUCT((all_lmics[[who_choice_region]:[who_choice_region]]=$A4)*all_lmics[[2017_births]:[2017_births]])</f>
        <v>0.16124903915003161</v>
      </c>
      <c r="AB4">
        <f>SUMPRODUCT((all_lmics[[who_choice_region]:[who_choice_region]]=$A4)*all_lmics[mu_9599]*all_lmics[[2017_births]:[2017_births]])/SUMPRODUCT((all_lmics[[who_choice_region]:[who_choice_region]]=$A4)*all_lmics[[2017_births]:[2017_births]])</f>
        <v>0.25051575065448178</v>
      </c>
      <c r="AC4">
        <f>SUMPRODUCT((all_lmics[[who_choice_region]:[who_choice_region]]=$A4)*all_lmics[mu_100]*all_lmics[[2017_births]:[2017_births]])/SUMPRODUCT((all_lmics[[who_choice_region]:[who_choice_region]]=$A4)*all_lmics[[2017_births]:[2017_births]])</f>
        <v>0.38623014361104735</v>
      </c>
      <c r="AD4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0.204083371647339</v>
      </c>
    </row>
    <row r="5" spans="1:30" x14ac:dyDescent="0.35">
      <c r="A5" t="s">
        <v>46</v>
      </c>
      <c r="B5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1.0840073953722303E-2</v>
      </c>
      <c r="C5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8.0222090882106373E-3</v>
      </c>
      <c r="D5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1.6465574437084379E-2</v>
      </c>
      <c r="E5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2.8701533078377942E-3</v>
      </c>
      <c r="F5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0.80203785562493113</v>
      </c>
      <c r="G5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0.75379628774232799</v>
      </c>
      <c r="H5">
        <f>SUMPRODUCT((all_lmics[[who_choice_region]:[who_choice_region]]=$A5)*all_lmics[mu_01]*all_lmics[[2017_births]:[2017_births]])/SUMPRODUCT((all_lmics[[who_choice_region]:[who_choice_region]]=$A5)*all_lmics[[2017_births]:[2017_births]])</f>
        <v>2.3012485983680313E-2</v>
      </c>
      <c r="I5">
        <f>SUMPRODUCT((all_lmics[[who_choice_region]:[who_choice_region]]=$A5)*all_lmics[mu_14]*all_lmics[[2017_births]:[2017_births]])/SUMPRODUCT((all_lmics[[who_choice_region]:[who_choice_region]]=$A5)*all_lmics[[2017_births]:[2017_births]])</f>
        <v>2.2960994424755981E-3</v>
      </c>
      <c r="J5">
        <f>SUMPRODUCT((all_lmics[[who_choice_region]:[who_choice_region]]=$A5)*all_lmics[mu_59]*all_lmics[[2017_births]:[2017_births]])/SUMPRODUCT((all_lmics[[who_choice_region]:[who_choice_region]]=$A5)*all_lmics[[2017_births]:[2017_births]])</f>
        <v>8.2638352884408038E-4</v>
      </c>
      <c r="K5">
        <f>SUMPRODUCT((all_lmics[[who_choice_region]:[who_choice_region]]=$A5)*all_lmics[mu_1014]*all_lmics[[2017_births]:[2017_births]])/SUMPRODUCT((all_lmics[[who_choice_region]:[who_choice_region]]=$A5)*all_lmics[[2017_births]:[2017_births]])</f>
        <v>6.9386284309907315E-4</v>
      </c>
      <c r="L5">
        <f>SUMPRODUCT((all_lmics[[who_choice_region]:[who_choice_region]]=$A5)*all_lmics[mu_1519]*all_lmics[[2017_births]:[2017_births]])/SUMPRODUCT((all_lmics[[who_choice_region]:[who_choice_region]]=$A5)*all_lmics[[2017_births]:[2017_births]])</f>
        <v>1.2528659497674022E-3</v>
      </c>
      <c r="M5">
        <f>SUMPRODUCT((all_lmics[[who_choice_region]:[who_choice_region]]=$A5)*all_lmics[mu_2024]*all_lmics[[2017_births]:[2017_births]])/SUMPRODUCT((all_lmics[[who_choice_region]:[who_choice_region]]=$A5)*all_lmics[[2017_births]:[2017_births]])</f>
        <v>1.8297115368529687E-3</v>
      </c>
      <c r="N5">
        <f>SUMPRODUCT((all_lmics[[who_choice_region]:[who_choice_region]]=$A5)*all_lmics[mu_2529]*all_lmics[[2017_births]:[2017_births]])/SUMPRODUCT((all_lmics[[who_choice_region]:[who_choice_region]]=$A5)*all_lmics[[2017_births]:[2017_births]])</f>
        <v>2.2425252566140338E-3</v>
      </c>
      <c r="O5">
        <f>SUMPRODUCT((all_lmics[[who_choice_region]:[who_choice_region]]=$A5)*all_lmics[mu_3034]*all_lmics[[2017_births]:[2017_births]])/SUMPRODUCT((all_lmics[[who_choice_region]:[who_choice_region]]=$A5)*all_lmics[[2017_births]:[2017_births]])</f>
        <v>2.5168368793619207E-3</v>
      </c>
      <c r="P5">
        <f>SUMPRODUCT((all_lmics[[who_choice_region]:[who_choice_region]]=$A5)*all_lmics[mu_3539]*all_lmics[[2017_births]:[2017_births]])/SUMPRODUCT((all_lmics[[who_choice_region]:[who_choice_region]]=$A5)*all_lmics[[2017_births]:[2017_births]])</f>
        <v>2.9022644884282613E-3</v>
      </c>
      <c r="Q5">
        <f>SUMPRODUCT((all_lmics[[who_choice_region]:[who_choice_region]]=$A5)*all_lmics[mu_4044]*all_lmics[[2017_births]:[2017_births]])/SUMPRODUCT((all_lmics[[who_choice_region]:[who_choice_region]]=$A5)*all_lmics[[2017_births]:[2017_births]])</f>
        <v>3.4756552644170493E-3</v>
      </c>
      <c r="R5">
        <f>SUMPRODUCT((all_lmics[[who_choice_region]:[who_choice_region]]=$A5)*all_lmics[mu_4549]*all_lmics[[2017_births]:[2017_births]])/SUMPRODUCT((all_lmics[[who_choice_region]:[who_choice_region]]=$A5)*all_lmics[[2017_births]:[2017_births]])</f>
        <v>4.4393732274649253E-3</v>
      </c>
      <c r="S5">
        <f>SUMPRODUCT((all_lmics[[who_choice_region]:[who_choice_region]]=$A5)*all_lmics[mu_5054]*all_lmics[[2017_births]:[2017_births]])/SUMPRODUCT((all_lmics[[who_choice_region]:[who_choice_region]]=$A5)*all_lmics[[2017_births]:[2017_births]])</f>
        <v>6.0485125677556921E-3</v>
      </c>
      <c r="T5">
        <f>SUMPRODUCT((all_lmics[[who_choice_region]:[who_choice_region]]=$A5)*all_lmics[mu_5559]*all_lmics[[2017_births]:[2017_births]])/SUMPRODUCT((all_lmics[[who_choice_region]:[who_choice_region]]=$A5)*all_lmics[[2017_births]:[2017_births]])</f>
        <v>8.5021309571848905E-3</v>
      </c>
      <c r="U5">
        <f>SUMPRODUCT((all_lmics[[who_choice_region]:[who_choice_region]]=$A5)*all_lmics[mu_6064]*all_lmics[[2017_births]:[2017_births]])/SUMPRODUCT((all_lmics[[who_choice_region]:[who_choice_region]]=$A5)*all_lmics[[2017_births]:[2017_births]])</f>
        <v>1.2620427685668992E-2</v>
      </c>
      <c r="V5">
        <f>SUMPRODUCT((all_lmics[[who_choice_region]:[who_choice_region]]=$A5)*all_lmics[mu_6569]*all_lmics[[2017_births]:[2017_births]])/SUMPRODUCT((all_lmics[[who_choice_region]:[who_choice_region]]=$A5)*all_lmics[[2017_births]:[2017_births]])</f>
        <v>1.8220468345032163E-2</v>
      </c>
      <c r="W5">
        <f>SUMPRODUCT((all_lmics[[who_choice_region]:[who_choice_region]]=$A5)*all_lmics[mu_7074]*all_lmics[[2017_births]:[2017_births]])/SUMPRODUCT((all_lmics[[who_choice_region]:[who_choice_region]]=$A5)*all_lmics[[2017_births]:[2017_births]])</f>
        <v>2.850355333340392E-2</v>
      </c>
      <c r="X5">
        <f>SUMPRODUCT((all_lmics[[who_choice_region]:[who_choice_region]]=$A5)*all_lmics[mu_7579]*all_lmics[[2017_births]:[2017_births]])/SUMPRODUCT((all_lmics[[who_choice_region]:[who_choice_region]]=$A5)*all_lmics[[2017_births]:[2017_births]])</f>
        <v>4.6017648769341252E-2</v>
      </c>
      <c r="Y5">
        <f>SUMPRODUCT((all_lmics[[who_choice_region]:[who_choice_region]]=$A5)*all_lmics[mu_8084]*all_lmics[[2017_births]:[2017_births]])/SUMPRODUCT((all_lmics[[who_choice_region]:[who_choice_region]]=$A5)*all_lmics[[2017_births]:[2017_births]])</f>
        <v>7.4928262456754921E-2</v>
      </c>
      <c r="Z5">
        <f>SUMPRODUCT((all_lmics[[who_choice_region]:[who_choice_region]]=$A5)*all_lmics[mu_8589]*all_lmics[[2017_births]:[2017_births]])/SUMPRODUCT((all_lmics[[who_choice_region]:[who_choice_region]]=$A5)*all_lmics[[2017_births]:[2017_births]])</f>
        <v>0.11963598310785277</v>
      </c>
      <c r="AA5">
        <f>SUMPRODUCT((all_lmics[[who_choice_region]:[who_choice_region]]=$A5)*all_lmics[mu_9094]*all_lmics[[2017_births]:[2017_births]])/SUMPRODUCT((all_lmics[[who_choice_region]:[who_choice_region]]=$A5)*all_lmics[[2017_births]:[2017_births]])</f>
        <v>0.17747724479271054</v>
      </c>
      <c r="AB5">
        <f>SUMPRODUCT((all_lmics[[who_choice_region]:[who_choice_region]]=$A5)*all_lmics[mu_9599]*all_lmics[[2017_births]:[2017_births]])/SUMPRODUCT((all_lmics[[who_choice_region]:[who_choice_region]]=$A5)*all_lmics[[2017_births]:[2017_births]])</f>
        <v>0.25191671195690479</v>
      </c>
      <c r="AC5">
        <f>SUMPRODUCT((all_lmics[[who_choice_region]:[who_choice_region]]=$A5)*all_lmics[mu_100]*all_lmics[[2017_births]:[2017_births]])/SUMPRODUCT((all_lmics[[who_choice_region]:[who_choice_region]]=$A5)*all_lmics[[2017_births]:[2017_births]])</f>
        <v>0.35327368932531217</v>
      </c>
      <c r="AD5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9.5529925290293513E-2</v>
      </c>
    </row>
    <row r="6" spans="1:30" x14ac:dyDescent="0.35">
      <c r="A6" t="s">
        <v>33</v>
      </c>
      <c r="B6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2.1927083644118401E-2</v>
      </c>
      <c r="C6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1.6833354163232325E-2</v>
      </c>
      <c r="D6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2.4978820468029621E-2</v>
      </c>
      <c r="E6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1.5570085836281741E-3</v>
      </c>
      <c r="F6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0.96981781563077396</v>
      </c>
      <c r="G6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0.93600132541198255</v>
      </c>
      <c r="H6">
        <f>SUMPRODUCT((all_lmics[[who_choice_region]:[who_choice_region]]=$A6)*all_lmics[mu_01]*all_lmics[[2017_births]:[2017_births]])/SUMPRODUCT((all_lmics[[who_choice_region]:[who_choice_region]]=$A6)*all_lmics[[2017_births]:[2017_births]])</f>
        <v>1.1412927617586156E-2</v>
      </c>
      <c r="I6">
        <f>SUMPRODUCT((all_lmics[[who_choice_region]:[who_choice_region]]=$A6)*all_lmics[mu_14]*all_lmics[[2017_births]:[2017_births]])/SUMPRODUCT((all_lmics[[who_choice_region]:[who_choice_region]]=$A6)*all_lmics[[2017_births]:[2017_births]])</f>
        <v>4.4452194680294813E-4</v>
      </c>
      <c r="J6">
        <f>SUMPRODUCT((all_lmics[[who_choice_region]:[who_choice_region]]=$A6)*all_lmics[mu_59]*all_lmics[[2017_births]:[2017_births]])/SUMPRODUCT((all_lmics[[who_choice_region]:[who_choice_region]]=$A6)*all_lmics[[2017_births]:[2017_births]])</f>
        <v>2.8494339593845028E-4</v>
      </c>
      <c r="K6">
        <f>SUMPRODUCT((all_lmics[[who_choice_region]:[who_choice_region]]=$A6)*all_lmics[mu_1014]*all_lmics[[2017_births]:[2017_births]])/SUMPRODUCT((all_lmics[[who_choice_region]:[who_choice_region]]=$A6)*all_lmics[[2017_births]:[2017_births]])</f>
        <v>2.9505088105961745E-4</v>
      </c>
      <c r="L6">
        <f>SUMPRODUCT((all_lmics[[who_choice_region]:[who_choice_region]]=$A6)*all_lmics[mu_1519]*all_lmics[[2017_births]:[2017_births]])/SUMPRODUCT((all_lmics[[who_choice_region]:[who_choice_region]]=$A6)*all_lmics[[2017_births]:[2017_births]])</f>
        <v>7.4960320257831496E-4</v>
      </c>
      <c r="M6">
        <f>SUMPRODUCT((all_lmics[[who_choice_region]:[who_choice_region]]=$A6)*all_lmics[mu_2024]*all_lmics[[2017_births]:[2017_births]])/SUMPRODUCT((all_lmics[[who_choice_region]:[who_choice_region]]=$A6)*all_lmics[[2017_births]:[2017_births]])</f>
        <v>1.0628191802838183E-3</v>
      </c>
      <c r="N6">
        <f>SUMPRODUCT((all_lmics[[who_choice_region]:[who_choice_region]]=$A6)*all_lmics[mu_2529]*all_lmics[[2017_births]:[2017_births]])/SUMPRODUCT((all_lmics[[who_choice_region]:[who_choice_region]]=$A6)*all_lmics[[2017_births]:[2017_births]])</f>
        <v>1.1133967681111968E-3</v>
      </c>
      <c r="O6">
        <f>SUMPRODUCT((all_lmics[[who_choice_region]:[who_choice_region]]=$A6)*all_lmics[mu_3034]*all_lmics[[2017_births]:[2017_births]])/SUMPRODUCT((all_lmics[[who_choice_region]:[who_choice_region]]=$A6)*all_lmics[[2017_births]:[2017_births]])</f>
        <v>1.0657513465217206E-3</v>
      </c>
      <c r="P6">
        <f>SUMPRODUCT((all_lmics[[who_choice_region]:[who_choice_region]]=$A6)*all_lmics[mu_3539]*all_lmics[[2017_births]:[2017_births]])/SUMPRODUCT((all_lmics[[who_choice_region]:[who_choice_region]]=$A6)*all_lmics[[2017_births]:[2017_births]])</f>
        <v>1.090872971759175E-3</v>
      </c>
      <c r="Q6">
        <f>SUMPRODUCT((all_lmics[[who_choice_region]:[who_choice_region]]=$A6)*all_lmics[mu_4044]*all_lmics[[2017_births]:[2017_births]])/SUMPRODUCT((all_lmics[[who_choice_region]:[who_choice_region]]=$A6)*all_lmics[[2017_births]:[2017_births]])</f>
        <v>1.5239445860508922E-3</v>
      </c>
      <c r="R6">
        <f>SUMPRODUCT((all_lmics[[who_choice_region]:[who_choice_region]]=$A6)*all_lmics[mu_4549]*all_lmics[[2017_births]:[2017_births]])/SUMPRODUCT((all_lmics[[who_choice_region]:[who_choice_region]]=$A6)*all_lmics[[2017_births]:[2017_births]])</f>
        <v>2.3393470307883795E-3</v>
      </c>
      <c r="S6">
        <f>SUMPRODUCT((all_lmics[[who_choice_region]:[who_choice_region]]=$A6)*all_lmics[mu_5054]*all_lmics[[2017_births]:[2017_births]])/SUMPRODUCT((all_lmics[[who_choice_region]:[who_choice_region]]=$A6)*all_lmics[[2017_births]:[2017_births]])</f>
        <v>4.0934174900853076E-3</v>
      </c>
      <c r="T6">
        <f>SUMPRODUCT((all_lmics[[who_choice_region]:[who_choice_region]]=$A6)*all_lmics[mu_5559]*all_lmics[[2017_births]:[2017_births]])/SUMPRODUCT((all_lmics[[who_choice_region]:[who_choice_region]]=$A6)*all_lmics[[2017_births]:[2017_births]])</f>
        <v>6.2212970500367037E-3</v>
      </c>
      <c r="U6">
        <f>SUMPRODUCT((all_lmics[[who_choice_region]:[who_choice_region]]=$A6)*all_lmics[mu_6064]*all_lmics[[2017_births]:[2017_births]])/SUMPRODUCT((all_lmics[[who_choice_region]:[who_choice_region]]=$A6)*all_lmics[[2017_births]:[2017_births]])</f>
        <v>1.2105677257883406E-2</v>
      </c>
      <c r="V6">
        <f>SUMPRODUCT((all_lmics[[who_choice_region]:[who_choice_region]]=$A6)*all_lmics[mu_6569]*all_lmics[[2017_births]:[2017_births]])/SUMPRODUCT((all_lmics[[who_choice_region]:[who_choice_region]]=$A6)*all_lmics[[2017_births]:[2017_births]])</f>
        <v>2.0345682978732883E-2</v>
      </c>
      <c r="W6">
        <f>SUMPRODUCT((all_lmics[[who_choice_region]:[who_choice_region]]=$A6)*all_lmics[mu_7074]*all_lmics[[2017_births]:[2017_births]])/SUMPRODUCT((all_lmics[[who_choice_region]:[who_choice_region]]=$A6)*all_lmics[[2017_births]:[2017_births]])</f>
        <v>3.8586045598612159E-2</v>
      </c>
      <c r="X6">
        <f>SUMPRODUCT((all_lmics[[who_choice_region]:[who_choice_region]]=$A6)*all_lmics[mu_7579]*all_lmics[[2017_births]:[2017_births]])/SUMPRODUCT((all_lmics[[who_choice_region]:[who_choice_region]]=$A6)*all_lmics[[2017_births]:[2017_births]])</f>
        <v>6.8363746461453642E-2</v>
      </c>
      <c r="Y6">
        <f>SUMPRODUCT((all_lmics[[who_choice_region]:[who_choice_region]]=$A6)*all_lmics[mu_8084]*all_lmics[[2017_births]:[2017_births]])/SUMPRODUCT((all_lmics[[who_choice_region]:[who_choice_region]]=$A6)*all_lmics[[2017_births]:[2017_births]])</f>
        <v>0.1130561237351186</v>
      </c>
      <c r="Z6">
        <f>SUMPRODUCT((all_lmics[[who_choice_region]:[who_choice_region]]=$A6)*all_lmics[mu_8589]*all_lmics[[2017_births]:[2017_births]])/SUMPRODUCT((all_lmics[[who_choice_region]:[who_choice_region]]=$A6)*all_lmics[[2017_births]:[2017_births]])</f>
        <v>0.1771677162451514</v>
      </c>
      <c r="AA6">
        <f>SUMPRODUCT((all_lmics[[who_choice_region]:[who_choice_region]]=$A6)*all_lmics[mu_9094]*all_lmics[[2017_births]:[2017_births]])/SUMPRODUCT((all_lmics[[who_choice_region]:[who_choice_region]]=$A6)*all_lmics[[2017_births]:[2017_births]])</f>
        <v>0.26799346161833931</v>
      </c>
      <c r="AB6">
        <f>SUMPRODUCT((all_lmics[[who_choice_region]:[who_choice_region]]=$A6)*all_lmics[mu_9599]*all_lmics[[2017_births]:[2017_births]])/SUMPRODUCT((all_lmics[[who_choice_region]:[who_choice_region]]=$A6)*all_lmics[[2017_births]:[2017_births]])</f>
        <v>0.38118234041770288</v>
      </c>
      <c r="AC6">
        <f>SUMPRODUCT((all_lmics[[who_choice_region]:[who_choice_region]]=$A6)*all_lmics[mu_100]*all_lmics[[2017_births]:[2017_births]])/SUMPRODUCT((all_lmics[[who_choice_region]:[who_choice_region]]=$A6)*all_lmics[[2017_births]:[2017_births]])</f>
        <v>0.52022306460058332</v>
      </c>
      <c r="AD6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0.38783437593130843</v>
      </c>
    </row>
    <row r="7" spans="1:30" x14ac:dyDescent="0.35">
      <c r="A7" t="s">
        <v>6</v>
      </c>
      <c r="B7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2.5943237504895467E-2</v>
      </c>
      <c r="C7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2.2441861151908198E-2</v>
      </c>
      <c r="D7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3.4976790744324575E-2</v>
      </c>
      <c r="E7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4.6089557344026044E-3</v>
      </c>
      <c r="F7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0.6306443099319905</v>
      </c>
      <c r="G7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0.54042588433788052</v>
      </c>
      <c r="H7">
        <f>SUMPRODUCT((all_lmics[[who_choice_region]:[who_choice_region]]=$A7)*all_lmics[mu_01]*all_lmics[[2017_births]:[2017_births]])/SUMPRODUCT((all_lmics[[who_choice_region]:[who_choice_region]]=$A7)*all_lmics[[2017_births]:[2017_births]])</f>
        <v>4.6150965146476007E-2</v>
      </c>
      <c r="I7">
        <f>SUMPRODUCT((all_lmics[[who_choice_region]:[who_choice_region]]=$A7)*all_lmics[mu_14]*all_lmics[[2017_births]:[2017_births]])/SUMPRODUCT((all_lmics[[who_choice_region]:[who_choice_region]]=$A7)*all_lmics[[2017_births]:[2017_births]])</f>
        <v>3.4348866029312044E-3</v>
      </c>
      <c r="J7">
        <f>SUMPRODUCT((all_lmics[[who_choice_region]:[who_choice_region]]=$A7)*all_lmics[mu_59]*all_lmics[[2017_births]:[2017_births]])/SUMPRODUCT((all_lmics[[who_choice_region]:[who_choice_region]]=$A7)*all_lmics[[2017_births]:[2017_births]])</f>
        <v>1.1423023694162868E-3</v>
      </c>
      <c r="K7">
        <f>SUMPRODUCT((all_lmics[[who_choice_region]:[who_choice_region]]=$A7)*all_lmics[mu_1014]*all_lmics[[2017_births]:[2017_births]])/SUMPRODUCT((all_lmics[[who_choice_region]:[who_choice_region]]=$A7)*all_lmics[[2017_births]:[2017_births]])</f>
        <v>8.1994440158883073E-4</v>
      </c>
      <c r="L7">
        <f>SUMPRODUCT((all_lmics[[who_choice_region]:[who_choice_region]]=$A7)*all_lmics[mu_1519]*all_lmics[[2017_births]:[2017_births]])/SUMPRODUCT((all_lmics[[who_choice_region]:[who_choice_region]]=$A7)*all_lmics[[2017_births]:[2017_births]])</f>
        <v>1.1090794904598949E-3</v>
      </c>
      <c r="M7">
        <f>SUMPRODUCT((all_lmics[[who_choice_region]:[who_choice_region]]=$A7)*all_lmics[mu_2024]*all_lmics[[2017_births]:[2017_births]])/SUMPRODUCT((all_lmics[[who_choice_region]:[who_choice_region]]=$A7)*all_lmics[[2017_births]:[2017_births]])</f>
        <v>1.5123739403875539E-3</v>
      </c>
      <c r="N7">
        <f>SUMPRODUCT((all_lmics[[who_choice_region]:[who_choice_region]]=$A7)*all_lmics[mu_2529]*all_lmics[[2017_births]:[2017_births]])/SUMPRODUCT((all_lmics[[who_choice_region]:[who_choice_region]]=$A7)*all_lmics[[2017_births]:[2017_births]])</f>
        <v>1.7238997399710463E-3</v>
      </c>
      <c r="O7">
        <f>SUMPRODUCT((all_lmics[[who_choice_region]:[who_choice_region]]=$A7)*all_lmics[mu_3034]*all_lmics[[2017_births]:[2017_births]])/SUMPRODUCT((all_lmics[[who_choice_region]:[who_choice_region]]=$A7)*all_lmics[[2017_births]:[2017_births]])</f>
        <v>2.0782233336762127E-3</v>
      </c>
      <c r="P7">
        <f>SUMPRODUCT((all_lmics[[who_choice_region]:[who_choice_region]]=$A7)*all_lmics[mu_3539]*all_lmics[[2017_births]:[2017_births]])/SUMPRODUCT((all_lmics[[who_choice_region]:[who_choice_region]]=$A7)*all_lmics[[2017_births]:[2017_births]])</f>
        <v>2.6559992011510997E-3</v>
      </c>
      <c r="Q7">
        <f>SUMPRODUCT((all_lmics[[who_choice_region]:[who_choice_region]]=$A7)*all_lmics[mu_4044]*all_lmics[[2017_births]:[2017_births]])/SUMPRODUCT((all_lmics[[who_choice_region]:[who_choice_region]]=$A7)*all_lmics[[2017_births]:[2017_births]])</f>
        <v>3.557521142541588E-3</v>
      </c>
      <c r="R7">
        <f>SUMPRODUCT((all_lmics[[who_choice_region]:[who_choice_region]]=$A7)*all_lmics[mu_4549]*all_lmics[[2017_births]:[2017_births]])/SUMPRODUCT((all_lmics[[who_choice_region]:[who_choice_region]]=$A7)*all_lmics[[2017_births]:[2017_births]])</f>
        <v>5.2250491176585E-3</v>
      </c>
      <c r="S7">
        <f>SUMPRODUCT((all_lmics[[who_choice_region]:[who_choice_region]]=$A7)*all_lmics[mu_5054]*all_lmics[[2017_births]:[2017_births]])/SUMPRODUCT((all_lmics[[who_choice_region]:[who_choice_region]]=$A7)*all_lmics[[2017_births]:[2017_births]])</f>
        <v>7.9758950627152689E-3</v>
      </c>
      <c r="T7">
        <f>SUMPRODUCT((all_lmics[[who_choice_region]:[who_choice_region]]=$A7)*all_lmics[mu_5559]*all_lmics[[2017_births]:[2017_births]])/SUMPRODUCT((all_lmics[[who_choice_region]:[who_choice_region]]=$A7)*all_lmics[[2017_births]:[2017_births]])</f>
        <v>1.1830216842870847E-2</v>
      </c>
      <c r="U7">
        <f>SUMPRODUCT((all_lmics[[who_choice_region]:[who_choice_region]]=$A7)*all_lmics[mu_6064]*all_lmics[[2017_births]:[2017_births]])/SUMPRODUCT((all_lmics[[who_choice_region]:[who_choice_region]]=$A7)*all_lmics[[2017_births]:[2017_births]])</f>
        <v>1.8814279493414982E-2</v>
      </c>
      <c r="V7">
        <f>SUMPRODUCT((all_lmics[[who_choice_region]:[who_choice_region]]=$A7)*all_lmics[mu_6569]*all_lmics[[2017_births]:[2017_births]])/SUMPRODUCT((all_lmics[[who_choice_region]:[who_choice_region]]=$A7)*all_lmics[[2017_births]:[2017_births]])</f>
        <v>2.9932442210314946E-2</v>
      </c>
      <c r="W7">
        <f>SUMPRODUCT((all_lmics[[who_choice_region]:[who_choice_region]]=$A7)*all_lmics[mu_7074]*all_lmics[[2017_births]:[2017_births]])/SUMPRODUCT((all_lmics[[who_choice_region]:[who_choice_region]]=$A7)*all_lmics[[2017_births]:[2017_births]])</f>
        <v>4.8422768728901756E-2</v>
      </c>
      <c r="X7">
        <f>SUMPRODUCT((all_lmics[[who_choice_region]:[who_choice_region]]=$A7)*all_lmics[mu_7579]*all_lmics[[2017_births]:[2017_births]])/SUMPRODUCT((all_lmics[[who_choice_region]:[who_choice_region]]=$A7)*all_lmics[[2017_births]:[2017_births]])</f>
        <v>7.8589896589041433E-2</v>
      </c>
      <c r="Y7">
        <f>SUMPRODUCT((all_lmics[[who_choice_region]:[who_choice_region]]=$A7)*all_lmics[mu_8084]*all_lmics[[2017_births]:[2017_births]])/SUMPRODUCT((all_lmics[[who_choice_region]:[who_choice_region]]=$A7)*all_lmics[[2017_births]:[2017_births]])</f>
        <v>0.12789012617318379</v>
      </c>
      <c r="Z7">
        <f>SUMPRODUCT((all_lmics[[who_choice_region]:[who_choice_region]]=$A7)*all_lmics[mu_8589]*all_lmics[[2017_births]:[2017_births]])/SUMPRODUCT((all_lmics[[who_choice_region]:[who_choice_region]]=$A7)*all_lmics[[2017_births]:[2017_births]])</f>
        <v>0.20383066318459625</v>
      </c>
      <c r="AA7">
        <f>SUMPRODUCT((all_lmics[[who_choice_region]:[who_choice_region]]=$A7)*all_lmics[mu_9094]*all_lmics[[2017_births]:[2017_births]])/SUMPRODUCT((all_lmics[[who_choice_region]:[who_choice_region]]=$A7)*all_lmics[[2017_births]:[2017_births]])</f>
        <v>0.30534641040913807</v>
      </c>
      <c r="AB7">
        <f>SUMPRODUCT((all_lmics[[who_choice_region]:[who_choice_region]]=$A7)*all_lmics[mu_9599]*all_lmics[[2017_births]:[2017_births]])/SUMPRODUCT((all_lmics[[who_choice_region]:[who_choice_region]]=$A7)*all_lmics[[2017_births]:[2017_births]])</f>
        <v>0.42526087170870924</v>
      </c>
      <c r="AC7">
        <f>SUMPRODUCT((all_lmics[[who_choice_region]:[who_choice_region]]=$A7)*all_lmics[mu_100]*all_lmics[[2017_births]:[2017_births]])/SUMPRODUCT((all_lmics[[who_choice_region]:[who_choice_region]]=$A7)*all_lmics[[2017_births]:[2017_births]])</f>
        <v>0.54078180578885315</v>
      </c>
      <c r="AD7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0.19847607365600636</v>
      </c>
    </row>
    <row r="8" spans="1:30" x14ac:dyDescent="0.35">
      <c r="A8" t="s">
        <v>10</v>
      </c>
      <c r="B8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3.6829417644548806E-2</v>
      </c>
      <c r="C8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2.5966371918435385E-2</v>
      </c>
      <c r="D8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4.9168828639050588E-2</v>
      </c>
      <c r="E8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6.2956178543376482E-3</v>
      </c>
      <c r="F8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0.97991973866852533</v>
      </c>
      <c r="G8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0.96340099705198612</v>
      </c>
      <c r="H8">
        <f>SUMPRODUCT((all_lmics[[who_choice_region]:[who_choice_region]]=$A8)*all_lmics[mu_01]*all_lmics[[2017_births]:[2017_births]])/SUMPRODUCT((all_lmics[[who_choice_region]:[who_choice_region]]=$A8)*all_lmics[[2017_births]:[2017_births]])</f>
        <v>1.4396288294235973E-2</v>
      </c>
      <c r="I8">
        <f>SUMPRODUCT((all_lmics[[who_choice_region]:[who_choice_region]]=$A8)*all_lmics[mu_14]*all_lmics[[2017_births]:[2017_births]])/SUMPRODUCT((all_lmics[[who_choice_region]:[who_choice_region]]=$A8)*all_lmics[[2017_births]:[2017_births]])</f>
        <v>9.258454080403977E-4</v>
      </c>
      <c r="J8">
        <f>SUMPRODUCT((all_lmics[[who_choice_region]:[who_choice_region]]=$A8)*all_lmics[mu_59]*all_lmics[[2017_births]:[2017_births]])/SUMPRODUCT((all_lmics[[who_choice_region]:[who_choice_region]]=$A8)*all_lmics[[2017_births]:[2017_births]])</f>
        <v>3.9189878045022729E-4</v>
      </c>
      <c r="K8">
        <f>SUMPRODUCT((all_lmics[[who_choice_region]:[who_choice_region]]=$A8)*all_lmics[mu_1014]*all_lmics[[2017_births]:[2017_births]])/SUMPRODUCT((all_lmics[[who_choice_region]:[who_choice_region]]=$A8)*all_lmics[[2017_births]:[2017_births]])</f>
        <v>3.698028939593451E-4</v>
      </c>
      <c r="L8">
        <f>SUMPRODUCT((all_lmics[[who_choice_region]:[who_choice_region]]=$A8)*all_lmics[mu_1519]*all_lmics[[2017_births]:[2017_births]])/SUMPRODUCT((all_lmics[[who_choice_region]:[who_choice_region]]=$A8)*all_lmics[[2017_births]:[2017_births]])</f>
        <v>5.5282840718548823E-4</v>
      </c>
      <c r="M8">
        <f>SUMPRODUCT((all_lmics[[who_choice_region]:[who_choice_region]]=$A8)*all_lmics[mu_2024]*all_lmics[[2017_births]:[2017_births]])/SUMPRODUCT((all_lmics[[who_choice_region]:[who_choice_region]]=$A8)*all_lmics[[2017_births]:[2017_births]])</f>
        <v>7.7303684533835927E-4</v>
      </c>
      <c r="N8">
        <f>SUMPRODUCT((all_lmics[[who_choice_region]:[who_choice_region]]=$A8)*all_lmics[mu_2529]*all_lmics[[2017_births]:[2017_births]])/SUMPRODUCT((all_lmics[[who_choice_region]:[who_choice_region]]=$A8)*all_lmics[[2017_births]:[2017_births]])</f>
        <v>9.7185457068007435E-4</v>
      </c>
      <c r="O8">
        <f>SUMPRODUCT((all_lmics[[who_choice_region]:[who_choice_region]]=$A8)*all_lmics[mu_3034]*all_lmics[[2017_births]:[2017_births]])/SUMPRODUCT((all_lmics[[who_choice_region]:[who_choice_region]]=$A8)*all_lmics[[2017_births]:[2017_births]])</f>
        <v>1.2497388265898944E-3</v>
      </c>
      <c r="P8">
        <f>SUMPRODUCT((all_lmics[[who_choice_region]:[who_choice_region]]=$A8)*all_lmics[mu_3539]*all_lmics[[2017_births]:[2017_births]])/SUMPRODUCT((all_lmics[[who_choice_region]:[who_choice_region]]=$A8)*all_lmics[[2017_births]:[2017_births]])</f>
        <v>1.6846775791394173E-3</v>
      </c>
      <c r="Q8">
        <f>SUMPRODUCT((all_lmics[[who_choice_region]:[who_choice_region]]=$A8)*all_lmics[mu_4044]*all_lmics[[2017_births]:[2017_births]])/SUMPRODUCT((all_lmics[[who_choice_region]:[who_choice_region]]=$A8)*all_lmics[[2017_births]:[2017_births]])</f>
        <v>2.3449076995187002E-3</v>
      </c>
      <c r="R8">
        <f>SUMPRODUCT((all_lmics[[who_choice_region]:[who_choice_region]]=$A8)*all_lmics[mu_4549]*all_lmics[[2017_births]:[2017_births]])/SUMPRODUCT((all_lmics[[who_choice_region]:[who_choice_region]]=$A8)*all_lmics[[2017_births]:[2017_births]])</f>
        <v>3.4286894420389184E-3</v>
      </c>
      <c r="S8">
        <f>SUMPRODUCT((all_lmics[[who_choice_region]:[who_choice_region]]=$A8)*all_lmics[mu_5054]*all_lmics[[2017_births]:[2017_births]])/SUMPRODUCT((all_lmics[[who_choice_region]:[who_choice_region]]=$A8)*all_lmics[[2017_births]:[2017_births]])</f>
        <v>5.3345738103031809E-3</v>
      </c>
      <c r="T8">
        <f>SUMPRODUCT((all_lmics[[who_choice_region]:[who_choice_region]]=$A8)*all_lmics[mu_5559]*all_lmics[[2017_births]:[2017_births]])/SUMPRODUCT((all_lmics[[who_choice_region]:[who_choice_region]]=$A8)*all_lmics[[2017_births]:[2017_births]])</f>
        <v>8.5339215233971189E-3</v>
      </c>
      <c r="U8">
        <f>SUMPRODUCT((all_lmics[[who_choice_region]:[who_choice_region]]=$A8)*all_lmics[mu_6064]*all_lmics[[2017_births]:[2017_births]])/SUMPRODUCT((all_lmics[[who_choice_region]:[who_choice_region]]=$A8)*all_lmics[[2017_births]:[2017_births]])</f>
        <v>1.3870674522835063E-2</v>
      </c>
      <c r="V8">
        <f>SUMPRODUCT((all_lmics[[who_choice_region]:[who_choice_region]]=$A8)*all_lmics[mu_6569]*all_lmics[[2017_births]:[2017_births]])/SUMPRODUCT((all_lmics[[who_choice_region]:[who_choice_region]]=$A8)*all_lmics[[2017_births]:[2017_births]])</f>
        <v>2.1462287694488685E-2</v>
      </c>
      <c r="W8">
        <f>SUMPRODUCT((all_lmics[[who_choice_region]:[who_choice_region]]=$A8)*all_lmics[mu_7074]*all_lmics[[2017_births]:[2017_births]])/SUMPRODUCT((all_lmics[[who_choice_region]:[who_choice_region]]=$A8)*all_lmics[[2017_births]:[2017_births]])</f>
        <v>3.6439017355628392E-2</v>
      </c>
      <c r="X8">
        <f>SUMPRODUCT((all_lmics[[who_choice_region]:[who_choice_region]]=$A8)*all_lmics[mu_7579]*all_lmics[[2017_births]:[2017_births]])/SUMPRODUCT((all_lmics[[who_choice_region]:[who_choice_region]]=$A8)*all_lmics[[2017_births]:[2017_births]])</f>
        <v>6.110655034504503E-2</v>
      </c>
      <c r="Y8">
        <f>SUMPRODUCT((all_lmics[[who_choice_region]:[who_choice_region]]=$A8)*all_lmics[mu_8084]*all_lmics[[2017_births]:[2017_births]])/SUMPRODUCT((all_lmics[[who_choice_region]:[who_choice_region]]=$A8)*all_lmics[[2017_births]:[2017_births]])</f>
        <v>0.1020050088243956</v>
      </c>
      <c r="Z8">
        <f>SUMPRODUCT((all_lmics[[who_choice_region]:[who_choice_region]]=$A8)*all_lmics[mu_8589]*all_lmics[[2017_births]:[2017_births]])/SUMPRODUCT((all_lmics[[who_choice_region]:[who_choice_region]]=$A8)*all_lmics[[2017_births]:[2017_births]])</f>
        <v>0.16274694436277373</v>
      </c>
      <c r="AA8">
        <f>SUMPRODUCT((all_lmics[[who_choice_region]:[who_choice_region]]=$A8)*all_lmics[mu_9094]*all_lmics[[2017_births]:[2017_births]])/SUMPRODUCT((all_lmics[[who_choice_region]:[who_choice_region]]=$A8)*all_lmics[[2017_births]:[2017_births]])</f>
        <v>0.24782977004308329</v>
      </c>
      <c r="AB8">
        <f>SUMPRODUCT((all_lmics[[who_choice_region]:[who_choice_region]]=$A8)*all_lmics[mu_9599]*all_lmics[[2017_births]:[2017_births]])/SUMPRODUCT((all_lmics[[who_choice_region]:[who_choice_region]]=$A8)*all_lmics[[2017_births]:[2017_births]])</f>
        <v>0.3589924457920104</v>
      </c>
      <c r="AC8">
        <f>SUMPRODUCT((all_lmics[[who_choice_region]:[who_choice_region]]=$A8)*all_lmics[mu_100]*all_lmics[[2017_births]:[2017_births]])/SUMPRODUCT((all_lmics[[who_choice_region]:[who_choice_region]]=$A8)*all_lmics[[2017_births]:[2017_births]])</f>
        <v>0.48776191783422401</v>
      </c>
      <c r="AD8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0.53357812104952496</v>
      </c>
    </row>
    <row r="9" spans="1:30" x14ac:dyDescent="0.35">
      <c r="A9" t="s">
        <v>40</v>
      </c>
      <c r="B9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1.674697037457492E-2</v>
      </c>
      <c r="C9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1.0242514587481282E-2</v>
      </c>
      <c r="D9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2.0515843013479713E-2</v>
      </c>
      <c r="E9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1.9228942035228536E-3</v>
      </c>
      <c r="F9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0.99681538659296698</v>
      </c>
      <c r="G9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0.98871103109763114</v>
      </c>
      <c r="H9">
        <f>SUMPRODUCT((all_lmics[[who_choice_region]:[who_choice_region]]=$A9)*all_lmics[mu_01]*all_lmics[[2017_births]:[2017_births]])/SUMPRODUCT((all_lmics[[who_choice_region]:[who_choice_region]]=$A9)*all_lmics[[2017_births]:[2017_births]])</f>
        <v>6.1352077718168788E-3</v>
      </c>
      <c r="I9">
        <f>SUMPRODUCT((all_lmics[[who_choice_region]:[who_choice_region]]=$A9)*all_lmics[mu_14]*all_lmics[[2017_births]:[2017_births]])/SUMPRODUCT((all_lmics[[who_choice_region]:[who_choice_region]]=$A9)*all_lmics[[2017_births]:[2017_births]])</f>
        <v>3.6152554113729726E-4</v>
      </c>
      <c r="J9">
        <f>SUMPRODUCT((all_lmics[[who_choice_region]:[who_choice_region]]=$A9)*all_lmics[mu_59]*all_lmics[[2017_births]:[2017_births]])/SUMPRODUCT((all_lmics[[who_choice_region]:[who_choice_region]]=$A9)*all_lmics[[2017_births]:[2017_births]])</f>
        <v>2.0065748815737393E-4</v>
      </c>
      <c r="K9">
        <f>SUMPRODUCT((all_lmics[[who_choice_region]:[who_choice_region]]=$A9)*all_lmics[mu_1014]*all_lmics[[2017_births]:[2017_births]])/SUMPRODUCT((all_lmics[[who_choice_region]:[who_choice_region]]=$A9)*all_lmics[[2017_births]:[2017_births]])</f>
        <v>2.5078159340804075E-4</v>
      </c>
      <c r="L9">
        <f>SUMPRODUCT((all_lmics[[who_choice_region]:[who_choice_region]]=$A9)*all_lmics[mu_1519]*all_lmics[[2017_births]:[2017_births]])/SUMPRODUCT((all_lmics[[who_choice_region]:[who_choice_region]]=$A9)*all_lmics[[2017_births]:[2017_births]])</f>
        <v>5.7280043425417748E-4</v>
      </c>
      <c r="M9">
        <f>SUMPRODUCT((all_lmics[[who_choice_region]:[who_choice_region]]=$A9)*all_lmics[mu_2024]*all_lmics[[2017_births]:[2017_births]])/SUMPRODUCT((all_lmics[[who_choice_region]:[who_choice_region]]=$A9)*all_lmics[[2017_births]:[2017_births]])</f>
        <v>9.9170541640045888E-4</v>
      </c>
      <c r="N9">
        <f>SUMPRODUCT((all_lmics[[who_choice_region]:[who_choice_region]]=$A9)*all_lmics[mu_2529]*all_lmics[[2017_births]:[2017_births]])/SUMPRODUCT((all_lmics[[who_choice_region]:[who_choice_region]]=$A9)*all_lmics[[2017_births]:[2017_births]])</f>
        <v>1.5535430712765542E-3</v>
      </c>
      <c r="O9">
        <f>SUMPRODUCT((all_lmics[[who_choice_region]:[who_choice_region]]=$A9)*all_lmics[mu_3034]*all_lmics[[2017_births]:[2017_births]])/SUMPRODUCT((all_lmics[[who_choice_region]:[who_choice_region]]=$A9)*all_lmics[[2017_births]:[2017_births]])</f>
        <v>2.5865766173505211E-3</v>
      </c>
      <c r="P9">
        <f>SUMPRODUCT((all_lmics[[who_choice_region]:[who_choice_region]]=$A9)*all_lmics[mu_3539]*all_lmics[[2017_births]:[2017_births]])/SUMPRODUCT((all_lmics[[who_choice_region]:[who_choice_region]]=$A9)*all_lmics[[2017_births]:[2017_births]])</f>
        <v>3.817742621216124E-3</v>
      </c>
      <c r="Q9">
        <f>SUMPRODUCT((all_lmics[[who_choice_region]:[who_choice_region]]=$A9)*all_lmics[mu_4044]*all_lmics[[2017_births]:[2017_births]])/SUMPRODUCT((all_lmics[[who_choice_region]:[who_choice_region]]=$A9)*all_lmics[[2017_births]:[2017_births]])</f>
        <v>4.7636542240243503E-3</v>
      </c>
      <c r="R9">
        <f>SUMPRODUCT((all_lmics[[who_choice_region]:[who_choice_region]]=$A9)*all_lmics[mu_4549]*all_lmics[[2017_births]:[2017_births]])/SUMPRODUCT((all_lmics[[who_choice_region]:[who_choice_region]]=$A9)*all_lmics[[2017_births]:[2017_births]])</f>
        <v>6.1428916399449982E-3</v>
      </c>
      <c r="S9">
        <f>SUMPRODUCT((all_lmics[[who_choice_region]:[who_choice_region]]=$A9)*all_lmics[mu_5054]*all_lmics[[2017_births]:[2017_births]])/SUMPRODUCT((all_lmics[[who_choice_region]:[who_choice_region]]=$A9)*all_lmics[[2017_births]:[2017_births]])</f>
        <v>8.6077588157700592E-3</v>
      </c>
      <c r="T9">
        <f>SUMPRODUCT((all_lmics[[who_choice_region]:[who_choice_region]]=$A9)*all_lmics[mu_5559]*all_lmics[[2017_births]:[2017_births]])/SUMPRODUCT((all_lmics[[who_choice_region]:[who_choice_region]]=$A9)*all_lmics[[2017_births]:[2017_births]])</f>
        <v>1.2384170941546221E-2</v>
      </c>
      <c r="U9">
        <f>SUMPRODUCT((all_lmics[[who_choice_region]:[who_choice_region]]=$A9)*all_lmics[mu_6064]*all_lmics[[2017_births]:[2017_births]])/SUMPRODUCT((all_lmics[[who_choice_region]:[who_choice_region]]=$A9)*all_lmics[[2017_births]:[2017_births]])</f>
        <v>1.8317519347337736E-2</v>
      </c>
      <c r="V9">
        <f>SUMPRODUCT((all_lmics[[who_choice_region]:[who_choice_region]]=$A9)*all_lmics[mu_6569]*all_lmics[[2017_births]:[2017_births]])/SUMPRODUCT((all_lmics[[who_choice_region]:[who_choice_region]]=$A9)*all_lmics[[2017_births]:[2017_births]])</f>
        <v>2.5546975331485387E-2</v>
      </c>
      <c r="W9">
        <f>SUMPRODUCT((all_lmics[[who_choice_region]:[who_choice_region]]=$A9)*all_lmics[mu_7074]*all_lmics[[2017_births]:[2017_births]])/SUMPRODUCT((all_lmics[[who_choice_region]:[who_choice_region]]=$A9)*all_lmics[[2017_births]:[2017_births]])</f>
        <v>3.7030187465748959E-2</v>
      </c>
      <c r="X9">
        <f>SUMPRODUCT((all_lmics[[who_choice_region]:[who_choice_region]]=$A9)*all_lmics[mu_7579]*all_lmics[[2017_births]:[2017_births]])/SUMPRODUCT((all_lmics[[who_choice_region]:[who_choice_region]]=$A9)*all_lmics[[2017_births]:[2017_births]])</f>
        <v>5.8786465773582874E-2</v>
      </c>
      <c r="Y9">
        <f>SUMPRODUCT((all_lmics[[who_choice_region]:[who_choice_region]]=$A9)*all_lmics[mu_8084]*all_lmics[[2017_births]:[2017_births]])/SUMPRODUCT((all_lmics[[who_choice_region]:[who_choice_region]]=$A9)*all_lmics[[2017_births]:[2017_births]])</f>
        <v>9.5265898269001059E-2</v>
      </c>
      <c r="Z9">
        <f>SUMPRODUCT((all_lmics[[who_choice_region]:[who_choice_region]]=$A9)*all_lmics[mu_8589]*all_lmics[[2017_births]:[2017_births]])/SUMPRODUCT((all_lmics[[who_choice_region]:[who_choice_region]]=$A9)*all_lmics[[2017_births]:[2017_births]])</f>
        <v>0.1449465795500032</v>
      </c>
      <c r="AA9">
        <f>SUMPRODUCT((all_lmics[[who_choice_region]:[who_choice_region]]=$A9)*all_lmics[mu_9094]*all_lmics[[2017_births]:[2017_births]])/SUMPRODUCT((all_lmics[[who_choice_region]:[who_choice_region]]=$A9)*all_lmics[[2017_births]:[2017_births]])</f>
        <v>0.2212920147624598</v>
      </c>
      <c r="AB9">
        <f>SUMPRODUCT((all_lmics[[who_choice_region]:[who_choice_region]]=$A9)*all_lmics[mu_9599]*all_lmics[[2017_births]:[2017_births]])/SUMPRODUCT((all_lmics[[who_choice_region]:[who_choice_region]]=$A9)*all_lmics[[2017_births]:[2017_births]])</f>
        <v>0.32131309651873191</v>
      </c>
      <c r="AC9">
        <f>SUMPRODUCT((all_lmics[[who_choice_region]:[who_choice_region]]=$A9)*all_lmics[mu_100]*all_lmics[[2017_births]:[2017_births]])/SUMPRODUCT((all_lmics[[who_choice_region]:[who_choice_region]]=$A9)*all_lmics[[2017_births]:[2017_births]])</f>
        <v>0.45414604316533252</v>
      </c>
      <c r="AD9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0.38410676442170949</v>
      </c>
    </row>
    <row r="10" spans="1:30" x14ac:dyDescent="0.35">
      <c r="A10" t="s">
        <v>109</v>
      </c>
      <c r="B10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5.8977630162477972E-2</v>
      </c>
      <c r="C10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5.1184430444401942E-2</v>
      </c>
      <c r="D10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7.0861807954555808E-2</v>
      </c>
      <c r="E10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6.0633560163662354E-3</v>
      </c>
      <c r="F10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0.93691018422381955</v>
      </c>
      <c r="G10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0.8301069089705867</v>
      </c>
      <c r="H10">
        <f>SUMPRODUCT((all_lmics[[who_choice_region]:[who_choice_region]]=$A10)*all_lmics[mu_01]*all_lmics[[2017_births]:[2017_births]])/SUMPRODUCT((all_lmics[[who_choice_region]:[who_choice_region]]=$A10)*all_lmics[[2017_births]:[2017_births]])</f>
        <v>1.7272423031524733E-2</v>
      </c>
      <c r="I10">
        <f>SUMPRODUCT((all_lmics[[who_choice_region]:[who_choice_region]]=$A10)*all_lmics[mu_14]*all_lmics[[2017_births]:[2017_births]])/SUMPRODUCT((all_lmics[[who_choice_region]:[who_choice_region]]=$A10)*all_lmics[[2017_births]:[2017_births]])</f>
        <v>1.3160367650284616E-3</v>
      </c>
      <c r="J10">
        <f>SUMPRODUCT((all_lmics[[who_choice_region]:[who_choice_region]]=$A10)*all_lmics[mu_59]*all_lmics[[2017_births]:[2017_births]])/SUMPRODUCT((all_lmics[[who_choice_region]:[who_choice_region]]=$A10)*all_lmics[[2017_births]:[2017_births]])</f>
        <v>4.6722637101328954E-4</v>
      </c>
      <c r="K10">
        <f>SUMPRODUCT((all_lmics[[who_choice_region]:[who_choice_region]]=$A10)*all_lmics[mu_1014]*all_lmics[[2017_births]:[2017_births]])/SUMPRODUCT((all_lmics[[who_choice_region]:[who_choice_region]]=$A10)*all_lmics[[2017_births]:[2017_births]])</f>
        <v>4.3537485603756514E-4</v>
      </c>
      <c r="L10">
        <f>SUMPRODUCT((all_lmics[[who_choice_region]:[who_choice_region]]=$A10)*all_lmics[mu_1519]*all_lmics[[2017_births]:[2017_births]])/SUMPRODUCT((all_lmics[[who_choice_region]:[who_choice_region]]=$A10)*all_lmics[[2017_births]:[2017_births]])</f>
        <v>9.3576663966086094E-4</v>
      </c>
      <c r="M10">
        <f>SUMPRODUCT((all_lmics[[who_choice_region]:[who_choice_region]]=$A10)*all_lmics[mu_2024]*all_lmics[[2017_births]:[2017_births]])/SUMPRODUCT((all_lmics[[who_choice_region]:[who_choice_region]]=$A10)*all_lmics[[2017_births]:[2017_births]])</f>
        <v>1.1884830571983736E-3</v>
      </c>
      <c r="N10">
        <f>SUMPRODUCT((all_lmics[[who_choice_region]:[who_choice_region]]=$A10)*all_lmics[mu_2529]*all_lmics[[2017_births]:[2017_births]])/SUMPRODUCT((all_lmics[[who_choice_region]:[who_choice_region]]=$A10)*all_lmics[[2017_births]:[2017_births]])</f>
        <v>1.2657584815919832E-3</v>
      </c>
      <c r="O10">
        <f>SUMPRODUCT((all_lmics[[who_choice_region]:[who_choice_region]]=$A10)*all_lmics[mu_3034]*all_lmics[[2017_births]:[2017_births]])/SUMPRODUCT((all_lmics[[who_choice_region]:[who_choice_region]]=$A10)*all_lmics[[2017_births]:[2017_births]])</f>
        <v>1.5356760934219765E-3</v>
      </c>
      <c r="P10">
        <f>SUMPRODUCT((all_lmics[[who_choice_region]:[who_choice_region]]=$A10)*all_lmics[mu_3539]*all_lmics[[2017_births]:[2017_births]])/SUMPRODUCT((all_lmics[[who_choice_region]:[who_choice_region]]=$A10)*all_lmics[[2017_births]:[2017_births]])</f>
        <v>2.1068976234441335E-3</v>
      </c>
      <c r="Q10">
        <f>SUMPRODUCT((all_lmics[[who_choice_region]:[who_choice_region]]=$A10)*all_lmics[mu_4044]*all_lmics[[2017_births]:[2017_births]])/SUMPRODUCT((all_lmics[[who_choice_region]:[who_choice_region]]=$A10)*all_lmics[[2017_births]:[2017_births]])</f>
        <v>3.0119614296752464E-3</v>
      </c>
      <c r="R10">
        <f>SUMPRODUCT((all_lmics[[who_choice_region]:[who_choice_region]]=$A10)*all_lmics[mu_4549]*all_lmics[[2017_births]:[2017_births]])/SUMPRODUCT((all_lmics[[who_choice_region]:[who_choice_region]]=$A10)*all_lmics[[2017_births]:[2017_births]])</f>
        <v>4.5412656480753755E-3</v>
      </c>
      <c r="S10">
        <f>SUMPRODUCT((all_lmics[[who_choice_region]:[who_choice_region]]=$A10)*all_lmics[mu_5054]*all_lmics[[2017_births]:[2017_births]])/SUMPRODUCT((all_lmics[[who_choice_region]:[who_choice_region]]=$A10)*all_lmics[[2017_births]:[2017_births]])</f>
        <v>6.9409750271262364E-3</v>
      </c>
      <c r="T10">
        <f>SUMPRODUCT((all_lmics[[who_choice_region]:[who_choice_region]]=$A10)*all_lmics[mu_5559]*all_lmics[[2017_births]:[2017_births]])/SUMPRODUCT((all_lmics[[who_choice_region]:[who_choice_region]]=$A10)*all_lmics[[2017_births]:[2017_births]])</f>
        <v>1.0689234065321913E-2</v>
      </c>
      <c r="U10">
        <f>SUMPRODUCT((all_lmics[[who_choice_region]:[who_choice_region]]=$A10)*all_lmics[mu_6064]*all_lmics[[2017_births]:[2017_births]])/SUMPRODUCT((all_lmics[[who_choice_region]:[who_choice_region]]=$A10)*all_lmics[[2017_births]:[2017_births]])</f>
        <v>1.6574462432763254E-2</v>
      </c>
      <c r="V10">
        <f>SUMPRODUCT((all_lmics[[who_choice_region]:[who_choice_region]]=$A10)*all_lmics[mu_6569]*all_lmics[[2017_births]:[2017_births]])/SUMPRODUCT((all_lmics[[who_choice_region]:[who_choice_region]]=$A10)*all_lmics[[2017_births]:[2017_births]])</f>
        <v>2.5631686828019487E-2</v>
      </c>
      <c r="W10">
        <f>SUMPRODUCT((all_lmics[[who_choice_region]:[who_choice_region]]=$A10)*all_lmics[mu_7074]*all_lmics[[2017_births]:[2017_births]])/SUMPRODUCT((all_lmics[[who_choice_region]:[who_choice_region]]=$A10)*all_lmics[[2017_births]:[2017_births]])</f>
        <v>4.0956991046188863E-2</v>
      </c>
      <c r="X10">
        <f>SUMPRODUCT((all_lmics[[who_choice_region]:[who_choice_region]]=$A10)*all_lmics[mu_7579]*all_lmics[[2017_births]:[2017_births]])/SUMPRODUCT((all_lmics[[who_choice_region]:[who_choice_region]]=$A10)*all_lmics[[2017_births]:[2017_births]])</f>
        <v>6.6935049863248428E-2</v>
      </c>
      <c r="Y10">
        <f>SUMPRODUCT((all_lmics[[who_choice_region]:[who_choice_region]]=$A10)*all_lmics[mu_8084]*all_lmics[[2017_births]:[2017_births]])/SUMPRODUCT((all_lmics[[who_choice_region]:[who_choice_region]]=$A10)*all_lmics[[2017_births]:[2017_births]])</f>
        <v>0.1084059696518343</v>
      </c>
      <c r="Z10">
        <f>SUMPRODUCT((all_lmics[[who_choice_region]:[who_choice_region]]=$A10)*all_lmics[mu_8589]*all_lmics[[2017_births]:[2017_births]])/SUMPRODUCT((all_lmics[[who_choice_region]:[who_choice_region]]=$A10)*all_lmics[[2017_births]:[2017_births]])</f>
        <v>0.17287715442481494</v>
      </c>
      <c r="AA10">
        <f>SUMPRODUCT((all_lmics[[who_choice_region]:[who_choice_region]]=$A10)*all_lmics[mu_9094]*all_lmics[[2017_births]:[2017_births]])/SUMPRODUCT((all_lmics[[who_choice_region]:[who_choice_region]]=$A10)*all_lmics[[2017_births]:[2017_births]])</f>
        <v>0.25902817732600603</v>
      </c>
      <c r="AB10">
        <f>SUMPRODUCT((all_lmics[[who_choice_region]:[who_choice_region]]=$A10)*all_lmics[mu_9599]*all_lmics[[2017_births]:[2017_births]])/SUMPRODUCT((all_lmics[[who_choice_region]:[who_choice_region]]=$A10)*all_lmics[[2017_births]:[2017_births]])</f>
        <v>0.36983192679969645</v>
      </c>
      <c r="AC10">
        <f>SUMPRODUCT((all_lmics[[who_choice_region]:[who_choice_region]]=$A10)*all_lmics[mu_100]*all_lmics[[2017_births]:[2017_births]])/SUMPRODUCT((all_lmics[[who_choice_region]:[who_choice_region]]=$A10)*all_lmics[[2017_births]:[2017_births]])</f>
        <v>0.50279929965091452</v>
      </c>
      <c r="AD10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0.55791576682649657</v>
      </c>
    </row>
    <row r="11" spans="1:30" x14ac:dyDescent="0.35">
      <c r="A11" t="s">
        <v>36</v>
      </c>
      <c r="B11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2.9042976123168401E-2</v>
      </c>
      <c r="C11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2.3703460291678725E-2</v>
      </c>
      <c r="D11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3.2561757047722864E-2</v>
      </c>
      <c r="E11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1.7952963900788081E-3</v>
      </c>
      <c r="F11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0.80839489195190495</v>
      </c>
      <c r="G11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0.7305002309123968</v>
      </c>
      <c r="H11">
        <f>SUMPRODUCT((all_lmics[[who_choice_region]:[who_choice_region]]=$A11)*all_lmics[mu_01]*all_lmics[[2017_births]:[2017_births]])/SUMPRODUCT((all_lmics[[who_choice_region]:[who_choice_region]]=$A11)*all_lmics[[2017_births]:[2017_births]])</f>
        <v>3.2263648858773843E-2</v>
      </c>
      <c r="I11">
        <f>SUMPRODUCT((all_lmics[[who_choice_region]:[who_choice_region]]=$A11)*all_lmics[mu_14]*all_lmics[[2017_births]:[2017_births]])/SUMPRODUCT((all_lmics[[who_choice_region]:[who_choice_region]]=$A11)*all_lmics[[2017_births]:[2017_births]])</f>
        <v>1.8732641057169902E-3</v>
      </c>
      <c r="J11">
        <f>SUMPRODUCT((all_lmics[[who_choice_region]:[who_choice_region]]=$A11)*all_lmics[mu_59]*all_lmics[[2017_births]:[2017_births]])/SUMPRODUCT((all_lmics[[who_choice_region]:[who_choice_region]]=$A11)*all_lmics[[2017_births]:[2017_births]])</f>
        <v>7.2807977882410446E-4</v>
      </c>
      <c r="K11">
        <f>SUMPRODUCT((all_lmics[[who_choice_region]:[who_choice_region]]=$A11)*all_lmics[mu_1014]*all_lmics[[2017_births]:[2017_births]])/SUMPRODUCT((all_lmics[[who_choice_region]:[who_choice_region]]=$A11)*all_lmics[[2017_births]:[2017_births]])</f>
        <v>6.1218320988483572E-4</v>
      </c>
      <c r="L11">
        <f>SUMPRODUCT((all_lmics[[who_choice_region]:[who_choice_region]]=$A11)*all_lmics[mu_1519]*all_lmics[[2017_births]:[2017_births]])/SUMPRODUCT((all_lmics[[who_choice_region]:[who_choice_region]]=$A11)*all_lmics[[2017_births]:[2017_births]])</f>
        <v>9.6715196331682407E-4</v>
      </c>
      <c r="M11">
        <f>SUMPRODUCT((all_lmics[[who_choice_region]:[who_choice_region]]=$A11)*all_lmics[mu_2024]*all_lmics[[2017_births]:[2017_births]])/SUMPRODUCT((all_lmics[[who_choice_region]:[who_choice_region]]=$A11)*all_lmics[[2017_births]:[2017_births]])</f>
        <v>1.35748083985343E-3</v>
      </c>
      <c r="N11">
        <f>SUMPRODUCT((all_lmics[[who_choice_region]:[who_choice_region]]=$A11)*all_lmics[mu_2529]*all_lmics[[2017_births]:[2017_births]])/SUMPRODUCT((all_lmics[[who_choice_region]:[who_choice_region]]=$A11)*all_lmics[[2017_births]:[2017_births]])</f>
        <v>1.5146850606673505E-3</v>
      </c>
      <c r="O11">
        <f>SUMPRODUCT((all_lmics[[who_choice_region]:[who_choice_region]]=$A11)*all_lmics[mu_3034]*all_lmics[[2017_births]:[2017_births]])/SUMPRODUCT((all_lmics[[who_choice_region]:[who_choice_region]]=$A11)*all_lmics[[2017_births]:[2017_births]])</f>
        <v>1.9187390441539073E-3</v>
      </c>
      <c r="P11">
        <f>SUMPRODUCT((all_lmics[[who_choice_region]:[who_choice_region]]=$A11)*all_lmics[mu_3539]*all_lmics[[2017_births]:[2017_births]])/SUMPRODUCT((all_lmics[[who_choice_region]:[who_choice_region]]=$A11)*all_lmics[[2017_births]:[2017_births]])</f>
        <v>2.641547895319547E-3</v>
      </c>
      <c r="Q11">
        <f>SUMPRODUCT((all_lmics[[who_choice_region]:[who_choice_region]]=$A11)*all_lmics[mu_4044]*all_lmics[[2017_births]:[2017_births]])/SUMPRODUCT((all_lmics[[who_choice_region]:[who_choice_region]]=$A11)*all_lmics[[2017_births]:[2017_births]])</f>
        <v>3.5825822620715966E-3</v>
      </c>
      <c r="R11">
        <f>SUMPRODUCT((all_lmics[[who_choice_region]:[who_choice_region]]=$A11)*all_lmics[mu_4549]*all_lmics[[2017_births]:[2017_births]])/SUMPRODUCT((all_lmics[[who_choice_region]:[who_choice_region]]=$A11)*all_lmics[[2017_births]:[2017_births]])</f>
        <v>5.1995343091959176E-3</v>
      </c>
      <c r="S11">
        <f>SUMPRODUCT((all_lmics[[who_choice_region]:[who_choice_region]]=$A11)*all_lmics[mu_5054]*all_lmics[[2017_births]:[2017_births]])/SUMPRODUCT((all_lmics[[who_choice_region]:[who_choice_region]]=$A11)*all_lmics[[2017_births]:[2017_births]])</f>
        <v>8.3616017654321376E-3</v>
      </c>
      <c r="T11">
        <f>SUMPRODUCT((all_lmics[[who_choice_region]:[who_choice_region]]=$A11)*all_lmics[mu_5559]*all_lmics[[2017_births]:[2017_births]])/SUMPRODUCT((all_lmics[[who_choice_region]:[who_choice_region]]=$A11)*all_lmics[[2017_births]:[2017_births]])</f>
        <v>1.2650723618014736E-2</v>
      </c>
      <c r="U11">
        <f>SUMPRODUCT((all_lmics[[who_choice_region]:[who_choice_region]]=$A11)*all_lmics[mu_6064]*all_lmics[[2017_births]:[2017_births]])/SUMPRODUCT((all_lmics[[who_choice_region]:[who_choice_region]]=$A11)*all_lmics[[2017_births]:[2017_births]])</f>
        <v>1.926157557646031E-2</v>
      </c>
      <c r="V11">
        <f>SUMPRODUCT((all_lmics[[who_choice_region]:[who_choice_region]]=$A11)*all_lmics[mu_6569]*all_lmics[[2017_births]:[2017_births]])/SUMPRODUCT((all_lmics[[who_choice_region]:[who_choice_region]]=$A11)*all_lmics[[2017_births]:[2017_births]])</f>
        <v>2.9527407517613839E-2</v>
      </c>
      <c r="W11">
        <f>SUMPRODUCT((all_lmics[[who_choice_region]:[who_choice_region]]=$A11)*all_lmics[mu_7074]*all_lmics[[2017_births]:[2017_births]])/SUMPRODUCT((all_lmics[[who_choice_region]:[who_choice_region]]=$A11)*all_lmics[[2017_births]:[2017_births]])</f>
        <v>4.7470356338236729E-2</v>
      </c>
      <c r="X11">
        <f>SUMPRODUCT((all_lmics[[who_choice_region]:[who_choice_region]]=$A11)*all_lmics[mu_7579]*all_lmics[[2017_births]:[2017_births]])/SUMPRODUCT((all_lmics[[who_choice_region]:[who_choice_region]]=$A11)*all_lmics[[2017_births]:[2017_births]])</f>
        <v>7.0982596463654263E-2</v>
      </c>
      <c r="Y11">
        <f>SUMPRODUCT((all_lmics[[who_choice_region]:[who_choice_region]]=$A11)*all_lmics[mu_8084]*all_lmics[[2017_births]:[2017_births]])/SUMPRODUCT((all_lmics[[who_choice_region]:[who_choice_region]]=$A11)*all_lmics[[2017_births]:[2017_births]])</f>
        <v>0.11079419519270663</v>
      </c>
      <c r="Z11">
        <f>SUMPRODUCT((all_lmics[[who_choice_region]:[who_choice_region]]=$A11)*all_lmics[mu_8589]*all_lmics[[2017_births]:[2017_births]])/SUMPRODUCT((all_lmics[[who_choice_region]:[who_choice_region]]=$A11)*all_lmics[[2017_births]:[2017_births]])</f>
        <v>0.16761671726893379</v>
      </c>
      <c r="AA11">
        <f>SUMPRODUCT((all_lmics[[who_choice_region]:[who_choice_region]]=$A11)*all_lmics[mu_9094]*all_lmics[[2017_births]:[2017_births]])/SUMPRODUCT((all_lmics[[who_choice_region]:[who_choice_region]]=$A11)*all_lmics[[2017_births]:[2017_births]])</f>
        <v>0.2453056599020409</v>
      </c>
      <c r="AB11">
        <f>SUMPRODUCT((all_lmics[[who_choice_region]:[who_choice_region]]=$A11)*all_lmics[mu_9599]*all_lmics[[2017_births]:[2017_births]])/SUMPRODUCT((all_lmics[[who_choice_region]:[who_choice_region]]=$A11)*all_lmics[[2017_births]:[2017_births]])</f>
        <v>0.24391305889978637</v>
      </c>
      <c r="AC11">
        <f>SUMPRODUCT((all_lmics[[who_choice_region]:[who_choice_region]]=$A11)*all_lmics[mu_100]*all_lmics[[2017_births]:[2017_births]])/SUMPRODUCT((all_lmics[[who_choice_region]:[who_choice_region]]=$A11)*all_lmics[[2017_births]:[2017_births]])</f>
        <v>0.3405006369868776</v>
      </c>
      <c r="AD11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0.12867521426317013</v>
      </c>
    </row>
    <row r="12" spans="1:30" x14ac:dyDescent="0.35">
      <c r="A12" t="s">
        <v>57</v>
      </c>
      <c r="B12">
        <f>SUMPRODUCT((all_lmics[[who_choice_region]:[who_choice_region]]=missing[[#This Row],[Setting]])*(LEN(all_lmics[prev])&gt;1)*all_lmics[prev]*all_lmics[[2017_population]:[2017_population]])/SUMPRODUCT((all_lmics[[who_choice_region]:[who_choice_region]]=missing[[#This Row],[Setting]])*(LEN(all_lmics[prev])&gt;1)*all_lmics[[2017_population]:[2017_population]])</f>
        <v>6.2014367393849211E-2</v>
      </c>
      <c r="C12">
        <f>SUMPRODUCT((all_lmics[[who_choice_region]:[who_choice_region]]=missing[[#This Row],[Setting]])*(LEN(all_lmics[prev_lb])&gt;1)*all_lmics[prev_lb]*all_lmics[[2017_population]:[2017_population]])/SUMPRODUCT((all_lmics[[who_choice_region]:[who_choice_region]]=missing[[#This Row],[Setting]])*(LEN(all_lmics[prev_lb])&gt;1)*all_lmics[[2017_population]:[2017_population]])</f>
        <v>5.5830551219148553E-2</v>
      </c>
      <c r="D12">
        <f>SUMPRODUCT((all_lmics[[who_choice_region]:[who_choice_region]]=missing[[#This Row],[Setting]])*(LEN(all_lmics[prev_ub])&gt;1)*all_lmics[prev_ub]*all_lmics[[2017_population]:[2017_population]])/SUMPRODUCT((all_lmics[[who_choice_region]:[who_choice_region]]=missing[[#This Row],[Setting]])*(LEN(all_lmics[prev_ub])&gt;1)*all_lmics[[2017_population]:[2017_population]])</f>
        <v>7.0881613218274672E-2</v>
      </c>
      <c r="E12">
        <f>SUMPRODUCT((all_lmics[[who_choice_region]:[who_choice_region]]=missing[[#This Row],[Setting]])*(LEN(all_lmics[sigma])&gt;1)*all_lmics[sigma]*all_lmics[[2017_population]:[2017_population]])/SUMPRODUCT((all_lmics[[who_choice_region]:[who_choice_region]]=missing[[#This Row],[Setting]])*(LEN(all_lmics[sigma])&gt;1)*all_lmics[[2017_population]:[2017_population]])</f>
        <v>4.5241050124619608E-3</v>
      </c>
      <c r="F12">
        <f>SUMPRODUCT((all_lmics[[who_choice_region]:[who_choice_region]]=missing[[#This Row],[Setting]]:missing[[#This Row],[Setting]])*(LEN(all_lmics[SBA])&gt;1)*all_lmics[SBA]*all_lmics[[2017_births]:[2017_births]])/SUMPRODUCT((all_lmics[[who_choice_region]:[who_choice_region]]=missing[[#This Row],[Setting]]:missing[[#This Row],[Setting]])*(LEN(all_lmics[SBA])&gt;1)*all_lmics[[2017_births]:[2017_births]])</f>
        <v>0.95281773429065142</v>
      </c>
      <c r="G12">
        <f>SUMPRODUCT((all_lmics[[who_choice_region]:[who_choice_region]]=missing[[#This Row],[Setting]])*(LEN(all_lmics[Facility])&gt;1)*all_lmics[Facility]*all_lmics[[2017_births]:[2017_births]])/SUMPRODUCT((all_lmics[[who_choice_region]:[who_choice_region]]=missing[[#This Row],[Setting]])*(LEN(all_lmics[Facility])&gt;1)*all_lmics[[2017_births]:[2017_births]])</f>
        <v>0.93746884801901997</v>
      </c>
      <c r="H12">
        <f>SUMPRODUCT((all_lmics[[who_choice_region]:[who_choice_region]]=$A12)*all_lmics[mu_01]*all_lmics[[2017_births]:[2017_births]])/SUMPRODUCT((all_lmics[[who_choice_region]:[who_choice_region]]=$A12)*all_lmics[[2017_births]:[2017_births]])</f>
        <v>1.2171532658710052E-2</v>
      </c>
      <c r="I12">
        <f>SUMPRODUCT((all_lmics[[who_choice_region]:[who_choice_region]]=$A12)*all_lmics[mu_14]*all_lmics[[2017_births]:[2017_births]])/SUMPRODUCT((all_lmics[[who_choice_region]:[who_choice_region]]=$A12)*all_lmics[[2017_births]:[2017_births]])</f>
        <v>6.8368448875387184E-4</v>
      </c>
      <c r="J12">
        <f>SUMPRODUCT((all_lmics[[who_choice_region]:[who_choice_region]]=$A12)*all_lmics[mu_59]*all_lmics[[2017_births]:[2017_births]])/SUMPRODUCT((all_lmics[[who_choice_region]:[who_choice_region]]=$A12)*all_lmics[[2017_births]:[2017_births]])</f>
        <v>3.8826325725348779E-4</v>
      </c>
      <c r="K12">
        <f>SUMPRODUCT((all_lmics[[who_choice_region]:[who_choice_region]]=$A12)*all_lmics[mu_1014]*all_lmics[[2017_births]:[2017_births]])/SUMPRODUCT((all_lmics[[who_choice_region]:[who_choice_region]]=$A12)*all_lmics[[2017_births]:[2017_births]])</f>
        <v>3.067218710013588E-4</v>
      </c>
      <c r="L12">
        <f>SUMPRODUCT((all_lmics[[who_choice_region]:[who_choice_region]]=$A12)*all_lmics[mu_1519]*all_lmics[[2017_births]:[2017_births]])/SUMPRODUCT((all_lmics[[who_choice_region]:[who_choice_region]]=$A12)*all_lmics[[2017_births]:[2017_births]])</f>
        <v>4.9254866058896438E-4</v>
      </c>
      <c r="M12">
        <f>SUMPRODUCT((all_lmics[[who_choice_region]:[who_choice_region]]=$A12)*all_lmics[mu_2024]*all_lmics[[2017_births]:[2017_births]])/SUMPRODUCT((all_lmics[[who_choice_region]:[who_choice_region]]=$A12)*all_lmics[[2017_births]:[2017_births]])</f>
        <v>6.8616198707337195E-4</v>
      </c>
      <c r="N12">
        <f>SUMPRODUCT((all_lmics[[who_choice_region]:[who_choice_region]]=$A12)*all_lmics[mu_2529]*all_lmics[[2017_births]:[2017_births]])/SUMPRODUCT((all_lmics[[who_choice_region]:[who_choice_region]]=$A12)*all_lmics[[2017_births]:[2017_births]])</f>
        <v>8.5498135156451523E-4</v>
      </c>
      <c r="O12">
        <f>SUMPRODUCT((all_lmics[[who_choice_region]:[who_choice_region]]=$A12)*all_lmics[mu_3034]*all_lmics[[2017_births]:[2017_births]])/SUMPRODUCT((all_lmics[[who_choice_region]:[who_choice_region]]=$A12)*all_lmics[[2017_births]:[2017_births]])</f>
        <v>1.0646977878212504E-3</v>
      </c>
      <c r="P12">
        <f>SUMPRODUCT((all_lmics[[who_choice_region]:[who_choice_region]]=$A12)*all_lmics[mu_3539]*all_lmics[[2017_births]:[2017_births]])/SUMPRODUCT((all_lmics[[who_choice_region]:[who_choice_region]]=$A12)*all_lmics[[2017_births]:[2017_births]])</f>
        <v>1.3706185041209306E-3</v>
      </c>
      <c r="Q12">
        <f>SUMPRODUCT((all_lmics[[who_choice_region]:[who_choice_region]]=$A12)*all_lmics[mu_4044]*all_lmics[[2017_births]:[2017_births]])/SUMPRODUCT((all_lmics[[who_choice_region]:[who_choice_region]]=$A12)*all_lmics[[2017_births]:[2017_births]])</f>
        <v>1.9338704394827476E-3</v>
      </c>
      <c r="R12">
        <f>SUMPRODUCT((all_lmics[[who_choice_region]:[who_choice_region]]=$A12)*all_lmics[mu_4549]*all_lmics[[2017_births]:[2017_births]])/SUMPRODUCT((all_lmics[[who_choice_region]:[who_choice_region]]=$A12)*all_lmics[[2017_births]:[2017_births]])</f>
        <v>2.8449210534799521E-3</v>
      </c>
      <c r="S12">
        <f>SUMPRODUCT((all_lmics[[who_choice_region]:[who_choice_region]]=$A12)*all_lmics[mu_5054]*all_lmics[[2017_births]:[2017_births]])/SUMPRODUCT((all_lmics[[who_choice_region]:[who_choice_region]]=$A12)*all_lmics[[2017_births]:[2017_births]])</f>
        <v>4.5397258475201952E-3</v>
      </c>
      <c r="T12">
        <f>SUMPRODUCT((all_lmics[[who_choice_region]:[who_choice_region]]=$A12)*all_lmics[mu_5559]*all_lmics[[2017_births]:[2017_births]])/SUMPRODUCT((all_lmics[[who_choice_region]:[who_choice_region]]=$A12)*all_lmics[[2017_births]:[2017_births]])</f>
        <v>7.2925005763066087E-3</v>
      </c>
      <c r="U12">
        <f>SUMPRODUCT((all_lmics[[who_choice_region]:[who_choice_region]]=$A12)*all_lmics[mu_6064]*all_lmics[[2017_births]:[2017_births]])/SUMPRODUCT((all_lmics[[who_choice_region]:[who_choice_region]]=$A12)*all_lmics[[2017_births]:[2017_births]])</f>
        <v>1.2430011174391166E-2</v>
      </c>
      <c r="V12">
        <f>SUMPRODUCT((all_lmics[[who_choice_region]:[who_choice_region]]=$A12)*all_lmics[mu_6569]*all_lmics[[2017_births]:[2017_births]])/SUMPRODUCT((all_lmics[[who_choice_region]:[who_choice_region]]=$A12)*all_lmics[[2017_births]:[2017_births]])</f>
        <v>2.1225223566410715E-2</v>
      </c>
      <c r="W12">
        <f>SUMPRODUCT((all_lmics[[who_choice_region]:[who_choice_region]]=$A12)*all_lmics[mu_7074]*all_lmics[[2017_births]:[2017_births]])/SUMPRODUCT((all_lmics[[who_choice_region]:[who_choice_region]]=$A12)*all_lmics[[2017_births]:[2017_births]])</f>
        <v>3.7100898613842075E-2</v>
      </c>
      <c r="X12">
        <f>SUMPRODUCT((all_lmics[[who_choice_region]:[who_choice_region]]=$A12)*all_lmics[mu_7579]*all_lmics[[2017_births]:[2017_births]])/SUMPRODUCT((all_lmics[[who_choice_region]:[who_choice_region]]=$A12)*all_lmics[[2017_births]:[2017_births]])</f>
        <v>6.1505862954745437E-2</v>
      </c>
      <c r="Y12">
        <f>SUMPRODUCT((all_lmics[[who_choice_region]:[who_choice_region]]=$A12)*all_lmics[mu_8084]*all_lmics[[2017_births]:[2017_births]])/SUMPRODUCT((all_lmics[[who_choice_region]:[who_choice_region]]=$A12)*all_lmics[[2017_births]:[2017_births]])</f>
        <v>9.4870341219730828E-2</v>
      </c>
      <c r="Z12">
        <f>SUMPRODUCT((all_lmics[[who_choice_region]:[who_choice_region]]=$A12)*all_lmics[mu_8589]*all_lmics[[2017_births]:[2017_births]])/SUMPRODUCT((all_lmics[[who_choice_region]:[who_choice_region]]=$A12)*all_lmics[[2017_births]:[2017_births]])</f>
        <v>0.14693633977770637</v>
      </c>
      <c r="AA12">
        <f>SUMPRODUCT((all_lmics[[who_choice_region]:[who_choice_region]]=$A12)*all_lmics[mu_9094]*all_lmics[[2017_births]:[2017_births]])/SUMPRODUCT((all_lmics[[who_choice_region]:[who_choice_region]]=$A12)*all_lmics[[2017_births]:[2017_births]])</f>
        <v>0.21054250727883506</v>
      </c>
      <c r="AB12">
        <f>SUMPRODUCT((all_lmics[[who_choice_region]:[who_choice_region]]=$A12)*all_lmics[mu_9599]*all_lmics[[2017_births]:[2017_births]])/SUMPRODUCT((all_lmics[[who_choice_region]:[who_choice_region]]=$A12)*all_lmics[[2017_births]:[2017_births]])</f>
        <v>0.28760691487723716</v>
      </c>
      <c r="AC12">
        <f>SUMPRODUCT((all_lmics[[who_choice_region]:[who_choice_region]]=$A12)*all_lmics[mu_100]*all_lmics[[2017_births]:[2017_births]])/SUMPRODUCT((all_lmics[[who_choice_region]:[who_choice_region]]=$A12)*all_lmics[[2017_births]:[2017_births]])</f>
        <v>0.36209791606833291</v>
      </c>
      <c r="AD12">
        <f>SUMPRODUCT((all_lmics[[who_choice_region]:[who_choice_region]]=missing[[#This Row],[Setting]])*(LEN(all_lmics[SBA_nfac])&gt;1)*all_lmics[SBA_nfac]*all_lmics[[2017_births]:[2017_births]])/SUMPRODUCT((all_lmics[[who_choice_region]:[who_choice_region]]=missing[[#This Row],[Setting]])*(LEN(all_lmics[SBA_nfac])&gt;1)*all_lmics[[2017_births]:[2017_births]])</f>
        <v>0.15985670213371023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workbookViewId="0">
      <selection activeCell="B30" sqref="B30"/>
    </sheetView>
  </sheetViews>
  <sheetFormatPr defaultRowHeight="14.5" x14ac:dyDescent="0.35"/>
  <cols>
    <col min="1" max="1" width="26.453125" customWidth="1"/>
  </cols>
  <sheetData>
    <row r="1" spans="1:8" x14ac:dyDescent="0.35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H1">
        <v>0.05</v>
      </c>
    </row>
    <row r="2" spans="1:8" x14ac:dyDescent="0.35">
      <c r="A2" t="s">
        <v>462</v>
      </c>
      <c r="B2" t="s">
        <v>463</v>
      </c>
      <c r="C2">
        <v>1000</v>
      </c>
      <c r="D2">
        <v>1000</v>
      </c>
      <c r="E2">
        <v>1000</v>
      </c>
    </row>
    <row r="3" spans="1:8" x14ac:dyDescent="0.35">
      <c r="A3" t="s">
        <v>464</v>
      </c>
      <c r="B3" t="s">
        <v>465</v>
      </c>
      <c r="C3">
        <v>100</v>
      </c>
      <c r="D3">
        <v>100</v>
      </c>
      <c r="E3">
        <v>100</v>
      </c>
    </row>
    <row r="4" spans="1:8" x14ac:dyDescent="0.35">
      <c r="B4" t="s">
        <v>466</v>
      </c>
      <c r="C4">
        <v>2</v>
      </c>
      <c r="D4">
        <v>2</v>
      </c>
      <c r="E4">
        <v>2</v>
      </c>
    </row>
    <row r="5" spans="1:8" x14ac:dyDescent="0.35">
      <c r="B5" t="s">
        <v>467</v>
      </c>
      <c r="C5">
        <v>0.03</v>
      </c>
      <c r="D5">
        <v>0.03</v>
      </c>
      <c r="E5">
        <v>0.03</v>
      </c>
    </row>
    <row r="6" spans="1:8" x14ac:dyDescent="0.35">
      <c r="B6" t="s">
        <v>468</v>
      </c>
      <c r="C6">
        <v>5.0999999999999997E-2</v>
      </c>
      <c r="D6">
        <v>3.2000000000000001E-2</v>
      </c>
      <c r="E6">
        <v>7.3999999999999996E-2</v>
      </c>
    </row>
    <row r="7" spans="1:8" x14ac:dyDescent="0.35">
      <c r="B7" t="s">
        <v>469</v>
      </c>
      <c r="C7">
        <v>5.0999999999999997E-2</v>
      </c>
      <c r="D7">
        <v>3.2000000000000001E-2</v>
      </c>
      <c r="E7">
        <v>7.3999999999999996E-2</v>
      </c>
    </row>
    <row r="8" spans="1:8" x14ac:dyDescent="0.35">
      <c r="B8" t="s">
        <v>470</v>
      </c>
      <c r="C8">
        <v>5.0999999999999997E-2</v>
      </c>
      <c r="D8">
        <v>3.2000000000000001E-2</v>
      </c>
      <c r="E8">
        <v>7.3999999999999996E-2</v>
      </c>
    </row>
    <row r="9" spans="1:8" x14ac:dyDescent="0.35">
      <c r="B9" t="s">
        <v>471</v>
      </c>
      <c r="C9">
        <v>0.17799999999999999</v>
      </c>
      <c r="D9">
        <v>0.123</v>
      </c>
      <c r="E9">
        <v>0.25</v>
      </c>
    </row>
    <row r="10" spans="1:8" x14ac:dyDescent="0.35">
      <c r="B10" t="s">
        <v>472</v>
      </c>
      <c r="C10">
        <v>0.28799999999999998</v>
      </c>
      <c r="D10">
        <v>0.193</v>
      </c>
      <c r="E10">
        <v>0.39900000000000002</v>
      </c>
    </row>
    <row r="11" spans="1:8" x14ac:dyDescent="0.35">
      <c r="B11" t="s">
        <v>473</v>
      </c>
      <c r="C11">
        <v>0.95299999999999996</v>
      </c>
      <c r="D11">
        <v>0.95299999999999996</v>
      </c>
      <c r="E11">
        <v>0.95299999999999996</v>
      </c>
    </row>
    <row r="12" spans="1:8" x14ac:dyDescent="0.35">
      <c r="B12" t="s">
        <v>474</v>
      </c>
      <c r="C12">
        <v>0.88900000000000001</v>
      </c>
      <c r="D12">
        <v>0.83</v>
      </c>
      <c r="E12">
        <v>0.92800000000000005</v>
      </c>
    </row>
    <row r="13" spans="1:8" x14ac:dyDescent="0.35">
      <c r="B13" t="s">
        <v>475</v>
      </c>
      <c r="C13">
        <v>0.82499999999999996</v>
      </c>
      <c r="D13">
        <v>0.70699999999999996</v>
      </c>
      <c r="E13">
        <v>0.90200000000000002</v>
      </c>
    </row>
    <row r="14" spans="1:8" x14ac:dyDescent="0.35">
      <c r="B14" t="s">
        <v>476</v>
      </c>
      <c r="C14">
        <v>0.52300000000000002</v>
      </c>
      <c r="D14">
        <v>0.223</v>
      </c>
      <c r="E14">
        <v>0.80700000000000005</v>
      </c>
    </row>
    <row r="15" spans="1:8" x14ac:dyDescent="0.35">
      <c r="B15" t="s">
        <v>477</v>
      </c>
      <c r="C15">
        <v>0</v>
      </c>
      <c r="D15">
        <v>0</v>
      </c>
      <c r="E15">
        <v>0</v>
      </c>
    </row>
    <row r="16" spans="1:8" x14ac:dyDescent="0.35">
      <c r="B16" t="s">
        <v>478</v>
      </c>
      <c r="C16">
        <v>24</v>
      </c>
      <c r="D16">
        <v>24</v>
      </c>
      <c r="E16">
        <v>24</v>
      </c>
    </row>
    <row r="17" spans="2:5" x14ac:dyDescent="0.35">
      <c r="B17" t="s">
        <v>479</v>
      </c>
      <c r="C17">
        <v>4</v>
      </c>
      <c r="D17">
        <v>4</v>
      </c>
      <c r="E17">
        <v>4</v>
      </c>
    </row>
    <row r="18" spans="2:5" x14ac:dyDescent="0.35">
      <c r="B18" t="s">
        <v>480</v>
      </c>
      <c r="C18">
        <v>0.88500000000000001</v>
      </c>
      <c r="D18">
        <v>0.84</v>
      </c>
      <c r="E18">
        <v>0.93</v>
      </c>
    </row>
    <row r="19" spans="2:5" x14ac:dyDescent="0.35">
      <c r="B19" t="s">
        <v>481</v>
      </c>
      <c r="C19">
        <v>4</v>
      </c>
      <c r="D19">
        <v>4</v>
      </c>
      <c r="E19">
        <v>4</v>
      </c>
    </row>
    <row r="20" spans="2:5" x14ac:dyDescent="0.35">
      <c r="B20" t="s">
        <v>482</v>
      </c>
      <c r="C20">
        <v>4.8037084028205992E-3</v>
      </c>
      <c r="D20">
        <v>5.2146632068983954E-4</v>
      </c>
      <c r="E20">
        <v>1.04611966794976E-2</v>
      </c>
    </row>
    <row r="21" spans="2:5" x14ac:dyDescent="0.35">
      <c r="B21" t="s">
        <v>483</v>
      </c>
      <c r="C21">
        <v>8.4638246999685623E-3</v>
      </c>
      <c r="D21">
        <v>4.3648054024500883E-3</v>
      </c>
      <c r="E21">
        <v>1.0550182333308195E-2</v>
      </c>
    </row>
    <row r="22" spans="2:5" x14ac:dyDescent="0.35">
      <c r="B22" t="s">
        <v>484</v>
      </c>
      <c r="C22">
        <v>1.7276612331454656E-2</v>
      </c>
      <c r="D22">
        <v>1.4124642691606345E-2</v>
      </c>
      <c r="E22">
        <v>2.0451625295904902E-2</v>
      </c>
    </row>
    <row r="23" spans="2:5" x14ac:dyDescent="0.35">
      <c r="B23" t="s">
        <v>485</v>
      </c>
      <c r="C23">
        <v>3.1984286006358213E-2</v>
      </c>
      <c r="D23">
        <v>3.1984286006358213E-2</v>
      </c>
      <c r="E23">
        <v>3.1984286006358213E-2</v>
      </c>
    </row>
    <row r="24" spans="2:5" x14ac:dyDescent="0.35">
      <c r="B24" t="s">
        <v>486</v>
      </c>
      <c r="C24">
        <v>2.0679302617975567E-2</v>
      </c>
      <c r="D24">
        <v>1.322826573375516E-2</v>
      </c>
      <c r="E24">
        <v>2.965312376990667E-2</v>
      </c>
    </row>
    <row r="25" spans="2:5" x14ac:dyDescent="0.35">
      <c r="B25" t="s">
        <v>487</v>
      </c>
      <c r="C25">
        <f>-LOG(1-0.0064)</f>
        <v>2.7884171674950114E-3</v>
      </c>
      <c r="D25">
        <f>-LOG(1-0.0027)</f>
        <v>1.1741809597139673E-3</v>
      </c>
      <c r="E25">
        <f>-LOG(1-0.01)</f>
        <v>4.3648054024500883E-3</v>
      </c>
    </row>
    <row r="26" spans="2:5" x14ac:dyDescent="0.35">
      <c r="B26" t="s">
        <v>488</v>
      </c>
      <c r="C26">
        <v>2.8758443407954841E-3</v>
      </c>
      <c r="D26">
        <v>1.6534626036354312E-3</v>
      </c>
      <c r="E26">
        <v>4.0578370074493605E-3</v>
      </c>
    </row>
    <row r="27" spans="2:5" x14ac:dyDescent="0.35">
      <c r="B27" t="s">
        <v>489</v>
      </c>
      <c r="C27">
        <v>3.7510854308679064E-3</v>
      </c>
      <c r="D27">
        <v>1.0870956412141377E-3</v>
      </c>
      <c r="E27">
        <v>6.5637695023882739E-3</v>
      </c>
    </row>
    <row r="28" spans="2:5" x14ac:dyDescent="0.35">
      <c r="B28" t="s">
        <v>490</v>
      </c>
      <c r="C28">
        <v>2.0360587777092674E-2</v>
      </c>
      <c r="D28">
        <v>1.3676222949234686E-2</v>
      </c>
      <c r="E28">
        <v>2.965312376990667E-2</v>
      </c>
    </row>
    <row r="29" spans="2:5" x14ac:dyDescent="0.35">
      <c r="B29" t="s">
        <v>491</v>
      </c>
      <c r="C29">
        <v>7.6911484557600746E-2</v>
      </c>
      <c r="D29">
        <v>4.5275209020937013E-2</v>
      </c>
      <c r="E29">
        <v>9.6910013008056392E-2</v>
      </c>
    </row>
    <row r="30" spans="2:5" x14ac:dyDescent="0.35">
      <c r="B30" t="s">
        <v>492</v>
      </c>
      <c r="C30">
        <v>0.34198860334288761</v>
      </c>
      <c r="D30">
        <v>3.6684488613888719E-2</v>
      </c>
      <c r="E30">
        <v>0.40340290437353976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Y88"/>
  <sheetViews>
    <sheetView topLeftCell="A37" workbookViewId="0">
      <selection activeCell="C43" sqref="C43"/>
    </sheetView>
  </sheetViews>
  <sheetFormatPr defaultRowHeight="14.5" x14ac:dyDescent="0.35"/>
  <cols>
    <col min="1" max="2" width="8.7265625" customWidth="1"/>
    <col min="3" max="3" width="52.36328125" customWidth="1"/>
  </cols>
  <sheetData>
    <row r="1" spans="1:51" x14ac:dyDescent="0.35">
      <c r="A1" t="s">
        <v>441</v>
      </c>
      <c r="B1" t="s">
        <v>442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240</v>
      </c>
      <c r="J1" t="s">
        <v>450</v>
      </c>
      <c r="K1" t="s">
        <v>451</v>
      </c>
      <c r="L1" t="s">
        <v>244</v>
      </c>
      <c r="M1" t="s">
        <v>452</v>
      </c>
      <c r="N1" t="s">
        <v>453</v>
      </c>
      <c r="O1" t="s">
        <v>454</v>
      </c>
      <c r="P1" t="s">
        <v>385</v>
      </c>
      <c r="Q1" t="s">
        <v>386</v>
      </c>
      <c r="R1" t="s">
        <v>387</v>
      </c>
      <c r="S1" s="39" t="s">
        <v>388</v>
      </c>
      <c r="T1" s="39" t="s">
        <v>389</v>
      </c>
      <c r="U1" s="39" t="s">
        <v>390</v>
      </c>
      <c r="V1" s="39" t="s">
        <v>391</v>
      </c>
      <c r="W1" s="39" t="s">
        <v>392</v>
      </c>
      <c r="X1" s="39" t="s">
        <v>393</v>
      </c>
      <c r="Y1" s="39" t="s">
        <v>394</v>
      </c>
      <c r="Z1" s="39" t="s">
        <v>395</v>
      </c>
      <c r="AA1" s="39" t="s">
        <v>396</v>
      </c>
      <c r="AB1" s="39" t="s">
        <v>397</v>
      </c>
      <c r="AC1" s="39" t="s">
        <v>398</v>
      </c>
      <c r="AD1" s="39" t="s">
        <v>399</v>
      </c>
      <c r="AE1" s="39" t="s">
        <v>400</v>
      </c>
      <c r="AF1" s="39" t="s">
        <v>401</v>
      </c>
      <c r="AG1" s="39" t="s">
        <v>402</v>
      </c>
      <c r="AH1" s="39" t="s">
        <v>403</v>
      </c>
      <c r="AI1" t="s">
        <v>404</v>
      </c>
      <c r="AJ1" t="s">
        <v>405</v>
      </c>
      <c r="AK1" t="s">
        <v>406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455</v>
      </c>
      <c r="AW1" t="s">
        <v>374</v>
      </c>
      <c r="AX1" t="s">
        <v>377</v>
      </c>
      <c r="AY1" t="s">
        <v>456</v>
      </c>
    </row>
    <row r="2" spans="1:51" x14ac:dyDescent="0.35">
      <c r="A2" s="8" t="s">
        <v>4</v>
      </c>
      <c r="B2" s="10" t="s">
        <v>6</v>
      </c>
      <c r="C2" s="11" t="s">
        <v>7</v>
      </c>
      <c r="D2">
        <f>VLOOKUP(all_lmics18[[Setting]:[Setting]],populations[],9,FALSE)</f>
        <v>35530081</v>
      </c>
      <c r="E2">
        <f>VLOOKUP(all_lmics18[[Setting]:[Setting]],birthrate[],3,FALSE)</f>
        <v>3.3214E-2</v>
      </c>
      <c r="F2">
        <f>all_lmics18[[#This Row],[2017_population]]*all_lmics18[[#This Row],[2016_birthrate]]</f>
        <v>1180096.1103340001</v>
      </c>
      <c r="G2">
        <f>VLOOKUP(all_lmics18[[Setting]:[Setting]],birthdose[],4,FALSE)</f>
        <v>0.18</v>
      </c>
      <c r="H2">
        <f>VLOOKUP(all_lmics18[[Setting]:[Setting]],fullvax[],4,FALSE)</f>
        <v>0.65</v>
      </c>
      <c r="I2">
        <f>IFERROR(VLOOKUP(all_lmics18[[Setting]:[Setting]],prev[],3,FALSE),VLOOKUP(all_lmics18[[who_choice_region]:[who_choice_region]],missing[],2,FALSE))</f>
        <v>1.6199999999999999E-2</v>
      </c>
      <c r="J2">
        <f>IFERROR(VLOOKUP(all_lmics18[[Setting]:[Setting]],prev[],4,FALSE),VLOOKUP(all_lmics18[[who_choice_region]:[who_choice_region]],missing[],3,FALSE))</f>
        <v>1.29E-2</v>
      </c>
      <c r="K2">
        <f>IFERROR(VLOOKUP(all_lmics18[[Setting]:[Setting]],prev[],5,FALSE),VLOOKUP(all_lmics18[[who_choice_region]:[who_choice_region]],missing[],4,FALSE))</f>
        <v>2.0299999999999999E-2</v>
      </c>
      <c r="L2">
        <f>IFERROR(VLOOKUP(all_lmics18[[Setting]:[Setting]],prev[],7,FALSE),VLOOKUP(all_lmics18[[who_choice_region]:[who_choice_region]],missing[],5,FALSE))</f>
        <v>2.0918367346938775E-3</v>
      </c>
      <c r="M2">
        <f>IFERROR(VLOOKUP(all_lmics18[[Setting]:[Setting]],prev[],6,FALSE),0)</f>
        <v>28803167</v>
      </c>
      <c r="N2">
        <f>IFERROR(VLOOKUP(all_lmics18[[Setting]:[Setting]],SBA[],4,FALSE),VLOOKUP(all_lmics18[[who_choice_region]:[who_choice_region]],missing[],6,FALSE))</f>
        <v>0.505</v>
      </c>
      <c r="O2">
        <f>IFERROR(VLOOKUP(all_lmics18[[Setting]:[Setting]], facility[], 3,FALSE),VLOOKUP(all_lmics18[[who_choice_region]:[who_choice_region]],missing[],7,FALSE))</f>
        <v>0.48100000000000004</v>
      </c>
      <c r="P2">
        <f>IF(VLOOKUP(all_lmics18[[Setting]:[Setting]],all_cause_mort[],4,FALSE)="",VLOOKUP(all_lmics18[[who_choice_region]:[who_choice_region]],missing[],8,FALSE),VLOOKUP(all_lmics18[[Setting]:[Setting]],all_cause_mort[],4,FALSE))</f>
        <v>5.3946750000000002E-2</v>
      </c>
      <c r="Q2">
        <f>IF(VLOOKUP(all_lmics18[[Setting]:[Setting]],all_cause_mort[],5,FALSE)="",VLOOKUP(all_lmics18[[who_choice_region]:[who_choice_region]],missing[],9,FALSE),VLOOKUP(all_lmics18[[Setting]:[Setting]],all_cause_mort[],5,FALSE))</f>
        <v>4.3072895999999999E-3</v>
      </c>
      <c r="R2">
        <f>IF(VLOOKUP(all_lmics18[[Setting]:[Setting]],all_cause_mort[],6,FALSE)="",VLOOKUP(all_lmics18[[who_choice_region]:[who_choice_region]],missing[],10,FALSE),VLOOKUP(all_lmics18[[Setting]:[Setting]],all_cause_mort[],6,FALSE))</f>
        <v>1.3272850999999999E-3</v>
      </c>
      <c r="S2">
        <f>IF(VLOOKUP(all_lmics18[[Setting]:[Setting]],all_cause_mort[],7,FALSE)="",VLOOKUP(all_lmics18[[who_choice_region]:[who_choice_region]],missing[],11,FALSE),VLOOKUP(all_lmics18[[Setting]:[Setting]],all_cause_mort[],7,FALSE))</f>
        <v>1.043006E-3</v>
      </c>
      <c r="T2">
        <f>IF(VLOOKUP(all_lmics18[[Setting]:[Setting]],all_cause_mort[],8,FALSE)="",VLOOKUP(all_lmics18[[who_choice_region]:[who_choice_region]],missing[],12,FALSE),VLOOKUP(all_lmics18[[Setting]:[Setting]],all_cause_mort[],8,FALSE))</f>
        <v>1.6842243999999999E-3</v>
      </c>
      <c r="U2">
        <f>IF(VLOOKUP(all_lmics18[[Setting]:[Setting]],all_cause_mort[],9,FALSE)="",VLOOKUP(all_lmics18[[who_choice_region]:[who_choice_region]],missing[],13,FALSE),VLOOKUP(all_lmics18[[Setting]:[Setting]],all_cause_mort[],9,FALSE))</f>
        <v>2.3509482999999999E-3</v>
      </c>
      <c r="V2">
        <f>IF(VLOOKUP(all_lmics18[[Setting]:[Setting]],all_cause_mort[],10,FALSE)="",VLOOKUP(all_lmics18[[who_choice_region]:[who_choice_region]],missing[],14,FALSE),VLOOKUP(all_lmics18[[Setting]:[Setting]],all_cause_mort[],10,FALSE))</f>
        <v>2.5620234000000002E-3</v>
      </c>
      <c r="W2">
        <f>IF(VLOOKUP(all_lmics18[[Setting]:[Setting]],all_cause_mort[],11,FALSE)="",VLOOKUP(all_lmics18[[who_choice_region]:[who_choice_region]],missing[],15,FALSE),VLOOKUP(all_lmics18[[Setting]:[Setting]],all_cause_mort[],11,FALSE))</f>
        <v>2.9352549999999999E-3</v>
      </c>
      <c r="X2">
        <f>IF(VLOOKUP(all_lmics18[[Setting]:[Setting]],all_cause_mort[],12,FALSE)="",VLOOKUP(all_lmics18[[who_choice_region]:[who_choice_region]],missing[],16,FALSE),VLOOKUP(all_lmics18[[Setting]:[Setting]],all_cause_mort[],12,FALSE))</f>
        <v>3.6406275000000002E-3</v>
      </c>
      <c r="Y2">
        <f>IF(VLOOKUP(all_lmics18[[Setting]:[Setting]],all_cause_mort[],13,FALSE)="",VLOOKUP(all_lmics18[[who_choice_region]:[who_choice_region]],missing[],17,FALSE),VLOOKUP(all_lmics18[[Setting]:[Setting]],all_cause_mort[],13,FALSE))</f>
        <v>4.8193397000000004E-3</v>
      </c>
      <c r="Z2">
        <f>IF(VLOOKUP(all_lmics18[[Setting]:[Setting]],all_cause_mort[],14,FALSE)="",VLOOKUP(all_lmics18[[who_choice_region]:[who_choice_region]],missing[],18,FALSE),VLOOKUP(all_lmics18[[Setting]:[Setting]],all_cause_mort[],14,FALSE))</f>
        <v>6.7762048000000004E-3</v>
      </c>
      <c r="AA2">
        <f>IF(VLOOKUP(all_lmics18[[Setting]:[Setting]],all_cause_mort[],15,FALSE)="",VLOOKUP(all_lmics18[[who_choice_region]:[who_choice_region]],missing[],19,FALSE),VLOOKUP(all_lmics18[[Setting]:[Setting]],all_cause_mort[],15,FALSE))</f>
        <v>9.9386647000000005E-3</v>
      </c>
      <c r="AB2">
        <f>IF(VLOOKUP(all_lmics18[[Setting]:[Setting]],all_cause_mort[],16,FALSE)="",VLOOKUP(all_lmics18[[who_choice_region]:[who_choice_region]],missing[],20,FALSE),VLOOKUP(all_lmics18[[Setting]:[Setting]],all_cause_mort[],16,FALSE))</f>
        <v>1.4819776999999999E-2</v>
      </c>
      <c r="AC2">
        <f>IF(VLOOKUP(all_lmics18[[Setting]:[Setting]],all_cause_mort[],17,FALSE)="",VLOOKUP(all_lmics18[[who_choice_region]:[who_choice_region]],missing[],21,FALSE),VLOOKUP(all_lmics18[[Setting]:[Setting]],all_cause_mort[],17,FALSE))</f>
        <v>2.2737640999999999E-2</v>
      </c>
      <c r="AD2">
        <f>IF(VLOOKUP(all_lmics18[[Setting]:[Setting]],all_cause_mort[],18,FALSE)="",VLOOKUP(all_lmics18[[who_choice_region]:[who_choice_region]],missing[],22,FALSE),VLOOKUP(all_lmics18[[Setting]:[Setting]],all_cause_mort[],18,FALSE))</f>
        <v>3.5227205999999997E-2</v>
      </c>
      <c r="AE2">
        <f>IF(VLOOKUP(all_lmics18[[Setting]:[Setting]],all_cause_mort[],19,FALSE)="",VLOOKUP(all_lmics18[[who_choice_region]:[who_choice_region]],missing[],23,FALSE),VLOOKUP(all_lmics18[[Setting]:[Setting]],all_cause_mort[],19,FALSE))</f>
        <v>5.6293234999999997E-2</v>
      </c>
      <c r="AF2">
        <f>IF(VLOOKUP(all_lmics18[[Setting]:[Setting]],all_cause_mort[],20,FALSE)="",VLOOKUP(all_lmics18[[who_choice_region]:[who_choice_region]],missing[],24,FALSE),VLOOKUP(all_lmics18[[Setting]:[Setting]],all_cause_mort[],20,FALSE))</f>
        <v>9.0408010999999996E-2</v>
      </c>
      <c r="AG2">
        <f>IF(VLOOKUP(all_lmics18[[Setting]:[Setting]],all_cause_mort[],21,FALSE)="",VLOOKUP(all_lmics18[[who_choice_region]:[who_choice_region]],missing[],25,FALSE),VLOOKUP(all_lmics18[[Setting]:[Setting]],all_cause_mort[],21,FALSE))</f>
        <v>0.14440871999999999</v>
      </c>
      <c r="AH2">
        <f>IF(VLOOKUP(all_lmics18[[Setting]:[Setting]],all_cause_mort[],22,FALSE)="",VLOOKUP(all_lmics18[[who_choice_region]:[who_choice_region]],missing[],26,FALSE),VLOOKUP(all_lmics18[[Setting]:[Setting]],all_cause_mort[],22,FALSE))</f>
        <v>0.22282518000000001</v>
      </c>
      <c r="AI2">
        <f>IF(VLOOKUP(all_lmics18[[Setting]:[Setting]],all_cause_mort[],23,FALSE)="",VLOOKUP(all_lmics18[[who_choice_region]:[who_choice_region]],missing[],27,FALSE),VLOOKUP(all_lmics18[[Setting]:[Setting]],all_cause_mort[],23,FALSE))</f>
        <v>0.32327080000000002</v>
      </c>
      <c r="AJ2">
        <f>IF(VLOOKUP(all_lmics18[[Setting]:[Setting]],all_cause_mort[],24,FALSE)="",VLOOKUP(all_lmics18[[who_choice_region]:[who_choice_region]],missing[],28,FALSE),VLOOKUP(all_lmics18[[Setting]:[Setting]],all_cause_mort[],24,FALSE))</f>
        <v>0.44475852999999999</v>
      </c>
      <c r="AK2">
        <f>IF(VLOOKUP(all_lmics18[[Setting]:[Setting]],all_cause_mort[],25,FALSE)="",VLOOKUP(all_lmics18[[who_choice_region]:[who_choice_region]],missing[],29,FALSE),VLOOKUP(all_lmics18[[Setting]:[Setting]],all_cause_mort[],25,FALSE))</f>
        <v>0.57823609541681997</v>
      </c>
      <c r="AL2">
        <f>VLOOKUP(all_lmics18[[worldbank_region]:[worldbank_region]],Table13[],2,FALSE)</f>
        <v>57.906657999999993</v>
      </c>
      <c r="AM2">
        <f>VLOOKUP(all_lmics18[[worldbank_region]:[worldbank_region]],Table13[],3,FALSE)</f>
        <v>57.906657999999993</v>
      </c>
      <c r="AN2">
        <f>VLOOKUP(all_lmics18[[worldbank_region]:[worldbank_region]],Table13[],4,FALSE)</f>
        <v>105.63551799999999</v>
      </c>
      <c r="AO2">
        <f>VLOOKUP(all_lmics18[[worldbank_region]:[worldbank_region]],Table13[],5,FALSE)</f>
        <v>105.63551799999999</v>
      </c>
      <c r="AP2">
        <f>VLOOKUP(all_lmics18[[worldbank_region]:[worldbank_region]],Table13[],6,FALSE)</f>
        <v>105.63551799999999</v>
      </c>
      <c r="AQ2">
        <f>VLOOKUP(all_lmics18[[worldbank_region]:[worldbank_region]],Table14[],2,FALSE)</f>
        <v>1.5037449999999999</v>
      </c>
      <c r="AR2">
        <f>VLOOKUP(all_lmics18[[worldbank_region]:[worldbank_region]],Table14[],3,FALSE)</f>
        <v>2.121245</v>
      </c>
      <c r="AS2">
        <f>VLOOKUP(all_lmics18[[worldbank_region]:[worldbank_region]],Table14[],4,FALSE)</f>
        <v>1.9832129999999999</v>
      </c>
      <c r="AT2">
        <f>VLOOKUP(all_lmics18[[worldbank_region]:[worldbank_region]],Table14[],5,FALSE)</f>
        <v>2.6007129999999998</v>
      </c>
      <c r="AU2">
        <f>VLOOKUP(all_lmics18[[worldbank_region]:[worldbank_region]],Table14[],6,FALSE)</f>
        <v>3.1709649999999998</v>
      </c>
      <c r="AV2">
        <f>IFERROR(VLOOKUP(all_lmics18[[Setting]:[Setting]],nFacSBA[],4,FALSE),VLOOKUP(all_lmics18[[who_choice_region]:[who_choice_region]],missing[],30,FALSE))</f>
        <v>9.9050011419499109E-2</v>
      </c>
      <c r="AW2">
        <f>VLOOKUP(all_lmics18[[worldbank_region]:[worldbank_region]],hbe[],2)</f>
        <v>0.3</v>
      </c>
      <c r="AX2">
        <f>VLOOKUP(all_lmics18[[worldbank_region]:[worldbank_region]],hbe[],5)</f>
        <v>0.875</v>
      </c>
      <c r="AY2">
        <f>VLOOKUP(all_lmics18[[worldbank_region]:[worldbank_region]],hbe[],8)</f>
        <v>0.15</v>
      </c>
    </row>
    <row r="3" spans="1:51" x14ac:dyDescent="0.35">
      <c r="A3" s="12" t="s">
        <v>8</v>
      </c>
      <c r="B3" s="13" t="s">
        <v>10</v>
      </c>
      <c r="C3" s="14" t="s">
        <v>11</v>
      </c>
      <c r="D3">
        <f>VLOOKUP(all_lmics18[[Setting]:[Setting]],populations[],9,FALSE)</f>
        <v>2873457</v>
      </c>
      <c r="E3">
        <f>VLOOKUP(all_lmics18[[Setting]:[Setting]],birthrate[],3,FALSE)</f>
        <v>1.1816E-2</v>
      </c>
      <c r="F3">
        <f>all_lmics18[[#This Row],[2017_population]]*all_lmics18[[#This Row],[2016_birthrate]]</f>
        <v>33952.767912000003</v>
      </c>
      <c r="G3">
        <f>VLOOKUP(all_lmics18[[Setting]:[Setting]],birthdose[],4,FALSE)</f>
        <v>0.99</v>
      </c>
      <c r="H3">
        <f>VLOOKUP(all_lmics18[[Setting]:[Setting]],fullvax[],4,FALSE)</f>
        <v>0.99</v>
      </c>
      <c r="I3">
        <f>IFERROR(VLOOKUP(all_lmics18[[Setting]:[Setting]],prev[],3,FALSE),VLOOKUP(all_lmics18[[who_choice_region]:[who_choice_region]],missing[],2,FALSE))</f>
        <v>6.9000000000000006E-2</v>
      </c>
      <c r="J3">
        <f>IFERROR(VLOOKUP(all_lmics18[[Setting]:[Setting]],prev[],4,FALSE),VLOOKUP(all_lmics18[[who_choice_region]:[who_choice_region]],missing[],3,FALSE))</f>
        <v>4.7E-2</v>
      </c>
      <c r="K3">
        <f>IFERROR(VLOOKUP(all_lmics18[[Setting]:[Setting]],prev[],5,FALSE),VLOOKUP(all_lmics18[[who_choice_region]:[who_choice_region]],missing[],4,FALSE))</f>
        <v>9.2999999999999999E-2</v>
      </c>
      <c r="L3">
        <f>IFERROR(VLOOKUP(all_lmics18[[Setting]:[Setting]],prev[],7,FALSE),VLOOKUP(all_lmics18[[who_choice_region]:[who_choice_region]],missing[],5,FALSE))</f>
        <v>1.2244897959183671E-2</v>
      </c>
      <c r="M3">
        <f>IFERROR(VLOOKUP(all_lmics18[[Setting]:[Setting]],prev[],6,FALSE),0)</f>
        <v>2873457</v>
      </c>
      <c r="N3">
        <f>IFERROR(VLOOKUP(all_lmics18[[Setting]:[Setting]],SBA[],4,FALSE),VLOOKUP(all_lmics18[[who_choice_region]:[who_choice_region]],missing[],6,FALSE))</f>
        <v>0.99299999999999999</v>
      </c>
      <c r="O3">
        <f>IFERROR(VLOOKUP(all_lmics18[[Setting]:[Setting]], facility[], 3,FALSE),VLOOKUP(all_lmics18[[who_choice_region]:[who_choice_region]],missing[],7,FALSE))</f>
        <v>0.96700000000000008</v>
      </c>
      <c r="P3">
        <f>IF(VLOOKUP(all_lmics18[[Setting]:[Setting]],all_cause_mort[],4,FALSE)="",VLOOKUP(all_lmics18[[who_choice_region]:[who_choice_region]],missing[],8,FALSE),VLOOKUP(all_lmics18[[Setting]:[Setting]],all_cause_mort[],4,FALSE))</f>
        <v>8.0922204000000008E-3</v>
      </c>
      <c r="Q3">
        <f>IF(VLOOKUP(all_lmics18[[Setting]:[Setting]],all_cause_mort[],5,FALSE)="",VLOOKUP(all_lmics18[[who_choice_region]:[who_choice_region]],missing[],9,FALSE),VLOOKUP(all_lmics18[[Setting]:[Setting]],all_cause_mort[],5,FALSE))</f>
        <v>8.4434150000000003E-4</v>
      </c>
      <c r="R3">
        <f>IF(VLOOKUP(all_lmics18[[Setting]:[Setting]],all_cause_mort[],6,FALSE)="",VLOOKUP(all_lmics18[[who_choice_region]:[who_choice_region]],missing[],10,FALSE),VLOOKUP(all_lmics18[[Setting]:[Setting]],all_cause_mort[],6,FALSE))</f>
        <v>2.2330367000000001E-4</v>
      </c>
      <c r="S3">
        <f>IF(VLOOKUP(all_lmics18[[Setting]:[Setting]],all_cause_mort[],7,FALSE)="",VLOOKUP(all_lmics18[[who_choice_region]:[who_choice_region]],missing[],11,FALSE),VLOOKUP(all_lmics18[[Setting]:[Setting]],all_cause_mort[],7,FALSE))</f>
        <v>2.6816246999999998E-4</v>
      </c>
      <c r="T3">
        <f>IF(VLOOKUP(all_lmics18[[Setting]:[Setting]],all_cause_mort[],8,FALSE)="",VLOOKUP(all_lmics18[[who_choice_region]:[who_choice_region]],missing[],12,FALSE),VLOOKUP(all_lmics18[[Setting]:[Setting]],all_cause_mort[],8,FALSE))</f>
        <v>3.7209420000000002E-4</v>
      </c>
      <c r="U3">
        <f>IF(VLOOKUP(all_lmics18[[Setting]:[Setting]],all_cause_mort[],9,FALSE)="",VLOOKUP(all_lmics18[[who_choice_region]:[who_choice_region]],missing[],13,FALSE),VLOOKUP(all_lmics18[[Setting]:[Setting]],all_cause_mort[],9,FALSE))</f>
        <v>4.2449776999999998E-4</v>
      </c>
      <c r="V3">
        <f>IF(VLOOKUP(all_lmics18[[Setting]:[Setting]],all_cause_mort[],10,FALSE)="",VLOOKUP(all_lmics18[[who_choice_region]:[who_choice_region]],missing[],14,FALSE),VLOOKUP(all_lmics18[[Setting]:[Setting]],all_cause_mort[],10,FALSE))</f>
        <v>4.8967379000000003E-4</v>
      </c>
      <c r="W3">
        <f>IF(VLOOKUP(all_lmics18[[Setting]:[Setting]],all_cause_mort[],11,FALSE)="",VLOOKUP(all_lmics18[[who_choice_region]:[who_choice_region]],missing[],15,FALSE),VLOOKUP(all_lmics18[[Setting]:[Setting]],all_cause_mort[],11,FALSE))</f>
        <v>6.3084082999999996E-4</v>
      </c>
      <c r="X3">
        <f>IF(VLOOKUP(all_lmics18[[Setting]:[Setting]],all_cause_mort[],12,FALSE)="",VLOOKUP(all_lmics18[[who_choice_region]:[who_choice_region]],missing[],16,FALSE),VLOOKUP(all_lmics18[[Setting]:[Setting]],all_cause_mort[],12,FALSE))</f>
        <v>1.0338831E-3</v>
      </c>
      <c r="Y3">
        <f>IF(VLOOKUP(all_lmics18[[Setting]:[Setting]],all_cause_mort[],13,FALSE)="",VLOOKUP(all_lmics18[[who_choice_region]:[who_choice_region]],missing[],17,FALSE),VLOOKUP(all_lmics18[[Setting]:[Setting]],all_cause_mort[],13,FALSE))</f>
        <v>1.4005652E-3</v>
      </c>
      <c r="Z3">
        <f>IF(VLOOKUP(all_lmics18[[Setting]:[Setting]],all_cause_mort[],14,FALSE)="",VLOOKUP(all_lmics18[[who_choice_region]:[who_choice_region]],missing[],18,FALSE),VLOOKUP(all_lmics18[[Setting]:[Setting]],all_cause_mort[],14,FALSE))</f>
        <v>2.1814606999999999E-3</v>
      </c>
      <c r="AA3">
        <f>IF(VLOOKUP(all_lmics18[[Setting]:[Setting]],all_cause_mort[],15,FALSE)="",VLOOKUP(all_lmics18[[who_choice_region]:[who_choice_region]],missing[],19,FALSE),VLOOKUP(all_lmics18[[Setting]:[Setting]],all_cause_mort[],15,FALSE))</f>
        <v>3.3276030000000002E-3</v>
      </c>
      <c r="AB3">
        <f>IF(VLOOKUP(all_lmics18[[Setting]:[Setting]],all_cause_mort[],16,FALSE)="",VLOOKUP(all_lmics18[[who_choice_region]:[who_choice_region]],missing[],20,FALSE),VLOOKUP(all_lmics18[[Setting]:[Setting]],all_cause_mort[],16,FALSE))</f>
        <v>5.1205864E-3</v>
      </c>
      <c r="AC3">
        <f>IF(VLOOKUP(all_lmics18[[Setting]:[Setting]],all_cause_mort[],17,FALSE)="",VLOOKUP(all_lmics18[[who_choice_region]:[who_choice_region]],missing[],21,FALSE),VLOOKUP(all_lmics18[[Setting]:[Setting]],all_cause_mort[],17,FALSE))</f>
        <v>8.0126368000000003E-3</v>
      </c>
      <c r="AD3">
        <f>IF(VLOOKUP(all_lmics18[[Setting]:[Setting]],all_cause_mort[],18,FALSE)="",VLOOKUP(all_lmics18[[who_choice_region]:[who_choice_region]],missing[],22,FALSE),VLOOKUP(all_lmics18[[Setting]:[Setting]],all_cause_mort[],18,FALSE))</f>
        <v>1.3531368E-2</v>
      </c>
      <c r="AE3">
        <f>IF(VLOOKUP(all_lmics18[[Setting]:[Setting]],all_cause_mort[],19,FALSE)="",VLOOKUP(all_lmics18[[who_choice_region]:[who_choice_region]],missing[],23,FALSE),VLOOKUP(all_lmics18[[Setting]:[Setting]],all_cause_mort[],19,FALSE))</f>
        <v>2.4342121000000001E-2</v>
      </c>
      <c r="AF3">
        <f>IF(VLOOKUP(all_lmics18[[Setting]:[Setting]],all_cause_mort[],20,FALSE)="",VLOOKUP(all_lmics18[[who_choice_region]:[who_choice_region]],missing[],24,FALSE),VLOOKUP(all_lmics18[[Setting]:[Setting]],all_cause_mort[],20,FALSE))</f>
        <v>4.6438684000000001E-2</v>
      </c>
      <c r="AG3">
        <f>IF(VLOOKUP(all_lmics18[[Setting]:[Setting]],all_cause_mort[],21,FALSE)="",VLOOKUP(all_lmics18[[who_choice_region]:[who_choice_region]],missing[],25,FALSE),VLOOKUP(all_lmics18[[Setting]:[Setting]],all_cause_mort[],21,FALSE))</f>
        <v>9.3340592999999999E-2</v>
      </c>
      <c r="AH3">
        <f>IF(VLOOKUP(all_lmics18[[Setting]:[Setting]],all_cause_mort[],22,FALSE)="",VLOOKUP(all_lmics18[[who_choice_region]:[who_choice_region]],missing[],26,FALSE),VLOOKUP(all_lmics18[[Setting]:[Setting]],all_cause_mort[],22,FALSE))</f>
        <v>0.16125123999999999</v>
      </c>
      <c r="AI3">
        <f>IF(VLOOKUP(all_lmics18[[Setting]:[Setting]],all_cause_mort[],23,FALSE)="",VLOOKUP(all_lmics18[[who_choice_region]:[who_choice_region]],missing[],27,FALSE),VLOOKUP(all_lmics18[[Setting]:[Setting]],all_cause_mort[],23,FALSE))</f>
        <v>0.26382001999999999</v>
      </c>
      <c r="AJ3">
        <f>IF(VLOOKUP(all_lmics18[[Setting]:[Setting]],all_cause_mort[],24,FALSE)="",VLOOKUP(all_lmics18[[who_choice_region]:[who_choice_region]],missing[],28,FALSE),VLOOKUP(all_lmics18[[Setting]:[Setting]],all_cause_mort[],24,FALSE))</f>
        <v>0.40889719000000002</v>
      </c>
      <c r="AK3">
        <f>IF(VLOOKUP(all_lmics18[[Setting]:[Setting]],all_cause_mort[],25,FALSE)="",VLOOKUP(all_lmics18[[who_choice_region]:[who_choice_region]],missing[],29,FALSE),VLOOKUP(all_lmics18[[Setting]:[Setting]],all_cause_mort[],25,FALSE))</f>
        <v>0.58592945491393</v>
      </c>
      <c r="AL3">
        <f>VLOOKUP(all_lmics18[[worldbank_region]:[worldbank_region]],Table13[],2,FALSE)</f>
        <v>44.525141999999995</v>
      </c>
      <c r="AM3">
        <f>VLOOKUP(all_lmics18[[worldbank_region]:[worldbank_region]],Table13[],3,FALSE)</f>
        <v>44.525141999999995</v>
      </c>
      <c r="AN3">
        <f>VLOOKUP(all_lmics18[[worldbank_region]:[worldbank_region]],Table13[],4,FALSE)</f>
        <v>92.254001999999986</v>
      </c>
      <c r="AO3">
        <f>VLOOKUP(all_lmics18[[worldbank_region]:[worldbank_region]],Table13[],5,FALSE)</f>
        <v>92.254001999999986</v>
      </c>
      <c r="AP3">
        <f>VLOOKUP(all_lmics18[[worldbank_region]:[worldbank_region]],Table13[],6,FALSE)</f>
        <v>92.254001999999986</v>
      </c>
      <c r="AQ3">
        <f>VLOOKUP(all_lmics18[[worldbank_region]:[worldbank_region]],Table14[],2,FALSE)</f>
        <v>6.4182919999999992</v>
      </c>
      <c r="AR3">
        <f>VLOOKUP(all_lmics18[[worldbank_region]:[worldbank_region]],Table14[],3,FALSE)</f>
        <v>7.0357919999999998</v>
      </c>
      <c r="AS3">
        <f>VLOOKUP(all_lmics18[[worldbank_region]:[worldbank_region]],Table14[],4,FALSE)</f>
        <v>10.482872999999998</v>
      </c>
      <c r="AT3">
        <f>VLOOKUP(all_lmics18[[worldbank_region]:[worldbank_region]],Table14[],5,FALSE)</f>
        <v>11.100372999999999</v>
      </c>
      <c r="AU3">
        <f>VLOOKUP(all_lmics18[[worldbank_region]:[worldbank_region]],Table14[],6,FALSE)</f>
        <v>11.670624999999999</v>
      </c>
      <c r="AV3">
        <f>IFERROR(VLOOKUP(all_lmics18[[Setting]:[Setting]],nFacSBA[],4,FALSE),VLOOKUP(all_lmics18[[who_choice_region]:[who_choice_region]],missing[],30,FALSE))</f>
        <v>0.77554123113209783</v>
      </c>
      <c r="AW3">
        <f>VLOOKUP(all_lmics18[[worldbank_region]:[worldbank_region]],hbe[],2)</f>
        <v>0.3</v>
      </c>
      <c r="AX3">
        <f>VLOOKUP(all_lmics18[[worldbank_region]:[worldbank_region]],hbe[],5)</f>
        <v>0.875</v>
      </c>
      <c r="AY3">
        <f>VLOOKUP(all_lmics18[[worldbank_region]:[worldbank_region]],hbe[],8)</f>
        <v>0.15</v>
      </c>
    </row>
    <row r="4" spans="1:51" x14ac:dyDescent="0.35">
      <c r="A4" s="8" t="s">
        <v>12</v>
      </c>
      <c r="B4" s="10" t="s">
        <v>14</v>
      </c>
      <c r="C4" s="11" t="s">
        <v>15</v>
      </c>
      <c r="D4">
        <f>VLOOKUP(all_lmics18[[Setting]:[Setting]],populations[],9,FALSE)</f>
        <v>41318142</v>
      </c>
      <c r="E4">
        <f>VLOOKUP(all_lmics18[[Setting]:[Setting]],birthrate[],3,FALSE)</f>
        <v>2.3132E-2</v>
      </c>
      <c r="F4">
        <f>all_lmics18[[#This Row],[2017_population]]*all_lmics18[[#This Row],[2016_birthrate]]</f>
        <v>955771.26074399997</v>
      </c>
      <c r="G4">
        <f>VLOOKUP(all_lmics18[[Setting]:[Setting]],birthdose[],4,FALSE)</f>
        <v>0.99</v>
      </c>
      <c r="H4">
        <f>VLOOKUP(all_lmics18[[Setting]:[Setting]],fullvax[],4,FALSE)</f>
        <v>0.91</v>
      </c>
      <c r="I4">
        <f>IFERROR(VLOOKUP(all_lmics18[[Setting]:[Setting]],prev[],3,FALSE),VLOOKUP(all_lmics18[[who_choice_region]:[who_choice_region]],missing[],2,FALSE))</f>
        <v>2.1499999999999998E-2</v>
      </c>
      <c r="J4">
        <f>IFERROR(VLOOKUP(all_lmics18[[Setting]:[Setting]],prev[],4,FALSE),VLOOKUP(all_lmics18[[who_choice_region]:[who_choice_region]],missing[],3,FALSE))</f>
        <v>1.4E-2</v>
      </c>
      <c r="K4">
        <f>IFERROR(VLOOKUP(all_lmics18[[Setting]:[Setting]],prev[],5,FALSE),VLOOKUP(all_lmics18[[who_choice_region]:[who_choice_region]],missing[],4,FALSE))</f>
        <v>3.2300000000000002E-2</v>
      </c>
      <c r="L4">
        <f>IFERROR(VLOOKUP(all_lmics18[[Setting]:[Setting]],prev[],7,FALSE),VLOOKUP(all_lmics18[[who_choice_region]:[who_choice_region]],missing[],5,FALSE))</f>
        <v>5.5102040816326549E-3</v>
      </c>
      <c r="M4">
        <f>IFERROR(VLOOKUP(all_lmics18[[Setting]:[Setting]],prev[],6,FALSE),0)</f>
        <v>36117637</v>
      </c>
      <c r="N4">
        <f>IFERROR(VLOOKUP(all_lmics18[[Setting]:[Setting]],SBA[],4,FALSE),VLOOKUP(all_lmics18[[who_choice_region]:[who_choice_region]],missing[],6,FALSE))</f>
        <v>0.96599999999999997</v>
      </c>
      <c r="O4">
        <f>IFERROR(VLOOKUP(all_lmics18[[Setting]:[Setting]], facility[], 3,FALSE),VLOOKUP(all_lmics18[[who_choice_region]:[who_choice_region]],missing[],7,FALSE))</f>
        <v>0.96799999999999997</v>
      </c>
      <c r="P4">
        <f>IF(VLOOKUP(all_lmics18[[Setting]:[Setting]],all_cause_mort[],4,FALSE)="",VLOOKUP(all_lmics18[[who_choice_region]:[who_choice_region]],missing[],8,FALSE),VLOOKUP(all_lmics18[[Setting]:[Setting]],all_cause_mort[],4,FALSE))</f>
        <v>2.1659504999999999E-2</v>
      </c>
      <c r="Q4">
        <f>IF(VLOOKUP(all_lmics18[[Setting]:[Setting]],all_cause_mort[],5,FALSE)="",VLOOKUP(all_lmics18[[who_choice_region]:[who_choice_region]],missing[],9,FALSE),VLOOKUP(all_lmics18[[Setting]:[Setting]],all_cause_mort[],5,FALSE))</f>
        <v>8.7548632999999995E-4</v>
      </c>
      <c r="R4">
        <f>IF(VLOOKUP(all_lmics18[[Setting]:[Setting]],all_cause_mort[],6,FALSE)="",VLOOKUP(all_lmics18[[who_choice_region]:[who_choice_region]],missing[],10,FALSE),VLOOKUP(all_lmics18[[Setting]:[Setting]],all_cause_mort[],6,FALSE))</f>
        <v>4.4614190999999999E-4</v>
      </c>
      <c r="S4">
        <f>IF(VLOOKUP(all_lmics18[[Setting]:[Setting]],all_cause_mort[],7,FALSE)="",VLOOKUP(all_lmics18[[who_choice_region]:[who_choice_region]],missing[],11,FALSE),VLOOKUP(all_lmics18[[Setting]:[Setting]],all_cause_mort[],7,FALSE))</f>
        <v>3.9632223000000001E-4</v>
      </c>
      <c r="T4">
        <f>IF(VLOOKUP(all_lmics18[[Setting]:[Setting]],all_cause_mort[],8,FALSE)="",VLOOKUP(all_lmics18[[who_choice_region]:[who_choice_region]],missing[],12,FALSE),VLOOKUP(all_lmics18[[Setting]:[Setting]],all_cause_mort[],8,FALSE))</f>
        <v>5.6781373000000003E-4</v>
      </c>
      <c r="U4">
        <f>IF(VLOOKUP(all_lmics18[[Setting]:[Setting]],all_cause_mort[],9,FALSE)="",VLOOKUP(all_lmics18[[who_choice_region]:[who_choice_region]],missing[],13,FALSE),VLOOKUP(all_lmics18[[Setting]:[Setting]],all_cause_mort[],9,FALSE))</f>
        <v>7.3915389000000001E-4</v>
      </c>
      <c r="V4">
        <f>IF(VLOOKUP(all_lmics18[[Setting]:[Setting]],all_cause_mort[],10,FALSE)="",VLOOKUP(all_lmics18[[who_choice_region]:[who_choice_region]],missing[],14,FALSE),VLOOKUP(all_lmics18[[Setting]:[Setting]],all_cause_mort[],10,FALSE))</f>
        <v>8.7255345000000002E-4</v>
      </c>
      <c r="W4">
        <f>IF(VLOOKUP(all_lmics18[[Setting]:[Setting]],all_cause_mort[],11,FALSE)="",VLOOKUP(all_lmics18[[who_choice_region]:[who_choice_region]],missing[],15,FALSE),VLOOKUP(all_lmics18[[Setting]:[Setting]],all_cause_mort[],11,FALSE))</f>
        <v>1.031119E-3</v>
      </c>
      <c r="X4">
        <f>IF(VLOOKUP(all_lmics18[[Setting]:[Setting]],all_cause_mort[],12,FALSE)="",VLOOKUP(all_lmics18[[who_choice_region]:[who_choice_region]],missing[],16,FALSE),VLOOKUP(all_lmics18[[Setting]:[Setting]],all_cause_mort[],12,FALSE))</f>
        <v>1.3854932999999999E-3</v>
      </c>
      <c r="Y4">
        <f>IF(VLOOKUP(all_lmics18[[Setting]:[Setting]],all_cause_mort[],13,FALSE)="",VLOOKUP(all_lmics18[[who_choice_region]:[who_choice_region]],missing[],17,FALSE),VLOOKUP(all_lmics18[[Setting]:[Setting]],all_cause_mort[],13,FALSE))</f>
        <v>1.8800754000000001E-3</v>
      </c>
      <c r="Z4">
        <f>IF(VLOOKUP(all_lmics18[[Setting]:[Setting]],all_cause_mort[],14,FALSE)="",VLOOKUP(all_lmics18[[who_choice_region]:[who_choice_region]],missing[],18,FALSE),VLOOKUP(all_lmics18[[Setting]:[Setting]],all_cause_mort[],14,FALSE))</f>
        <v>2.7545235000000002E-3</v>
      </c>
      <c r="AA4">
        <f>IF(VLOOKUP(all_lmics18[[Setting]:[Setting]],all_cause_mort[],15,FALSE)="",VLOOKUP(all_lmics18[[who_choice_region]:[who_choice_region]],missing[],19,FALSE),VLOOKUP(all_lmics18[[Setting]:[Setting]],all_cause_mort[],15,FALSE))</f>
        <v>4.0843998999999997E-3</v>
      </c>
      <c r="AB4">
        <f>IF(VLOOKUP(all_lmics18[[Setting]:[Setting]],all_cause_mort[],16,FALSE)="",VLOOKUP(all_lmics18[[who_choice_region]:[who_choice_region]],missing[],20,FALSE),VLOOKUP(all_lmics18[[Setting]:[Setting]],all_cause_mort[],16,FALSE))</f>
        <v>6.2116617999999997E-3</v>
      </c>
      <c r="AC4">
        <f>IF(VLOOKUP(all_lmics18[[Setting]:[Setting]],all_cause_mort[],17,FALSE)="",VLOOKUP(all_lmics18[[who_choice_region]:[who_choice_region]],missing[],21,FALSE),VLOOKUP(all_lmics18[[Setting]:[Setting]],all_cause_mort[],17,FALSE))</f>
        <v>9.9289819999999994E-3</v>
      </c>
      <c r="AD4">
        <f>IF(VLOOKUP(all_lmics18[[Setting]:[Setting]],all_cause_mort[],18,FALSE)="",VLOOKUP(all_lmics18[[who_choice_region]:[who_choice_region]],missing[],22,FALSE),VLOOKUP(all_lmics18[[Setting]:[Setting]],all_cause_mort[],18,FALSE))</f>
        <v>1.5267958999999999E-2</v>
      </c>
      <c r="AE4">
        <f>IF(VLOOKUP(all_lmics18[[Setting]:[Setting]],all_cause_mort[],19,FALSE)="",VLOOKUP(all_lmics18[[who_choice_region]:[who_choice_region]],missing[],23,FALSE),VLOOKUP(all_lmics18[[Setting]:[Setting]],all_cause_mort[],19,FALSE))</f>
        <v>2.5445237999999998E-2</v>
      </c>
      <c r="AF4">
        <f>IF(VLOOKUP(all_lmics18[[Setting]:[Setting]],all_cause_mort[],20,FALSE)="",VLOOKUP(all_lmics18[[who_choice_region]:[who_choice_region]],missing[],24,FALSE),VLOOKUP(all_lmics18[[Setting]:[Setting]],all_cause_mort[],20,FALSE))</f>
        <v>4.4917462999999998E-2</v>
      </c>
      <c r="AG4">
        <f>IF(VLOOKUP(all_lmics18[[Setting]:[Setting]],all_cause_mort[],21,FALSE)="",VLOOKUP(all_lmics18[[who_choice_region]:[who_choice_region]],missing[],25,FALSE),VLOOKUP(all_lmics18[[Setting]:[Setting]],all_cause_mort[],21,FALSE))</f>
        <v>8.0227533000000004E-2</v>
      </c>
      <c r="AH4">
        <f>IF(VLOOKUP(all_lmics18[[Setting]:[Setting]],all_cause_mort[],22,FALSE)="",VLOOKUP(all_lmics18[[who_choice_region]:[who_choice_region]],missing[],26,FALSE),VLOOKUP(all_lmics18[[Setting]:[Setting]],all_cause_mort[],22,FALSE))</f>
        <v>0.13637622999999999</v>
      </c>
      <c r="AI4">
        <f>IF(VLOOKUP(all_lmics18[[Setting]:[Setting]],all_cause_mort[],23,FALSE)="",VLOOKUP(all_lmics18[[who_choice_region]:[who_choice_region]],missing[],27,FALSE),VLOOKUP(all_lmics18[[Setting]:[Setting]],all_cause_mort[],23,FALSE))</f>
        <v>0.21586394</v>
      </c>
      <c r="AJ4">
        <f>IF(VLOOKUP(all_lmics18[[Setting]:[Setting]],all_cause_mort[],24,FALSE)="",VLOOKUP(all_lmics18[[who_choice_region]:[who_choice_region]],missing[],28,FALSE),VLOOKUP(all_lmics18[[Setting]:[Setting]],all_cause_mort[],24,FALSE))</f>
        <v>0.31644028000000002</v>
      </c>
      <c r="AK4">
        <f>IF(VLOOKUP(all_lmics18[[Setting]:[Setting]],all_cause_mort[],25,FALSE)="",VLOOKUP(all_lmics18[[who_choice_region]:[who_choice_region]],missing[],29,FALSE),VLOOKUP(all_lmics18[[Setting]:[Setting]],all_cause_mort[],25,FALSE))</f>
        <v>0.45656238112257003</v>
      </c>
      <c r="AL4">
        <f>VLOOKUP(all_lmics18[[worldbank_region]:[worldbank_region]],Table13[],2,FALSE)</f>
        <v>29.912264999999998</v>
      </c>
      <c r="AM4">
        <f>VLOOKUP(all_lmics18[[worldbank_region]:[worldbank_region]],Table13[],3,FALSE)</f>
        <v>29.912264999999998</v>
      </c>
      <c r="AN4">
        <f>VLOOKUP(all_lmics18[[worldbank_region]:[worldbank_region]],Table13[],4,FALSE)</f>
        <v>77.641124999999988</v>
      </c>
      <c r="AO4">
        <f>VLOOKUP(all_lmics18[[worldbank_region]:[worldbank_region]],Table13[],5,FALSE)</f>
        <v>77.641124999999988</v>
      </c>
      <c r="AP4">
        <f>VLOOKUP(all_lmics18[[worldbank_region]:[worldbank_region]],Table13[],6,FALSE)</f>
        <v>77.641124999999988</v>
      </c>
      <c r="AQ4">
        <f>VLOOKUP(all_lmics18[[worldbank_region]:[worldbank_region]],Table14[],2,FALSE)</f>
        <v>0.96979199999999999</v>
      </c>
      <c r="AR4">
        <f>VLOOKUP(all_lmics18[[worldbank_region]:[worldbank_region]],Table14[],3,FALSE)</f>
        <v>1.5872920000000001</v>
      </c>
      <c r="AS4">
        <f>VLOOKUP(all_lmics18[[worldbank_region]:[worldbank_region]],Table14[],4,FALSE)</f>
        <v>5.7971629999999994</v>
      </c>
      <c r="AT4">
        <f>VLOOKUP(all_lmics18[[worldbank_region]:[worldbank_region]],Table14[],5,FALSE)</f>
        <v>6.4146629999999991</v>
      </c>
      <c r="AU4">
        <f>VLOOKUP(all_lmics18[[worldbank_region]:[worldbank_region]],Table14[],6,FALSE)</f>
        <v>6.9849149999999991</v>
      </c>
      <c r="AV4">
        <f>IFERROR(VLOOKUP(all_lmics18[[Setting]:[Setting]],nFacSBA[],4,FALSE),VLOOKUP(all_lmics18[[who_choice_region]:[who_choice_region]],missing[],30,FALSE))</f>
        <v>6.9182077263473599E-2</v>
      </c>
      <c r="AW4">
        <f>VLOOKUP(all_lmics18[[worldbank_region]:[worldbank_region]],hbe[],2)</f>
        <v>0.3</v>
      </c>
      <c r="AX4">
        <f>VLOOKUP(all_lmics18[[worldbank_region]:[worldbank_region]],hbe[],5)</f>
        <v>0.875</v>
      </c>
      <c r="AY4">
        <f>VLOOKUP(all_lmics18[[worldbank_region]:[worldbank_region]],hbe[],8)</f>
        <v>0.15</v>
      </c>
    </row>
    <row r="5" spans="1:51" x14ac:dyDescent="0.35">
      <c r="A5" s="8" t="s">
        <v>24</v>
      </c>
      <c r="B5" s="10" t="s">
        <v>22</v>
      </c>
      <c r="C5" s="11" t="s">
        <v>383</v>
      </c>
      <c r="D5">
        <f>VLOOKUP(all_lmics18[[Setting]:[Setting]],populations[],9,FALSE)</f>
        <v>44271041</v>
      </c>
      <c r="E5">
        <f>VLOOKUP(all_lmics18[[Setting]:[Setting]],birthrate[],3,FALSE)</f>
        <v>1.7172E-2</v>
      </c>
      <c r="F5">
        <f>all_lmics18[[#This Row],[2017_population]]*all_lmics18[[#This Row],[2016_birthrate]]</f>
        <v>760222.31605200004</v>
      </c>
      <c r="G5">
        <f>VLOOKUP(all_lmics18[[Setting]:[Setting]],birthdose[],4,FALSE)</f>
        <v>0.8</v>
      </c>
      <c r="H5">
        <f>VLOOKUP(all_lmics18[[Setting]:[Setting]],fullvax[],4,FALSE)</f>
        <v>0.86</v>
      </c>
      <c r="I5">
        <f>IFERROR(VLOOKUP(all_lmics18[[Setting]:[Setting]],prev[],3,FALSE),VLOOKUP(all_lmics18[[who_choice_region]:[who_choice_region]],missing[],2,FALSE))</f>
        <v>2E-3</v>
      </c>
      <c r="J5">
        <f>IFERROR(VLOOKUP(all_lmics18[[Setting]:[Setting]],prev[],4,FALSE),VLOOKUP(all_lmics18[[who_choice_region]:[who_choice_region]],missing[],3,FALSE))</f>
        <v>1E-3</v>
      </c>
      <c r="K5">
        <f>IFERROR(VLOOKUP(all_lmics18[[Setting]:[Setting]],prev[],5,FALSE),VLOOKUP(all_lmics18[[who_choice_region]:[who_choice_region]],missing[],4,FALSE))</f>
        <v>3.0000000000000001E-3</v>
      </c>
      <c r="L5">
        <f>IFERROR(VLOOKUP(all_lmics18[[Setting]:[Setting]],prev[],7,FALSE),VLOOKUP(all_lmics18[[who_choice_region]:[who_choice_region]],missing[],5,FALSE))</f>
        <v>5.1020408163265311E-4</v>
      </c>
      <c r="M5">
        <f>IFERROR(VLOOKUP(all_lmics18[[Setting]:[Setting]],prev[],6,FALSE),0)</f>
        <v>44271041</v>
      </c>
      <c r="N5">
        <f>IFERROR(VLOOKUP(all_lmics18[[Setting]:[Setting]],SBA[],4,FALSE),VLOOKUP(all_lmics18[[who_choice_region]:[who_choice_region]],missing[],6,FALSE))</f>
        <v>0.996</v>
      </c>
      <c r="O5">
        <f>IFERROR(VLOOKUP(all_lmics18[[Setting]:[Setting]], facility[], 3,FALSE),VLOOKUP(all_lmics18[[who_choice_region]:[who_choice_region]],missing[],7,FALSE))</f>
        <v>0.99269999999999992</v>
      </c>
      <c r="P5">
        <f>IF(VLOOKUP(all_lmics18[[Setting]:[Setting]],all_cause_mort[],4,FALSE)="",VLOOKUP(all_lmics18[[who_choice_region]:[who_choice_region]],missing[],8,FALSE),VLOOKUP(all_lmics18[[Setting]:[Setting]],all_cause_mort[],4,FALSE))</f>
        <v>1.0322593E-2</v>
      </c>
      <c r="Q5">
        <f>IF(VLOOKUP(all_lmics18[[Setting]:[Setting]],all_cause_mort[],5,FALSE)="",VLOOKUP(all_lmics18[[who_choice_region]:[who_choice_region]],missing[],9,FALSE),VLOOKUP(all_lmics18[[Setting]:[Setting]],all_cause_mort[],5,FALSE))</f>
        <v>4.1390977999999998E-4</v>
      </c>
      <c r="R5">
        <f>IF(VLOOKUP(all_lmics18[[Setting]:[Setting]],all_cause_mort[],6,FALSE)="",VLOOKUP(all_lmics18[[who_choice_region]:[who_choice_region]],missing[],10,FALSE),VLOOKUP(all_lmics18[[Setting]:[Setting]],all_cause_mort[],6,FALSE))</f>
        <v>1.8238320000000001E-4</v>
      </c>
      <c r="S5">
        <f>IF(VLOOKUP(all_lmics18[[Setting]:[Setting]],all_cause_mort[],7,FALSE)="",VLOOKUP(all_lmics18[[who_choice_region]:[who_choice_region]],missing[],11,FALSE),VLOOKUP(all_lmics18[[Setting]:[Setting]],all_cause_mort[],7,FALSE))</f>
        <v>2.3878123000000001E-4</v>
      </c>
      <c r="T5">
        <f>IF(VLOOKUP(all_lmics18[[Setting]:[Setting]],all_cause_mort[],8,FALSE)="",VLOOKUP(all_lmics18[[who_choice_region]:[who_choice_region]],missing[],12,FALSE),VLOOKUP(all_lmics18[[Setting]:[Setting]],all_cause_mort[],8,FALSE))</f>
        <v>7.4419885000000002E-4</v>
      </c>
      <c r="U5">
        <f>IF(VLOOKUP(all_lmics18[[Setting]:[Setting]],all_cause_mort[],9,FALSE)="",VLOOKUP(all_lmics18[[who_choice_region]:[who_choice_region]],missing[],13,FALSE),VLOOKUP(all_lmics18[[Setting]:[Setting]],all_cause_mort[],9,FALSE))</f>
        <v>1.0246417E-3</v>
      </c>
      <c r="V5">
        <f>IF(VLOOKUP(all_lmics18[[Setting]:[Setting]],all_cause_mort[],10,FALSE)="",VLOOKUP(all_lmics18[[who_choice_region]:[who_choice_region]],missing[],14,FALSE),VLOOKUP(all_lmics18[[Setting]:[Setting]],all_cause_mort[],10,FALSE))</f>
        <v>1.0306010999999999E-3</v>
      </c>
      <c r="W5">
        <f>IF(VLOOKUP(all_lmics18[[Setting]:[Setting]],all_cause_mort[],11,FALSE)="",VLOOKUP(all_lmics18[[who_choice_region]:[who_choice_region]],missing[],15,FALSE),VLOOKUP(all_lmics18[[Setting]:[Setting]],all_cause_mort[],11,FALSE))</f>
        <v>1.1684485000000001E-3</v>
      </c>
      <c r="X5">
        <f>IF(VLOOKUP(all_lmics18[[Setting]:[Setting]],all_cause_mort[],12,FALSE)="",VLOOKUP(all_lmics18[[who_choice_region]:[who_choice_region]],missing[],16,FALSE),VLOOKUP(all_lmics18[[Setting]:[Setting]],all_cause_mort[],12,FALSE))</f>
        <v>1.4152933999999999E-3</v>
      </c>
      <c r="Y5">
        <f>IF(VLOOKUP(all_lmics18[[Setting]:[Setting]],all_cause_mort[],13,FALSE)="",VLOOKUP(all_lmics18[[who_choice_region]:[who_choice_region]],missing[],17,FALSE),VLOOKUP(all_lmics18[[Setting]:[Setting]],all_cause_mort[],13,FALSE))</f>
        <v>1.9975904000000002E-3</v>
      </c>
      <c r="Z5">
        <f>IF(VLOOKUP(all_lmics18[[Setting]:[Setting]],all_cause_mort[],14,FALSE)="",VLOOKUP(all_lmics18[[who_choice_region]:[who_choice_region]],missing[],18,FALSE),VLOOKUP(all_lmics18[[Setting]:[Setting]],all_cause_mort[],14,FALSE))</f>
        <v>3.1712293999999999E-3</v>
      </c>
      <c r="AA5">
        <f>IF(VLOOKUP(all_lmics18[[Setting]:[Setting]],all_cause_mort[],15,FALSE)="",VLOOKUP(all_lmics18[[who_choice_region]:[who_choice_region]],missing[],19,FALSE),VLOOKUP(all_lmics18[[Setting]:[Setting]],all_cause_mort[],15,FALSE))</f>
        <v>5.1388362999999996E-3</v>
      </c>
      <c r="AB5">
        <f>IF(VLOOKUP(all_lmics18[[Setting]:[Setting]],all_cause_mort[],16,FALSE)="",VLOOKUP(all_lmics18[[who_choice_region]:[who_choice_region]],missing[],20,FALSE),VLOOKUP(all_lmics18[[Setting]:[Setting]],all_cause_mort[],16,FALSE))</f>
        <v>8.5199630999999998E-3</v>
      </c>
      <c r="AC5">
        <f>IF(VLOOKUP(all_lmics18[[Setting]:[Setting]],all_cause_mort[],17,FALSE)="",VLOOKUP(all_lmics18[[who_choice_region]:[who_choice_region]],missing[],21,FALSE),VLOOKUP(all_lmics18[[Setting]:[Setting]],all_cause_mort[],17,FALSE))</f>
        <v>1.2932203999999999E-2</v>
      </c>
      <c r="AD5">
        <f>IF(VLOOKUP(all_lmics18[[Setting]:[Setting]],all_cause_mort[],18,FALSE)="",VLOOKUP(all_lmics18[[who_choice_region]:[who_choice_region]],missing[],22,FALSE),VLOOKUP(all_lmics18[[Setting]:[Setting]],all_cause_mort[],18,FALSE))</f>
        <v>1.9786802999999999E-2</v>
      </c>
      <c r="AE5">
        <f>IF(VLOOKUP(all_lmics18[[Setting]:[Setting]],all_cause_mort[],19,FALSE)="",VLOOKUP(all_lmics18[[who_choice_region]:[who_choice_region]],missing[],23,FALSE),VLOOKUP(all_lmics18[[Setting]:[Setting]],all_cause_mort[],19,FALSE))</f>
        <v>2.9534217000000001E-2</v>
      </c>
      <c r="AF5">
        <f>IF(VLOOKUP(all_lmics18[[Setting]:[Setting]],all_cause_mort[],20,FALSE)="",VLOOKUP(all_lmics18[[who_choice_region]:[who_choice_region]],missing[],24,FALSE),VLOOKUP(all_lmics18[[Setting]:[Setting]],all_cause_mort[],20,FALSE))</f>
        <v>4.6395080999999998E-2</v>
      </c>
      <c r="AG5">
        <f>IF(VLOOKUP(all_lmics18[[Setting]:[Setting]],all_cause_mort[],21,FALSE)="",VLOOKUP(all_lmics18[[who_choice_region]:[who_choice_region]],missing[],25,FALSE),VLOOKUP(all_lmics18[[Setting]:[Setting]],all_cause_mort[],21,FALSE))</f>
        <v>7.6765973000000001E-2</v>
      </c>
      <c r="AH5">
        <f>IF(VLOOKUP(all_lmics18[[Setting]:[Setting]],all_cause_mort[],22,FALSE)="",VLOOKUP(all_lmics18[[who_choice_region]:[who_choice_region]],missing[],26,FALSE),VLOOKUP(all_lmics18[[Setting]:[Setting]],all_cause_mort[],22,FALSE))</f>
        <v>0.12562364000000001</v>
      </c>
      <c r="AI5">
        <f>IF(VLOOKUP(all_lmics18[[Setting]:[Setting]],all_cause_mort[],23,FALSE)="",VLOOKUP(all_lmics18[[who_choice_region]:[who_choice_region]],missing[],27,FALSE),VLOOKUP(all_lmics18[[Setting]:[Setting]],all_cause_mort[],23,FALSE))</f>
        <v>0.19993209000000001</v>
      </c>
      <c r="AJ5">
        <f>IF(VLOOKUP(all_lmics18[[Setting]:[Setting]],all_cause_mort[],24,FALSE)="",VLOOKUP(all_lmics18[[who_choice_region]:[who_choice_region]],missing[],28,FALSE),VLOOKUP(all_lmics18[[Setting]:[Setting]],all_cause_mort[],24,FALSE))</f>
        <v>0.30907124000000002</v>
      </c>
      <c r="AK5">
        <f>IF(VLOOKUP(all_lmics18[[Setting]:[Setting]],all_cause_mort[],25,FALSE)="",VLOOKUP(all_lmics18[[who_choice_region]:[who_choice_region]],missing[],29,FALSE),VLOOKUP(all_lmics18[[Setting]:[Setting]],all_cause_mort[],25,FALSE))</f>
        <v>0.46164040594441402</v>
      </c>
      <c r="AL5">
        <f>VLOOKUP(all_lmics18[[worldbank_region]:[worldbank_region]],Table13[],2,FALSE)</f>
        <v>86.85998699999999</v>
      </c>
      <c r="AM5">
        <f>VLOOKUP(all_lmics18[[worldbank_region]:[worldbank_region]],Table13[],3,FALSE)</f>
        <v>86.85998699999999</v>
      </c>
      <c r="AN5">
        <f>VLOOKUP(all_lmics18[[worldbank_region]:[worldbank_region]],Table13[],4,FALSE)</f>
        <v>134.58884699999999</v>
      </c>
      <c r="AO5">
        <f>VLOOKUP(all_lmics18[[worldbank_region]:[worldbank_region]],Table13[],5,FALSE)</f>
        <v>134.58884699999999</v>
      </c>
      <c r="AP5">
        <f>VLOOKUP(all_lmics18[[worldbank_region]:[worldbank_region]],Table13[],6,FALSE)</f>
        <v>134.58884699999999</v>
      </c>
      <c r="AQ5">
        <f>VLOOKUP(all_lmics18[[worldbank_region]:[worldbank_region]],Table14[],2,FALSE)</f>
        <v>1.514642</v>
      </c>
      <c r="AR5">
        <f>VLOOKUP(all_lmics18[[worldbank_region]:[worldbank_region]],Table14[],3,FALSE)</f>
        <v>2.132142</v>
      </c>
      <c r="AS5">
        <f>VLOOKUP(all_lmics18[[worldbank_region]:[worldbank_region]],Table14[],4,FALSE)</f>
        <v>1.5364360000000001</v>
      </c>
      <c r="AT5">
        <f>VLOOKUP(all_lmics18[[worldbank_region]:[worldbank_region]],Table14[],5,FALSE)</f>
        <v>2.1539359999999999</v>
      </c>
      <c r="AU5">
        <f>VLOOKUP(all_lmics18[[worldbank_region]:[worldbank_region]],Table14[],6,FALSE)</f>
        <v>2.7241879999999998</v>
      </c>
      <c r="AV5">
        <f>IFERROR(VLOOKUP(all_lmics18[[Setting]:[Setting]],nFacSBA[],4,FALSE),VLOOKUP(all_lmics18[[who_choice_region]:[who_choice_region]],missing[],30,FALSE))</f>
        <v>0.204083371647339</v>
      </c>
      <c r="AW5">
        <f>VLOOKUP(all_lmics18[[worldbank_region]:[worldbank_region]],hbe[],2)</f>
        <v>0.3</v>
      </c>
      <c r="AX5">
        <f>VLOOKUP(all_lmics18[[worldbank_region]:[worldbank_region]],hbe[],5)</f>
        <v>0.875</v>
      </c>
      <c r="AY5">
        <f>VLOOKUP(all_lmics18[[worldbank_region]:[worldbank_region]],hbe[],8)</f>
        <v>0.15</v>
      </c>
    </row>
    <row r="6" spans="1:51" x14ac:dyDescent="0.35">
      <c r="A6" s="12" t="s">
        <v>25</v>
      </c>
      <c r="B6" s="13" t="s">
        <v>10</v>
      </c>
      <c r="C6" s="14" t="s">
        <v>11</v>
      </c>
      <c r="D6">
        <f>VLOOKUP(all_lmics18[[Setting]:[Setting]],populations[],9,FALSE)</f>
        <v>2930450</v>
      </c>
      <c r="E6">
        <f>VLOOKUP(all_lmics18[[Setting]:[Setting]],birthrate[],3,FALSE)</f>
        <v>1.3455999999999999E-2</v>
      </c>
      <c r="F6">
        <f>all_lmics18[[#This Row],[2017_population]]*all_lmics18[[#This Row],[2016_birthrate]]</f>
        <v>39432.135199999997</v>
      </c>
      <c r="G6">
        <f>VLOOKUP(all_lmics18[[Setting]:[Setting]],birthdose[],4,FALSE)</f>
        <v>0.97</v>
      </c>
      <c r="H6">
        <f>VLOOKUP(all_lmics18[[Setting]:[Setting]],fullvax[],4,FALSE)</f>
        <v>0.94</v>
      </c>
      <c r="I6">
        <f>IFERROR(VLOOKUP(all_lmics18[[Setting]:[Setting]],prev[],3,FALSE),VLOOKUP(all_lmics18[[who_choice_region]:[who_choice_region]],missing[],2,FALSE))</f>
        <v>1.9E-2</v>
      </c>
      <c r="J6">
        <f>IFERROR(VLOOKUP(all_lmics18[[Setting]:[Setting]],prev[],4,FALSE),VLOOKUP(all_lmics18[[who_choice_region]:[who_choice_region]],missing[],3,FALSE))</f>
        <v>1.7000000000000001E-2</v>
      </c>
      <c r="K6">
        <f>IFERROR(VLOOKUP(all_lmics18[[Setting]:[Setting]],prev[],5,FALSE),VLOOKUP(all_lmics18[[who_choice_region]:[who_choice_region]],missing[],4,FALSE))</f>
        <v>2.1000000000000001E-2</v>
      </c>
      <c r="L6">
        <f>IFERROR(VLOOKUP(all_lmics18[[Setting]:[Setting]],prev[],7,FALSE),VLOOKUP(all_lmics18[[who_choice_region]:[who_choice_region]],missing[],5,FALSE))</f>
        <v>1.0204081632653071E-3</v>
      </c>
      <c r="M6">
        <f>IFERROR(VLOOKUP(all_lmics18[[Setting]:[Setting]],prev[],6,FALSE),0)</f>
        <v>2930450</v>
      </c>
      <c r="N6">
        <f>IFERROR(VLOOKUP(all_lmics18[[Setting]:[Setting]],SBA[],4,FALSE),VLOOKUP(all_lmics18[[who_choice_region]:[who_choice_region]],missing[],6,FALSE))</f>
        <v>0.998</v>
      </c>
      <c r="O6">
        <f>IFERROR(VLOOKUP(all_lmics18[[Setting]:[Setting]], facility[], 3,FALSE),VLOOKUP(all_lmics18[[who_choice_region]:[who_choice_region]],missing[],7,FALSE))</f>
        <v>0.99299999999999999</v>
      </c>
      <c r="P6">
        <f>IF(VLOOKUP(all_lmics18[[Setting]:[Setting]],all_cause_mort[],4,FALSE)="",VLOOKUP(all_lmics18[[who_choice_region]:[who_choice_region]],missing[],8,FALSE),VLOOKUP(all_lmics18[[Setting]:[Setting]],all_cause_mort[],4,FALSE))</f>
        <v>1.0875249E-2</v>
      </c>
      <c r="Q6">
        <f>IF(VLOOKUP(all_lmics18[[Setting]:[Setting]],all_cause_mort[],5,FALSE)="",VLOOKUP(all_lmics18[[who_choice_region]:[who_choice_region]],missing[],9,FALSE),VLOOKUP(all_lmics18[[Setting]:[Setting]],all_cause_mort[],5,FALSE))</f>
        <v>6.0602273999999998E-4</v>
      </c>
      <c r="R6">
        <f>IF(VLOOKUP(all_lmics18[[Setting]:[Setting]],all_cause_mort[],6,FALSE)="",VLOOKUP(all_lmics18[[who_choice_region]:[who_choice_region]],missing[],10,FALSE),VLOOKUP(all_lmics18[[Setting]:[Setting]],all_cause_mort[],6,FALSE))</f>
        <v>1.9401853000000001E-4</v>
      </c>
      <c r="S6">
        <f>IF(VLOOKUP(all_lmics18[[Setting]:[Setting]],all_cause_mort[],7,FALSE)="",VLOOKUP(all_lmics18[[who_choice_region]:[who_choice_region]],missing[],11,FALSE),VLOOKUP(all_lmics18[[Setting]:[Setting]],all_cause_mort[],7,FALSE))</f>
        <v>2.4846362E-4</v>
      </c>
      <c r="T6">
        <f>IF(VLOOKUP(all_lmics18[[Setting]:[Setting]],all_cause_mort[],8,FALSE)="",VLOOKUP(all_lmics18[[who_choice_region]:[who_choice_region]],missing[],12,FALSE),VLOOKUP(all_lmics18[[Setting]:[Setting]],all_cause_mort[],8,FALSE))</f>
        <v>6.3081814999999995E-4</v>
      </c>
      <c r="U6">
        <f>IF(VLOOKUP(all_lmics18[[Setting]:[Setting]],all_cause_mort[],9,FALSE)="",VLOOKUP(all_lmics18[[who_choice_region]:[who_choice_region]],missing[],13,FALSE),VLOOKUP(all_lmics18[[Setting]:[Setting]],all_cause_mort[],9,FALSE))</f>
        <v>6.1818780999999998E-4</v>
      </c>
      <c r="V6">
        <f>IF(VLOOKUP(all_lmics18[[Setting]:[Setting]],all_cause_mort[],10,FALSE)="",VLOOKUP(all_lmics18[[who_choice_region]:[who_choice_region]],missing[],14,FALSE),VLOOKUP(all_lmics18[[Setting]:[Setting]],all_cause_mort[],10,FALSE))</f>
        <v>5.8468406000000001E-4</v>
      </c>
      <c r="W6">
        <f>IF(VLOOKUP(all_lmics18[[Setting]:[Setting]],all_cause_mort[],11,FALSE)="",VLOOKUP(all_lmics18[[who_choice_region]:[who_choice_region]],missing[],15,FALSE),VLOOKUP(all_lmics18[[Setting]:[Setting]],all_cause_mort[],11,FALSE))</f>
        <v>7.7021220999999996E-4</v>
      </c>
      <c r="X6">
        <f>IF(VLOOKUP(all_lmics18[[Setting]:[Setting]],all_cause_mort[],12,FALSE)="",VLOOKUP(all_lmics18[[who_choice_region]:[who_choice_region]],missing[],16,FALSE),VLOOKUP(all_lmics18[[Setting]:[Setting]],all_cause_mort[],12,FALSE))</f>
        <v>1.1592479000000001E-3</v>
      </c>
      <c r="Y6">
        <f>IF(VLOOKUP(all_lmics18[[Setting]:[Setting]],all_cause_mort[],13,FALSE)="",VLOOKUP(all_lmics18[[who_choice_region]:[who_choice_region]],missing[],17,FALSE),VLOOKUP(all_lmics18[[Setting]:[Setting]],all_cause_mort[],13,FALSE))</f>
        <v>2.1859376E-3</v>
      </c>
      <c r="Z6">
        <f>IF(VLOOKUP(all_lmics18[[Setting]:[Setting]],all_cause_mort[],14,FALSE)="",VLOOKUP(all_lmics18[[who_choice_region]:[who_choice_region]],missing[],18,FALSE),VLOOKUP(all_lmics18[[Setting]:[Setting]],all_cause_mort[],14,FALSE))</f>
        <v>3.6414761999999999E-3</v>
      </c>
      <c r="AA6">
        <f>IF(VLOOKUP(all_lmics18[[Setting]:[Setting]],all_cause_mort[],15,FALSE)="",VLOOKUP(all_lmics18[[who_choice_region]:[who_choice_region]],missing[],19,FALSE),VLOOKUP(all_lmics18[[Setting]:[Setting]],all_cause_mort[],15,FALSE))</f>
        <v>6.0217667999999999E-3</v>
      </c>
      <c r="AB6">
        <f>IF(VLOOKUP(all_lmics18[[Setting]:[Setting]],all_cause_mort[],16,FALSE)="",VLOOKUP(all_lmics18[[who_choice_region]:[who_choice_region]],missing[],20,FALSE),VLOOKUP(all_lmics18[[Setting]:[Setting]],all_cause_mort[],16,FALSE))</f>
        <v>9.1165529999999995E-3</v>
      </c>
      <c r="AC6">
        <f>IF(VLOOKUP(all_lmics18[[Setting]:[Setting]],all_cause_mort[],17,FALSE)="",VLOOKUP(all_lmics18[[who_choice_region]:[who_choice_region]],missing[],21,FALSE),VLOOKUP(all_lmics18[[Setting]:[Setting]],all_cause_mort[],17,FALSE))</f>
        <v>1.4371807E-2</v>
      </c>
      <c r="AD6">
        <f>IF(VLOOKUP(all_lmics18[[Setting]:[Setting]],all_cause_mort[],18,FALSE)="",VLOOKUP(all_lmics18[[who_choice_region]:[who_choice_region]],missing[],22,FALSE),VLOOKUP(all_lmics18[[Setting]:[Setting]],all_cause_mort[],18,FALSE))</f>
        <v>2.2072959E-2</v>
      </c>
      <c r="AE6">
        <f>IF(VLOOKUP(all_lmics18[[Setting]:[Setting]],all_cause_mort[],19,FALSE)="",VLOOKUP(all_lmics18[[who_choice_region]:[who_choice_region]],missing[],23,FALSE),VLOOKUP(all_lmics18[[Setting]:[Setting]],all_cause_mort[],19,FALSE))</f>
        <v>3.6256084000000001E-2</v>
      </c>
      <c r="AF6">
        <f>IF(VLOOKUP(all_lmics18[[Setting]:[Setting]],all_cause_mort[],20,FALSE)="",VLOOKUP(all_lmics18[[who_choice_region]:[who_choice_region]],missing[],24,FALSE),VLOOKUP(all_lmics18[[Setting]:[Setting]],all_cause_mort[],20,FALSE))</f>
        <v>6.2951646999999999E-2</v>
      </c>
      <c r="AG6">
        <f>IF(VLOOKUP(all_lmics18[[Setting]:[Setting]],all_cause_mort[],21,FALSE)="",VLOOKUP(all_lmics18[[who_choice_region]:[who_choice_region]],missing[],25,FALSE),VLOOKUP(all_lmics18[[Setting]:[Setting]],all_cause_mort[],21,FALSE))</f>
        <v>0.10475371</v>
      </c>
      <c r="AH6">
        <f>IF(VLOOKUP(all_lmics18[[Setting]:[Setting]],all_cause_mort[],22,FALSE)="",VLOOKUP(all_lmics18[[who_choice_region]:[who_choice_region]],missing[],26,FALSE),VLOOKUP(all_lmics18[[Setting]:[Setting]],all_cause_mort[],22,FALSE))</f>
        <v>0.16786499999999999</v>
      </c>
      <c r="AI6">
        <f>IF(VLOOKUP(all_lmics18[[Setting]:[Setting]],all_cause_mort[],23,FALSE)="",VLOOKUP(all_lmics18[[who_choice_region]:[who_choice_region]],missing[],27,FALSE),VLOOKUP(all_lmics18[[Setting]:[Setting]],all_cause_mort[],23,FALSE))</f>
        <v>0.26166815999999998</v>
      </c>
      <c r="AJ6">
        <f>IF(VLOOKUP(all_lmics18[[Setting]:[Setting]],all_cause_mort[],24,FALSE)="",VLOOKUP(all_lmics18[[who_choice_region]:[who_choice_region]],missing[],28,FALSE),VLOOKUP(all_lmics18[[Setting]:[Setting]],all_cause_mort[],24,FALSE))</f>
        <v>0.36546420000000002</v>
      </c>
      <c r="AK6">
        <f>IF(VLOOKUP(all_lmics18[[Setting]:[Setting]],all_cause_mort[],25,FALSE)="",VLOOKUP(all_lmics18[[who_choice_region]:[who_choice_region]],missing[],29,FALSE),VLOOKUP(all_lmics18[[Setting]:[Setting]],all_cause_mort[],25,FALSE))</f>
        <v>0.50571150574589396</v>
      </c>
      <c r="AL6">
        <f>VLOOKUP(all_lmics18[[worldbank_region]:[worldbank_region]],Table13[],2,FALSE)</f>
        <v>44.525141999999995</v>
      </c>
      <c r="AM6">
        <f>VLOOKUP(all_lmics18[[worldbank_region]:[worldbank_region]],Table13[],3,FALSE)</f>
        <v>44.525141999999995</v>
      </c>
      <c r="AN6">
        <f>VLOOKUP(all_lmics18[[worldbank_region]:[worldbank_region]],Table13[],4,FALSE)</f>
        <v>92.254001999999986</v>
      </c>
      <c r="AO6">
        <f>VLOOKUP(all_lmics18[[worldbank_region]:[worldbank_region]],Table13[],5,FALSE)</f>
        <v>92.254001999999986</v>
      </c>
      <c r="AP6">
        <f>VLOOKUP(all_lmics18[[worldbank_region]:[worldbank_region]],Table13[],6,FALSE)</f>
        <v>92.254001999999986</v>
      </c>
      <c r="AQ6">
        <f>VLOOKUP(all_lmics18[[worldbank_region]:[worldbank_region]],Table14[],2,FALSE)</f>
        <v>6.4182919999999992</v>
      </c>
      <c r="AR6">
        <f>VLOOKUP(all_lmics18[[worldbank_region]:[worldbank_region]],Table14[],3,FALSE)</f>
        <v>7.0357919999999998</v>
      </c>
      <c r="AS6">
        <f>VLOOKUP(all_lmics18[[worldbank_region]:[worldbank_region]],Table14[],4,FALSE)</f>
        <v>10.482872999999998</v>
      </c>
      <c r="AT6">
        <f>VLOOKUP(all_lmics18[[worldbank_region]:[worldbank_region]],Table14[],5,FALSE)</f>
        <v>11.100372999999999</v>
      </c>
      <c r="AU6">
        <f>VLOOKUP(all_lmics18[[worldbank_region]:[worldbank_region]],Table14[],6,FALSE)</f>
        <v>11.670624999999999</v>
      </c>
      <c r="AV6">
        <f>IFERROR(VLOOKUP(all_lmics18[[Setting]:[Setting]],nFacSBA[],4,FALSE),VLOOKUP(all_lmics18[[who_choice_region]:[who_choice_region]],missing[],30,FALSE))</f>
        <v>0.57842837152352633</v>
      </c>
      <c r="AW6">
        <f>VLOOKUP(all_lmics18[[worldbank_region]:[worldbank_region]],hbe[],2)</f>
        <v>0.3</v>
      </c>
      <c r="AX6">
        <f>VLOOKUP(all_lmics18[[worldbank_region]:[worldbank_region]],hbe[],5)</f>
        <v>0.875</v>
      </c>
      <c r="AY6">
        <f>VLOOKUP(all_lmics18[[worldbank_region]:[worldbank_region]],hbe[],8)</f>
        <v>0.15</v>
      </c>
    </row>
    <row r="7" spans="1:51" x14ac:dyDescent="0.35">
      <c r="A7" s="8" t="s">
        <v>30</v>
      </c>
      <c r="B7" s="10" t="s">
        <v>10</v>
      </c>
      <c r="C7" s="11" t="s">
        <v>11</v>
      </c>
      <c r="D7">
        <f>VLOOKUP(all_lmics18[[Setting]:[Setting]],populations[],9,FALSE)</f>
        <v>9862429</v>
      </c>
      <c r="E7">
        <f>VLOOKUP(all_lmics18[[Setting]:[Setting]],birthrate[],3,FALSE)</f>
        <v>1.6300000000000002E-2</v>
      </c>
      <c r="F7">
        <f>all_lmics18[[#This Row],[2017_population]]*all_lmics18[[#This Row],[2016_birthrate]]</f>
        <v>160757.59270000001</v>
      </c>
      <c r="G7">
        <f>VLOOKUP(all_lmics18[[Setting]:[Setting]],birthdose[],4,FALSE)</f>
        <v>0.99</v>
      </c>
      <c r="H7">
        <f>VLOOKUP(all_lmics18[[Setting]:[Setting]],fullvax[],4,FALSE)</f>
        <v>0.95</v>
      </c>
      <c r="I7">
        <f>IFERROR(VLOOKUP(all_lmics18[[Setting]:[Setting]],prev[],3,FALSE),VLOOKUP(all_lmics18[[who_choice_region]:[who_choice_region]],missing[],2,FALSE))</f>
        <v>1.7999999999999999E-2</v>
      </c>
      <c r="J7">
        <f>IFERROR(VLOOKUP(all_lmics18[[Setting]:[Setting]],prev[],4,FALSE),VLOOKUP(all_lmics18[[who_choice_region]:[who_choice_region]],missing[],3,FALSE))</f>
        <v>1.4999999999999999E-2</v>
      </c>
      <c r="K7">
        <f>IFERROR(VLOOKUP(all_lmics18[[Setting]:[Setting]],prev[],5,FALSE),VLOOKUP(all_lmics18[[who_choice_region]:[who_choice_region]],missing[],4,FALSE))</f>
        <v>2.1000000000000001E-2</v>
      </c>
      <c r="L7">
        <f>IFERROR(VLOOKUP(all_lmics18[[Setting]:[Setting]],prev[],7,FALSE),VLOOKUP(all_lmics18[[who_choice_region]:[who_choice_region]],missing[],5,FALSE))</f>
        <v>1.5306122448979606E-3</v>
      </c>
      <c r="M7">
        <f>IFERROR(VLOOKUP(all_lmics18[[Setting]:[Setting]],prev[],6,FALSE),0)</f>
        <v>9862429</v>
      </c>
      <c r="N7">
        <f>IFERROR(VLOOKUP(all_lmics18[[Setting]:[Setting]],SBA[],4,FALSE),VLOOKUP(all_lmics18[[who_choice_region]:[who_choice_region]],missing[],6,FALSE))</f>
        <v>0.998</v>
      </c>
      <c r="O7">
        <f>IFERROR(VLOOKUP(all_lmics18[[Setting]:[Setting]], facility[], 3,FALSE),VLOOKUP(all_lmics18[[who_choice_region]:[who_choice_region]],missing[],7,FALSE))</f>
        <v>0.93099999999999994</v>
      </c>
      <c r="P7">
        <f>IF(VLOOKUP(all_lmics18[[Setting]:[Setting]],all_cause_mort[],4,FALSE)="",VLOOKUP(all_lmics18[[who_choice_region]:[who_choice_region]],missing[],8,FALSE),VLOOKUP(all_lmics18[[Setting]:[Setting]],all_cause_mort[],4,FALSE))</f>
        <v>2.1199749E-2</v>
      </c>
      <c r="Q7">
        <f>IF(VLOOKUP(all_lmics18[[Setting]:[Setting]],all_cause_mort[],5,FALSE)="",VLOOKUP(all_lmics18[[who_choice_region]:[who_choice_region]],missing[],9,FALSE),VLOOKUP(all_lmics18[[Setting]:[Setting]],all_cause_mort[],5,FALSE))</f>
        <v>1.1263363E-3</v>
      </c>
      <c r="R7">
        <f>IF(VLOOKUP(all_lmics18[[Setting]:[Setting]],all_cause_mort[],6,FALSE)="",VLOOKUP(all_lmics18[[who_choice_region]:[who_choice_region]],missing[],10,FALSE),VLOOKUP(all_lmics18[[Setting]:[Setting]],all_cause_mort[],6,FALSE))</f>
        <v>3.8352024E-4</v>
      </c>
      <c r="S7">
        <f>IF(VLOOKUP(all_lmics18[[Setting]:[Setting]],all_cause_mort[],7,FALSE)="",VLOOKUP(all_lmics18[[who_choice_region]:[who_choice_region]],missing[],11,FALSE),VLOOKUP(all_lmics18[[Setting]:[Setting]],all_cause_mort[],7,FALSE))</f>
        <v>3.2779069000000001E-4</v>
      </c>
      <c r="T7">
        <f>IF(VLOOKUP(all_lmics18[[Setting]:[Setting]],all_cause_mort[],8,FALSE)="",VLOOKUP(all_lmics18[[who_choice_region]:[who_choice_region]],missing[],12,FALSE),VLOOKUP(all_lmics18[[Setting]:[Setting]],all_cause_mort[],8,FALSE))</f>
        <v>6.7210206000000003E-4</v>
      </c>
      <c r="U7">
        <f>IF(VLOOKUP(all_lmics18[[Setting]:[Setting]],all_cause_mort[],9,FALSE)="",VLOOKUP(all_lmics18[[who_choice_region]:[who_choice_region]],missing[],13,FALSE),VLOOKUP(all_lmics18[[Setting]:[Setting]],all_cause_mort[],9,FALSE))</f>
        <v>8.3594362000000003E-4</v>
      </c>
      <c r="V7">
        <f>IF(VLOOKUP(all_lmics18[[Setting]:[Setting]],all_cause_mort[],10,FALSE)="",VLOOKUP(all_lmics18[[who_choice_region]:[who_choice_region]],missing[],14,FALSE),VLOOKUP(all_lmics18[[Setting]:[Setting]],all_cause_mort[],10,FALSE))</f>
        <v>8.4207751000000002E-4</v>
      </c>
      <c r="W7">
        <f>IF(VLOOKUP(all_lmics18[[Setting]:[Setting]],all_cause_mort[],11,FALSE)="",VLOOKUP(all_lmics18[[who_choice_region]:[who_choice_region]],missing[],15,FALSE),VLOOKUP(all_lmics18[[Setting]:[Setting]],all_cause_mort[],11,FALSE))</f>
        <v>1.0102522E-3</v>
      </c>
      <c r="X7">
        <f>IF(VLOOKUP(all_lmics18[[Setting]:[Setting]],all_cause_mort[],12,FALSE)="",VLOOKUP(all_lmics18[[who_choice_region]:[who_choice_region]],missing[],16,FALSE),VLOOKUP(all_lmics18[[Setting]:[Setting]],all_cause_mort[],12,FALSE))</f>
        <v>1.4160430999999999E-3</v>
      </c>
      <c r="Y7">
        <f>IF(VLOOKUP(all_lmics18[[Setting]:[Setting]],all_cause_mort[],13,FALSE)="",VLOOKUP(all_lmics18[[who_choice_region]:[who_choice_region]],missing[],17,FALSE),VLOOKUP(all_lmics18[[Setting]:[Setting]],all_cause_mort[],13,FALSE))</f>
        <v>2.1447404000000002E-3</v>
      </c>
      <c r="Z7">
        <f>IF(VLOOKUP(all_lmics18[[Setting]:[Setting]],all_cause_mort[],14,FALSE)="",VLOOKUP(all_lmics18[[who_choice_region]:[who_choice_region]],missing[],18,FALSE),VLOOKUP(all_lmics18[[Setting]:[Setting]],all_cause_mort[],14,FALSE))</f>
        <v>3.4919490999999999E-3</v>
      </c>
      <c r="AA7">
        <f>IF(VLOOKUP(all_lmics18[[Setting]:[Setting]],all_cause_mort[],15,FALSE)="",VLOOKUP(all_lmics18[[who_choice_region]:[who_choice_region]],missing[],19,FALSE),VLOOKUP(all_lmics18[[Setting]:[Setting]],all_cause_mort[],15,FALSE))</f>
        <v>5.7081539000000004E-3</v>
      </c>
      <c r="AB7">
        <f>IF(VLOOKUP(all_lmics18[[Setting]:[Setting]],all_cause_mort[],16,FALSE)="",VLOOKUP(all_lmics18[[who_choice_region]:[who_choice_region]],missing[],20,FALSE),VLOOKUP(all_lmics18[[Setting]:[Setting]],all_cause_mort[],16,FALSE))</f>
        <v>9.3298307999999993E-3</v>
      </c>
      <c r="AC7">
        <f>IF(VLOOKUP(all_lmics18[[Setting]:[Setting]],all_cause_mort[],17,FALSE)="",VLOOKUP(all_lmics18[[who_choice_region]:[who_choice_region]],missing[],21,FALSE),VLOOKUP(all_lmics18[[Setting]:[Setting]],all_cause_mort[],17,FALSE))</f>
        <v>1.5432393000000001E-2</v>
      </c>
      <c r="AD7">
        <f>IF(VLOOKUP(all_lmics18[[Setting]:[Setting]],all_cause_mort[],18,FALSE)="",VLOOKUP(all_lmics18[[who_choice_region]:[who_choice_region]],missing[],22,FALSE),VLOOKUP(all_lmics18[[Setting]:[Setting]],all_cause_mort[],18,FALSE))</f>
        <v>2.5527603999999999E-2</v>
      </c>
      <c r="AE7">
        <f>IF(VLOOKUP(all_lmics18[[Setting]:[Setting]],all_cause_mort[],19,FALSE)="",VLOOKUP(all_lmics18[[who_choice_region]:[who_choice_region]],missing[],23,FALSE),VLOOKUP(all_lmics18[[Setting]:[Setting]],all_cause_mort[],19,FALSE))</f>
        <v>4.2851643000000002E-2</v>
      </c>
      <c r="AF7">
        <f>IF(VLOOKUP(all_lmics18[[Setting]:[Setting]],all_cause_mort[],20,FALSE)="",VLOOKUP(all_lmics18[[who_choice_region]:[who_choice_region]],missing[],24,FALSE),VLOOKUP(all_lmics18[[Setting]:[Setting]],all_cause_mort[],20,FALSE))</f>
        <v>7.2515651E-2</v>
      </c>
      <c r="AG7">
        <f>IF(VLOOKUP(all_lmics18[[Setting]:[Setting]],all_cause_mort[],21,FALSE)="",VLOOKUP(all_lmics18[[who_choice_region]:[who_choice_region]],missing[],25,FALSE),VLOOKUP(all_lmics18[[Setting]:[Setting]],all_cause_mort[],21,FALSE))</f>
        <v>0.11925278</v>
      </c>
      <c r="AH7">
        <f>IF(VLOOKUP(all_lmics18[[Setting]:[Setting]],all_cause_mort[],22,FALSE)="",VLOOKUP(all_lmics18[[who_choice_region]:[who_choice_region]],missing[],26,FALSE),VLOOKUP(all_lmics18[[Setting]:[Setting]],all_cause_mort[],22,FALSE))</f>
        <v>0.19011253</v>
      </c>
      <c r="AI7">
        <f>IF(VLOOKUP(all_lmics18[[Setting]:[Setting]],all_cause_mort[],23,FALSE)="",VLOOKUP(all_lmics18[[who_choice_region]:[who_choice_region]],missing[],27,FALSE),VLOOKUP(all_lmics18[[Setting]:[Setting]],all_cause_mort[],23,FALSE))</f>
        <v>0.28295354</v>
      </c>
      <c r="AJ7">
        <f>IF(VLOOKUP(all_lmics18[[Setting]:[Setting]],all_cause_mort[],24,FALSE)="",VLOOKUP(all_lmics18[[who_choice_region]:[who_choice_region]],missing[],28,FALSE),VLOOKUP(all_lmics18[[Setting]:[Setting]],all_cause_mort[],24,FALSE))</f>
        <v>0.38343492000000001</v>
      </c>
      <c r="AK7">
        <f>IF(VLOOKUP(all_lmics18[[Setting]:[Setting]],all_cause_mort[],25,FALSE)="",VLOOKUP(all_lmics18[[who_choice_region]:[who_choice_region]],missing[],29,FALSE),VLOOKUP(all_lmics18[[Setting]:[Setting]],all_cause_mort[],25,FALSE))</f>
        <v>0.51834965555924595</v>
      </c>
      <c r="AL7">
        <f>VLOOKUP(all_lmics18[[worldbank_region]:[worldbank_region]],Table13[],2,FALSE)</f>
        <v>44.525141999999995</v>
      </c>
      <c r="AM7">
        <f>VLOOKUP(all_lmics18[[worldbank_region]:[worldbank_region]],Table13[],3,FALSE)</f>
        <v>44.525141999999995</v>
      </c>
      <c r="AN7">
        <f>VLOOKUP(all_lmics18[[worldbank_region]:[worldbank_region]],Table13[],4,FALSE)</f>
        <v>92.254001999999986</v>
      </c>
      <c r="AO7">
        <f>VLOOKUP(all_lmics18[[worldbank_region]:[worldbank_region]],Table13[],5,FALSE)</f>
        <v>92.254001999999986</v>
      </c>
      <c r="AP7">
        <f>VLOOKUP(all_lmics18[[worldbank_region]:[worldbank_region]],Table13[],6,FALSE)</f>
        <v>92.254001999999986</v>
      </c>
      <c r="AQ7">
        <f>VLOOKUP(all_lmics18[[worldbank_region]:[worldbank_region]],Table14[],2,FALSE)</f>
        <v>6.4182919999999992</v>
      </c>
      <c r="AR7">
        <f>VLOOKUP(all_lmics18[[worldbank_region]:[worldbank_region]],Table14[],3,FALSE)</f>
        <v>7.0357919999999998</v>
      </c>
      <c r="AS7">
        <f>VLOOKUP(all_lmics18[[worldbank_region]:[worldbank_region]],Table14[],4,FALSE)</f>
        <v>10.482872999999998</v>
      </c>
      <c r="AT7">
        <f>VLOOKUP(all_lmics18[[worldbank_region]:[worldbank_region]],Table14[],5,FALSE)</f>
        <v>11.100372999999999</v>
      </c>
      <c r="AU7">
        <f>VLOOKUP(all_lmics18[[worldbank_region]:[worldbank_region]],Table14[],6,FALSE)</f>
        <v>11.670624999999999</v>
      </c>
      <c r="AV7">
        <f>IFERROR(VLOOKUP(all_lmics18[[Setting]:[Setting]],nFacSBA[],4,FALSE),VLOOKUP(all_lmics18[[who_choice_region]:[who_choice_region]],missing[],30,FALSE))</f>
        <v>0.51234113609262666</v>
      </c>
      <c r="AW7">
        <f>VLOOKUP(all_lmics18[[worldbank_region]:[worldbank_region]],hbe[],2)</f>
        <v>0.3</v>
      </c>
      <c r="AX7">
        <f>VLOOKUP(all_lmics18[[worldbank_region]:[worldbank_region]],hbe[],5)</f>
        <v>0.875</v>
      </c>
      <c r="AY7">
        <f>VLOOKUP(all_lmics18[[worldbank_region]:[worldbank_region]],hbe[],8)</f>
        <v>0.15</v>
      </c>
    </row>
    <row r="8" spans="1:51" x14ac:dyDescent="0.35">
      <c r="A8" s="8" t="s">
        <v>32</v>
      </c>
      <c r="B8" s="10" t="s">
        <v>33</v>
      </c>
      <c r="C8" s="11" t="s">
        <v>7</v>
      </c>
      <c r="D8">
        <f>VLOOKUP(all_lmics18[[Setting]:[Setting]],populations[],9,FALSE)</f>
        <v>1492584</v>
      </c>
      <c r="E8">
        <f>VLOOKUP(all_lmics18[[Setting]:[Setting]],birthrate[],3,FALSE)</f>
        <v>1.4762000000000001E-2</v>
      </c>
      <c r="F8">
        <f>all_lmics18[[#This Row],[2017_population]]*all_lmics18[[#This Row],[2016_birthrate]]</f>
        <v>22033.525008000001</v>
      </c>
      <c r="G8">
        <f>VLOOKUP(all_lmics18[[Setting]:[Setting]],birthdose[],4,FALSE)</f>
        <v>0.99</v>
      </c>
      <c r="H8">
        <f>VLOOKUP(all_lmics18[[Setting]:[Setting]],fullvax[],4,FALSE)</f>
        <v>0.98</v>
      </c>
      <c r="I8">
        <f>IFERROR(VLOOKUP(all_lmics18[[Setting]:[Setting]],prev[],3,FALSE),VLOOKUP(all_lmics18[[who_choice_region]:[who_choice_region]],missing[],2,FALSE))</f>
        <v>0.01</v>
      </c>
      <c r="J8">
        <f>IFERROR(VLOOKUP(all_lmics18[[Setting]:[Setting]],prev[],4,FALSE),VLOOKUP(all_lmics18[[who_choice_region]:[who_choice_region]],missing[],3,FALSE))</f>
        <v>6.0000000000000001E-3</v>
      </c>
      <c r="K8">
        <f>IFERROR(VLOOKUP(all_lmics18[[Setting]:[Setting]],prev[],5,FALSE),VLOOKUP(all_lmics18[[who_choice_region]:[who_choice_region]],missing[],4,FALSE))</f>
        <v>1.0999999999999999E-2</v>
      </c>
      <c r="L8">
        <f>IFERROR(VLOOKUP(all_lmics18[[Setting]:[Setting]],prev[],7,FALSE),VLOOKUP(all_lmics18[[who_choice_region]:[who_choice_region]],missing[],5,FALSE))</f>
        <v>5.1020408163265267E-4</v>
      </c>
      <c r="M8">
        <f>IFERROR(VLOOKUP(all_lmics18[[Setting]:[Setting]],prev[],6,FALSE),0)</f>
        <v>1492584</v>
      </c>
      <c r="N8">
        <f>IFERROR(VLOOKUP(all_lmics18[[Setting]:[Setting]],SBA[],4,FALSE),VLOOKUP(all_lmics18[[who_choice_region]:[who_choice_region]],missing[],6,FALSE))</f>
        <v>0.997</v>
      </c>
      <c r="O8">
        <f>IFERROR(VLOOKUP(all_lmics18[[Setting]:[Setting]], facility[], 3,FALSE),VLOOKUP(all_lmics18[[who_choice_region]:[who_choice_region]],missing[],7,FALSE))</f>
        <v>0.97499999999999998</v>
      </c>
      <c r="P8">
        <f>IF(VLOOKUP(all_lmics18[[Setting]:[Setting]],all_cause_mort[],4,FALSE)="",VLOOKUP(all_lmics18[[who_choice_region]:[who_choice_region]],missing[],8,FALSE),VLOOKUP(all_lmics18[[Setting]:[Setting]],all_cause_mort[],4,FALSE))</f>
        <v>5.9573313000000003E-3</v>
      </c>
      <c r="Q8">
        <f>IF(VLOOKUP(all_lmics18[[Setting]:[Setting]],all_cause_mort[],5,FALSE)="",VLOOKUP(all_lmics18[[who_choice_region]:[who_choice_region]],missing[],9,FALSE),VLOOKUP(all_lmics18[[Setting]:[Setting]],all_cause_mort[],5,FALSE))</f>
        <v>4.1705639999999999E-4</v>
      </c>
      <c r="R8">
        <f>IF(VLOOKUP(all_lmics18[[Setting]:[Setting]],all_cause_mort[],6,FALSE)="",VLOOKUP(all_lmics18[[who_choice_region]:[who_choice_region]],missing[],10,FALSE),VLOOKUP(all_lmics18[[Setting]:[Setting]],all_cause_mort[],6,FALSE))</f>
        <v>1.8959477E-4</v>
      </c>
      <c r="S8">
        <f>IF(VLOOKUP(all_lmics18[[Setting]:[Setting]],all_cause_mort[],7,FALSE)="",VLOOKUP(all_lmics18[[who_choice_region]:[who_choice_region]],missing[],11,FALSE),VLOOKUP(all_lmics18[[Setting]:[Setting]],all_cause_mort[],7,FALSE))</f>
        <v>1.7063376E-4</v>
      </c>
      <c r="T8">
        <f>IF(VLOOKUP(all_lmics18[[Setting]:[Setting]],all_cause_mort[],8,FALSE)="",VLOOKUP(all_lmics18[[who_choice_region]:[who_choice_region]],missing[],12,FALSE),VLOOKUP(all_lmics18[[Setting]:[Setting]],all_cause_mort[],8,FALSE))</f>
        <v>4.0767456E-4</v>
      </c>
      <c r="U8">
        <f>IF(VLOOKUP(all_lmics18[[Setting]:[Setting]],all_cause_mort[],9,FALSE)="",VLOOKUP(all_lmics18[[who_choice_region]:[who_choice_region]],missing[],13,FALSE),VLOOKUP(all_lmics18[[Setting]:[Setting]],all_cause_mort[],9,FALSE))</f>
        <v>5.1060430999999996E-4</v>
      </c>
      <c r="V8">
        <f>IF(VLOOKUP(all_lmics18[[Setting]:[Setting]],all_cause_mort[],10,FALSE)="",VLOOKUP(all_lmics18[[who_choice_region]:[who_choice_region]],missing[],14,FALSE),VLOOKUP(all_lmics18[[Setting]:[Setting]],all_cause_mort[],10,FALSE))</f>
        <v>5.0177434000000002E-4</v>
      </c>
      <c r="W8">
        <f>IF(VLOOKUP(all_lmics18[[Setting]:[Setting]],all_cause_mort[],11,FALSE)="",VLOOKUP(all_lmics18[[who_choice_region]:[who_choice_region]],missing[],15,FALSE),VLOOKUP(all_lmics18[[Setting]:[Setting]],all_cause_mort[],11,FALSE))</f>
        <v>5.8834423000000003E-4</v>
      </c>
      <c r="X8">
        <f>IF(VLOOKUP(all_lmics18[[Setting]:[Setting]],all_cause_mort[],12,FALSE)="",VLOOKUP(all_lmics18[[who_choice_region]:[who_choice_region]],missing[],16,FALSE),VLOOKUP(all_lmics18[[Setting]:[Setting]],all_cause_mort[],12,FALSE))</f>
        <v>7.0266035000000004E-4</v>
      </c>
      <c r="Y8">
        <f>IF(VLOOKUP(all_lmics18[[Setting]:[Setting]],all_cause_mort[],13,FALSE)="",VLOOKUP(all_lmics18[[who_choice_region]:[who_choice_region]],missing[],17,FALSE),VLOOKUP(all_lmics18[[Setting]:[Setting]],all_cause_mort[],13,FALSE))</f>
        <v>1.056066E-3</v>
      </c>
      <c r="Z8">
        <f>IF(VLOOKUP(all_lmics18[[Setting]:[Setting]],all_cause_mort[],14,FALSE)="",VLOOKUP(all_lmics18[[who_choice_region]:[who_choice_region]],missing[],18,FALSE),VLOOKUP(all_lmics18[[Setting]:[Setting]],all_cause_mort[],14,FALSE))</f>
        <v>1.6606265000000001E-3</v>
      </c>
      <c r="AA8">
        <f>IF(VLOOKUP(all_lmics18[[Setting]:[Setting]],all_cause_mort[],15,FALSE)="",VLOOKUP(all_lmics18[[who_choice_region]:[who_choice_region]],missing[],19,FALSE),VLOOKUP(all_lmics18[[Setting]:[Setting]],all_cause_mort[],15,FALSE))</f>
        <v>2.6860878E-3</v>
      </c>
      <c r="AB8">
        <f>IF(VLOOKUP(all_lmics18[[Setting]:[Setting]],all_cause_mort[],16,FALSE)="",VLOOKUP(all_lmics18[[who_choice_region]:[who_choice_region]],missing[],20,FALSE),VLOOKUP(all_lmics18[[Setting]:[Setting]],all_cause_mort[],16,FALSE))</f>
        <v>5.7750494999999997E-3</v>
      </c>
      <c r="AC8">
        <f>IF(VLOOKUP(all_lmics18[[Setting]:[Setting]],all_cause_mort[],17,FALSE)="",VLOOKUP(all_lmics18[[who_choice_region]:[who_choice_region]],missing[],21,FALSE),VLOOKUP(all_lmics18[[Setting]:[Setting]],all_cause_mort[],17,FALSE))</f>
        <v>1.1337244E-2</v>
      </c>
      <c r="AD8">
        <f>IF(VLOOKUP(all_lmics18[[Setting]:[Setting]],all_cause_mort[],18,FALSE)="",VLOOKUP(all_lmics18[[who_choice_region]:[who_choice_region]],missing[],22,FALSE),VLOOKUP(all_lmics18[[Setting]:[Setting]],all_cause_mort[],18,FALSE))</f>
        <v>2.0982132000000001E-2</v>
      </c>
      <c r="AE8">
        <f>IF(VLOOKUP(all_lmics18[[Setting]:[Setting]],all_cause_mort[],19,FALSE)="",VLOOKUP(all_lmics18[[who_choice_region]:[who_choice_region]],missing[],23,FALSE),VLOOKUP(all_lmics18[[Setting]:[Setting]],all_cause_mort[],19,FALSE))</f>
        <v>3.6393970999999997E-2</v>
      </c>
      <c r="AF8">
        <f>IF(VLOOKUP(all_lmics18[[Setting]:[Setting]],all_cause_mort[],20,FALSE)="",VLOOKUP(all_lmics18[[who_choice_region]:[who_choice_region]],missing[],24,FALSE),VLOOKUP(all_lmics18[[Setting]:[Setting]],all_cause_mort[],20,FALSE))</f>
        <v>6.3547267000000004E-2</v>
      </c>
      <c r="AG8">
        <f>IF(VLOOKUP(all_lmics18[[Setting]:[Setting]],all_cause_mort[],21,FALSE)="",VLOOKUP(all_lmics18[[who_choice_region]:[who_choice_region]],missing[],25,FALSE),VLOOKUP(all_lmics18[[Setting]:[Setting]],all_cause_mort[],21,FALSE))</f>
        <v>0.10533360999999999</v>
      </c>
      <c r="AH8">
        <f>IF(VLOOKUP(all_lmics18[[Setting]:[Setting]],all_cause_mort[],22,FALSE)="",VLOOKUP(all_lmics18[[who_choice_region]:[who_choice_region]],missing[],26,FALSE),VLOOKUP(all_lmics18[[Setting]:[Setting]],all_cause_mort[],22,FALSE))</f>
        <v>0.16577965</v>
      </c>
      <c r="AI8">
        <f>IF(VLOOKUP(all_lmics18[[Setting]:[Setting]],all_cause_mort[],23,FALSE)="",VLOOKUP(all_lmics18[[who_choice_region]:[who_choice_region]],missing[],27,FALSE),VLOOKUP(all_lmics18[[Setting]:[Setting]],all_cause_mort[],23,FALSE))</f>
        <v>0.24436367000000001</v>
      </c>
      <c r="AJ8">
        <f>IF(VLOOKUP(all_lmics18[[Setting]:[Setting]],all_cause_mort[],24,FALSE)="",VLOOKUP(all_lmics18[[who_choice_region]:[who_choice_region]],missing[],28,FALSE),VLOOKUP(all_lmics18[[Setting]:[Setting]],all_cause_mort[],24,FALSE))</f>
        <v>0.34512827000000001</v>
      </c>
      <c r="AK8">
        <f>IF(VLOOKUP(all_lmics18[[Setting]:[Setting]],all_cause_mort[],25,FALSE)="",VLOOKUP(all_lmics18[[who_choice_region]:[who_choice_region]],missing[],29,FALSE),VLOOKUP(all_lmics18[[Setting]:[Setting]],all_cause_mort[],25,FALSE))</f>
        <v>0.48283742308701599</v>
      </c>
      <c r="AL8">
        <f>VLOOKUP(all_lmics18[[worldbank_region]:[worldbank_region]],Table13[],2,FALSE)</f>
        <v>57.906657999999993</v>
      </c>
      <c r="AM8">
        <f>VLOOKUP(all_lmics18[[worldbank_region]:[worldbank_region]],Table13[],3,FALSE)</f>
        <v>57.906657999999993</v>
      </c>
      <c r="AN8">
        <f>VLOOKUP(all_lmics18[[worldbank_region]:[worldbank_region]],Table13[],4,FALSE)</f>
        <v>105.63551799999999</v>
      </c>
      <c r="AO8">
        <f>VLOOKUP(all_lmics18[[worldbank_region]:[worldbank_region]],Table13[],5,FALSE)</f>
        <v>105.63551799999999</v>
      </c>
      <c r="AP8">
        <f>VLOOKUP(all_lmics18[[worldbank_region]:[worldbank_region]],Table13[],6,FALSE)</f>
        <v>105.63551799999999</v>
      </c>
      <c r="AQ8">
        <f>VLOOKUP(all_lmics18[[worldbank_region]:[worldbank_region]],Table14[],2,FALSE)</f>
        <v>1.5037449999999999</v>
      </c>
      <c r="AR8">
        <f>VLOOKUP(all_lmics18[[worldbank_region]:[worldbank_region]],Table14[],3,FALSE)</f>
        <v>2.121245</v>
      </c>
      <c r="AS8">
        <f>VLOOKUP(all_lmics18[[worldbank_region]:[worldbank_region]],Table14[],4,FALSE)</f>
        <v>1.9832129999999999</v>
      </c>
      <c r="AT8">
        <f>VLOOKUP(all_lmics18[[worldbank_region]:[worldbank_region]],Table14[],5,FALSE)</f>
        <v>2.6007129999999998</v>
      </c>
      <c r="AU8">
        <f>VLOOKUP(all_lmics18[[worldbank_region]:[worldbank_region]],Table14[],6,FALSE)</f>
        <v>3.1709649999999998</v>
      </c>
      <c r="AV8">
        <f>IFERROR(VLOOKUP(all_lmics18[[Setting]:[Setting]],nFacSBA[],4,FALSE),VLOOKUP(all_lmics18[[who_choice_region]:[who_choice_region]],missing[],30,FALSE))</f>
        <v>0.38783437593130843</v>
      </c>
      <c r="AW8">
        <f>VLOOKUP(all_lmics18[[worldbank_region]:[worldbank_region]],hbe[],2)</f>
        <v>0.3</v>
      </c>
      <c r="AX8">
        <f>VLOOKUP(all_lmics18[[worldbank_region]:[worldbank_region]],hbe[],5)</f>
        <v>0.875</v>
      </c>
      <c r="AY8">
        <f>VLOOKUP(all_lmics18[[worldbank_region]:[worldbank_region]],hbe[],8)</f>
        <v>0.15</v>
      </c>
    </row>
    <row r="9" spans="1:51" x14ac:dyDescent="0.35">
      <c r="A9" s="12" t="s">
        <v>39</v>
      </c>
      <c r="B9" s="13" t="s">
        <v>40</v>
      </c>
      <c r="C9" s="14" t="s">
        <v>11</v>
      </c>
      <c r="D9">
        <f>VLOOKUP(all_lmics18[[Setting]:[Setting]],populations[],9,FALSE)</f>
        <v>9507875</v>
      </c>
      <c r="E9">
        <f>VLOOKUP(all_lmics18[[Setting]:[Setting]],birthrate[],3,FALSE)</f>
        <v>1.24E-2</v>
      </c>
      <c r="F9">
        <f>all_lmics18[[#This Row],[2017_population]]*all_lmics18[[#This Row],[2016_birthrate]]</f>
        <v>117897.65</v>
      </c>
      <c r="G9">
        <f>VLOOKUP(all_lmics18[[Setting]:[Setting]],birthdose[],4,FALSE)</f>
        <v>0.98</v>
      </c>
      <c r="H9">
        <f>VLOOKUP(all_lmics18[[Setting]:[Setting]],fullvax[],4,FALSE)</f>
        <v>0.98</v>
      </c>
      <c r="I9">
        <f>IFERROR(VLOOKUP(all_lmics18[[Setting]:[Setting]],prev[],3,FALSE),VLOOKUP(all_lmics18[[who_choice_region]:[who_choice_region]],missing[],2,FALSE))</f>
        <v>4.2999999999999997E-2</v>
      </c>
      <c r="J9">
        <f>IFERROR(VLOOKUP(all_lmics18[[Setting]:[Setting]],prev[],4,FALSE),VLOOKUP(all_lmics18[[who_choice_region]:[who_choice_region]],missing[],3,FALSE))</f>
        <v>3.9E-2</v>
      </c>
      <c r="K9">
        <f>IFERROR(VLOOKUP(all_lmics18[[Setting]:[Setting]],prev[],5,FALSE),VLOOKUP(all_lmics18[[who_choice_region]:[who_choice_region]],missing[],4,FALSE))</f>
        <v>4.8000000000000001E-2</v>
      </c>
      <c r="L9">
        <f>IFERROR(VLOOKUP(all_lmics18[[Setting]:[Setting]],prev[],7,FALSE),VLOOKUP(all_lmics18[[who_choice_region]:[who_choice_region]],missing[],5,FALSE))</f>
        <v>2.5510204081632677E-3</v>
      </c>
      <c r="M9">
        <f>IFERROR(VLOOKUP(all_lmics18[[Setting]:[Setting]],prev[],6,FALSE),0)</f>
        <v>9507875</v>
      </c>
      <c r="N9">
        <f>IFERROR(VLOOKUP(all_lmics18[[Setting]:[Setting]],SBA[],4,FALSE),VLOOKUP(all_lmics18[[who_choice_region]:[who_choice_region]],missing[],6,FALSE))</f>
        <v>0.998</v>
      </c>
      <c r="O9">
        <f>IFERROR(VLOOKUP(all_lmics18[[Setting]:[Setting]], facility[], 3,FALSE),VLOOKUP(all_lmics18[[who_choice_region]:[who_choice_region]],missing[],7,FALSE))</f>
        <v>0.99900000000000011</v>
      </c>
      <c r="P9">
        <f>IF(VLOOKUP(all_lmics18[[Setting]:[Setting]],all_cause_mort[],4,FALSE)="",VLOOKUP(all_lmics18[[who_choice_region]:[who_choice_region]],missing[],8,FALSE),VLOOKUP(all_lmics18[[Setting]:[Setting]],all_cause_mort[],4,FALSE))</f>
        <v>2.9742570000000001E-3</v>
      </c>
      <c r="Q9">
        <f>IF(VLOOKUP(all_lmics18[[Setting]:[Setting]],all_cause_mort[],5,FALSE)="",VLOOKUP(all_lmics18[[who_choice_region]:[who_choice_region]],missing[],9,FALSE),VLOOKUP(all_lmics18[[Setting]:[Setting]],all_cause_mort[],5,FALSE))</f>
        <v>2.1824527999999999E-4</v>
      </c>
      <c r="R9">
        <f>IF(VLOOKUP(all_lmics18[[Setting]:[Setting]],all_cause_mort[],6,FALSE)="",VLOOKUP(all_lmics18[[who_choice_region]:[who_choice_region]],missing[],10,FALSE),VLOOKUP(all_lmics18[[Setting]:[Setting]],all_cause_mort[],6,FALSE))</f>
        <v>1.3874520999999999E-4</v>
      </c>
      <c r="S9">
        <f>IF(VLOOKUP(all_lmics18[[Setting]:[Setting]],all_cause_mort[],7,FALSE)="",VLOOKUP(all_lmics18[[who_choice_region]:[who_choice_region]],missing[],11,FALSE),VLOOKUP(all_lmics18[[Setting]:[Setting]],all_cause_mort[],7,FALSE))</f>
        <v>1.3172581000000001E-4</v>
      </c>
      <c r="T9">
        <f>IF(VLOOKUP(all_lmics18[[Setting]:[Setting]],all_cause_mort[],8,FALSE)="",VLOOKUP(all_lmics18[[who_choice_region]:[who_choice_region]],missing[],12,FALSE),VLOOKUP(all_lmics18[[Setting]:[Setting]],all_cause_mort[],8,FALSE))</f>
        <v>3.5196734000000001E-4</v>
      </c>
      <c r="U9">
        <f>IF(VLOOKUP(all_lmics18[[Setting]:[Setting]],all_cause_mort[],9,FALSE)="",VLOOKUP(all_lmics18[[who_choice_region]:[who_choice_region]],missing[],13,FALSE),VLOOKUP(all_lmics18[[Setting]:[Setting]],all_cause_mort[],9,FALSE))</f>
        <v>5.9955608000000001E-4</v>
      </c>
      <c r="V9">
        <f>IF(VLOOKUP(all_lmics18[[Setting]:[Setting]],all_cause_mort[],10,FALSE)="",VLOOKUP(all_lmics18[[who_choice_region]:[who_choice_region]],missing[],14,FALSE),VLOOKUP(all_lmics18[[Setting]:[Setting]],all_cause_mort[],10,FALSE))</f>
        <v>8.7638316999999997E-4</v>
      </c>
      <c r="W9">
        <f>IF(VLOOKUP(all_lmics18[[Setting]:[Setting]],all_cause_mort[],11,FALSE)="",VLOOKUP(all_lmics18[[who_choice_region]:[who_choice_region]],missing[],15,FALSE),VLOOKUP(all_lmics18[[Setting]:[Setting]],all_cause_mort[],11,FALSE))</f>
        <v>1.4378284000000001E-3</v>
      </c>
      <c r="X9">
        <f>IF(VLOOKUP(all_lmics18[[Setting]:[Setting]],all_cause_mort[],12,FALSE)="",VLOOKUP(all_lmics18[[who_choice_region]:[who_choice_region]],missing[],16,FALSE),VLOOKUP(all_lmics18[[Setting]:[Setting]],all_cause_mort[],12,FALSE))</f>
        <v>2.3068186000000002E-3</v>
      </c>
      <c r="Y9">
        <f>IF(VLOOKUP(all_lmics18[[Setting]:[Setting]],all_cause_mort[],13,FALSE)="",VLOOKUP(all_lmics18[[who_choice_region]:[who_choice_region]],missing[],17,FALSE),VLOOKUP(all_lmics18[[Setting]:[Setting]],all_cause_mort[],13,FALSE))</f>
        <v>3.3415919E-3</v>
      </c>
      <c r="Z9">
        <f>IF(VLOOKUP(all_lmics18[[Setting]:[Setting]],all_cause_mort[],14,FALSE)="",VLOOKUP(all_lmics18[[who_choice_region]:[who_choice_region]],missing[],18,FALSE),VLOOKUP(all_lmics18[[Setting]:[Setting]],all_cause_mort[],14,FALSE))</f>
        <v>5.0345516999999998E-3</v>
      </c>
      <c r="AA9">
        <f>IF(VLOOKUP(all_lmics18[[Setting]:[Setting]],all_cause_mort[],15,FALSE)="",VLOOKUP(all_lmics18[[who_choice_region]:[who_choice_region]],missing[],19,FALSE),VLOOKUP(all_lmics18[[Setting]:[Setting]],all_cause_mort[],15,FALSE))</f>
        <v>7.4313358000000001E-3</v>
      </c>
      <c r="AB9">
        <f>IF(VLOOKUP(all_lmics18[[Setting]:[Setting]],all_cause_mort[],16,FALSE)="",VLOOKUP(all_lmics18[[who_choice_region]:[who_choice_region]],missing[],20,FALSE),VLOOKUP(all_lmics18[[Setting]:[Setting]],all_cause_mort[],16,FALSE))</f>
        <v>1.1150152E-2</v>
      </c>
      <c r="AC9">
        <f>IF(VLOOKUP(all_lmics18[[Setting]:[Setting]],all_cause_mort[],17,FALSE)="",VLOOKUP(all_lmics18[[who_choice_region]:[who_choice_region]],missing[],21,FALSE),VLOOKUP(all_lmics18[[Setting]:[Setting]],all_cause_mort[],17,FALSE))</f>
        <v>1.7102638E-2</v>
      </c>
      <c r="AD9">
        <f>IF(VLOOKUP(all_lmics18[[Setting]:[Setting]],all_cause_mort[],18,FALSE)="",VLOOKUP(all_lmics18[[who_choice_region]:[who_choice_region]],missing[],22,FALSE),VLOOKUP(all_lmics18[[Setting]:[Setting]],all_cause_mort[],18,FALSE))</f>
        <v>2.4527950999999999E-2</v>
      </c>
      <c r="AE9">
        <f>IF(VLOOKUP(all_lmics18[[Setting]:[Setting]],all_cause_mort[],19,FALSE)="",VLOOKUP(all_lmics18[[who_choice_region]:[who_choice_region]],missing[],23,FALSE),VLOOKUP(all_lmics18[[Setting]:[Setting]],all_cause_mort[],19,FALSE))</f>
        <v>3.6169323000000003E-2</v>
      </c>
      <c r="AF9">
        <f>IF(VLOOKUP(all_lmics18[[Setting]:[Setting]],all_cause_mort[],20,FALSE)="",VLOOKUP(all_lmics18[[who_choice_region]:[who_choice_region]],missing[],24,FALSE),VLOOKUP(all_lmics18[[Setting]:[Setting]],all_cause_mort[],20,FALSE))</f>
        <v>5.7294831999999997E-2</v>
      </c>
      <c r="AG9">
        <f>IF(VLOOKUP(all_lmics18[[Setting]:[Setting]],all_cause_mort[],21,FALSE)="",VLOOKUP(all_lmics18[[who_choice_region]:[who_choice_region]],missing[],25,FALSE),VLOOKUP(all_lmics18[[Setting]:[Setting]],all_cause_mort[],21,FALSE))</f>
        <v>9.5849866000000006E-2</v>
      </c>
      <c r="AH9">
        <f>IF(VLOOKUP(all_lmics18[[Setting]:[Setting]],all_cause_mort[],22,FALSE)="",VLOOKUP(all_lmics18[[who_choice_region]:[who_choice_region]],missing[],26,FALSE),VLOOKUP(all_lmics18[[Setting]:[Setting]],all_cause_mort[],22,FALSE))</f>
        <v>0.15385720999999999</v>
      </c>
      <c r="AI9">
        <f>IF(VLOOKUP(all_lmics18[[Setting]:[Setting]],all_cause_mort[],23,FALSE)="",VLOOKUP(all_lmics18[[who_choice_region]:[who_choice_region]],missing[],27,FALSE),VLOOKUP(all_lmics18[[Setting]:[Setting]],all_cause_mort[],23,FALSE))</f>
        <v>0.24604038</v>
      </c>
      <c r="AJ9">
        <f>IF(VLOOKUP(all_lmics18[[Setting]:[Setting]],all_cause_mort[],24,FALSE)="",VLOOKUP(all_lmics18[[who_choice_region]:[who_choice_region]],missing[],28,FALSE),VLOOKUP(all_lmics18[[Setting]:[Setting]],all_cause_mort[],24,FALSE))</f>
        <v>0.36641779000000002</v>
      </c>
      <c r="AK9">
        <f>IF(VLOOKUP(all_lmics18[[Setting]:[Setting]],all_cause_mort[],25,FALSE)="",VLOOKUP(all_lmics18[[who_choice_region]:[who_choice_region]],missing[],29,FALSE),VLOOKUP(all_lmics18[[Setting]:[Setting]],all_cause_mort[],25,FALSE))</f>
        <v>0.51844115941692404</v>
      </c>
      <c r="AL9">
        <f>VLOOKUP(all_lmics18[[worldbank_region]:[worldbank_region]],Table13[],2,FALSE)</f>
        <v>44.525141999999995</v>
      </c>
      <c r="AM9">
        <f>VLOOKUP(all_lmics18[[worldbank_region]:[worldbank_region]],Table13[],3,FALSE)</f>
        <v>44.525141999999995</v>
      </c>
      <c r="AN9">
        <f>VLOOKUP(all_lmics18[[worldbank_region]:[worldbank_region]],Table13[],4,FALSE)</f>
        <v>92.254001999999986</v>
      </c>
      <c r="AO9">
        <f>VLOOKUP(all_lmics18[[worldbank_region]:[worldbank_region]],Table13[],5,FALSE)</f>
        <v>92.254001999999986</v>
      </c>
      <c r="AP9">
        <f>VLOOKUP(all_lmics18[[worldbank_region]:[worldbank_region]],Table13[],6,FALSE)</f>
        <v>92.254001999999986</v>
      </c>
      <c r="AQ9">
        <f>VLOOKUP(all_lmics18[[worldbank_region]:[worldbank_region]],Table14[],2,FALSE)</f>
        <v>6.4182919999999992</v>
      </c>
      <c r="AR9">
        <f>VLOOKUP(all_lmics18[[worldbank_region]:[worldbank_region]],Table14[],3,FALSE)</f>
        <v>7.0357919999999998</v>
      </c>
      <c r="AS9">
        <f>VLOOKUP(all_lmics18[[worldbank_region]:[worldbank_region]],Table14[],4,FALSE)</f>
        <v>10.482872999999998</v>
      </c>
      <c r="AT9">
        <f>VLOOKUP(all_lmics18[[worldbank_region]:[worldbank_region]],Table14[],5,FALSE)</f>
        <v>11.100372999999999</v>
      </c>
      <c r="AU9">
        <f>VLOOKUP(all_lmics18[[worldbank_region]:[worldbank_region]],Table14[],6,FALSE)</f>
        <v>11.670624999999999</v>
      </c>
      <c r="AV9">
        <f>IFERROR(VLOOKUP(all_lmics18[[Setting]:[Setting]],nFacSBA[],4,FALSE),VLOOKUP(all_lmics18[[who_choice_region]:[who_choice_region]],missing[],30,FALSE))</f>
        <v>0.5387849484969518</v>
      </c>
      <c r="AW9">
        <f>VLOOKUP(all_lmics18[[worldbank_region]:[worldbank_region]],hbe[],2)</f>
        <v>0.3</v>
      </c>
      <c r="AX9">
        <f>VLOOKUP(all_lmics18[[worldbank_region]:[worldbank_region]],hbe[],5)</f>
        <v>0.875</v>
      </c>
      <c r="AY9">
        <f>VLOOKUP(all_lmics18[[worldbank_region]:[worldbank_region]],hbe[],8)</f>
        <v>0.15</v>
      </c>
    </row>
    <row r="10" spans="1:51" x14ac:dyDescent="0.35">
      <c r="A10" s="12" t="s">
        <v>44</v>
      </c>
      <c r="B10" s="13" t="s">
        <v>36</v>
      </c>
      <c r="C10" s="14" t="s">
        <v>37</v>
      </c>
      <c r="D10">
        <f>VLOOKUP(all_lmics18[[Setting]:[Setting]],populations[],9,FALSE)</f>
        <v>807610</v>
      </c>
      <c r="E10">
        <f>VLOOKUP(all_lmics18[[Setting]:[Setting]],birthrate[],3,FALSE)</f>
        <v>1.8165000000000001E-2</v>
      </c>
      <c r="F10">
        <f>all_lmics18[[#This Row],[2017_population]]*all_lmics18[[#This Row],[2016_birthrate]]</f>
        <v>14670.235650000001</v>
      </c>
      <c r="G10">
        <f>VLOOKUP(all_lmics18[[Setting]:[Setting]],birthdose[],4,FALSE)</f>
        <v>0.82</v>
      </c>
      <c r="H10">
        <f>VLOOKUP(all_lmics18[[Setting]:[Setting]],fullvax[],4,FALSE)</f>
        <v>0.98</v>
      </c>
      <c r="I10">
        <f>IFERROR(VLOOKUP(all_lmics18[[Setting]:[Setting]],prev[],3,FALSE),VLOOKUP(all_lmics18[[who_choice_region]:[who_choice_region]],missing[],2,FALSE))</f>
        <v>5.8400000000000001E-2</v>
      </c>
      <c r="J10">
        <f>IFERROR(VLOOKUP(all_lmics18[[Setting]:[Setting]],prev[],4,FALSE),VLOOKUP(all_lmics18[[who_choice_region]:[who_choice_region]],missing[],3,FALSE))</f>
        <v>4.9200000000000001E-2</v>
      </c>
      <c r="K10">
        <f>IFERROR(VLOOKUP(all_lmics18[[Setting]:[Setting]],prev[],5,FALSE),VLOOKUP(all_lmics18[[who_choice_region]:[who_choice_region]],missing[],4,FALSE))</f>
        <v>6.93E-2</v>
      </c>
      <c r="L10">
        <f>IFERROR(VLOOKUP(all_lmics18[[Setting]:[Setting]],prev[],7,FALSE),VLOOKUP(all_lmics18[[who_choice_region]:[who_choice_region]],missing[],5,FALSE))</f>
        <v>5.5612244897959183E-3</v>
      </c>
      <c r="M10">
        <f>IFERROR(VLOOKUP(all_lmics18[[Setting]:[Setting]],prev[],6,FALSE),0)</f>
        <v>727641</v>
      </c>
      <c r="N10">
        <f>IFERROR(VLOOKUP(all_lmics18[[Setting]:[Setting]],SBA[],4,FALSE),VLOOKUP(all_lmics18[[who_choice_region]:[who_choice_region]],missing[],6,FALSE))</f>
        <v>0.89</v>
      </c>
      <c r="O10">
        <f>IFERROR(VLOOKUP(all_lmics18[[Setting]:[Setting]], facility[], 3,FALSE),VLOOKUP(all_lmics18[[who_choice_region]:[who_choice_region]],missing[],7,FALSE))</f>
        <v>0.73799999999999999</v>
      </c>
      <c r="P10">
        <f>IF(VLOOKUP(all_lmics18[[Setting]:[Setting]],all_cause_mort[],4,FALSE)="",VLOOKUP(all_lmics18[[who_choice_region]:[who_choice_region]],missing[],8,FALSE),VLOOKUP(all_lmics18[[Setting]:[Setting]],all_cause_mort[],4,FALSE))</f>
        <v>2.4592960000000001E-2</v>
      </c>
      <c r="Q10">
        <f>IF(VLOOKUP(all_lmics18[[Setting]:[Setting]],all_cause_mort[],5,FALSE)="",VLOOKUP(all_lmics18[[who_choice_region]:[who_choice_region]],missing[],9,FALSE),VLOOKUP(all_lmics18[[Setting]:[Setting]],all_cause_mort[],5,FALSE))</f>
        <v>1.4221768999999999E-3</v>
      </c>
      <c r="R10">
        <f>IF(VLOOKUP(all_lmics18[[Setting]:[Setting]],all_cause_mort[],6,FALSE)="",VLOOKUP(all_lmics18[[who_choice_region]:[who_choice_region]],missing[],10,FALSE),VLOOKUP(all_lmics18[[Setting]:[Setting]],all_cause_mort[],6,FALSE))</f>
        <v>7.7513961000000005E-4</v>
      </c>
      <c r="S10">
        <f>IF(VLOOKUP(all_lmics18[[Setting]:[Setting]],all_cause_mort[],7,FALSE)="",VLOOKUP(all_lmics18[[who_choice_region]:[who_choice_region]],missing[],11,FALSE),VLOOKUP(all_lmics18[[Setting]:[Setting]],all_cause_mort[],7,FALSE))</f>
        <v>6.2795587999999998E-4</v>
      </c>
      <c r="T10">
        <f>IF(VLOOKUP(all_lmics18[[Setting]:[Setting]],all_cause_mort[],8,FALSE)="",VLOOKUP(all_lmics18[[who_choice_region]:[who_choice_region]],missing[],12,FALSE),VLOOKUP(all_lmics18[[Setting]:[Setting]],all_cause_mort[],8,FALSE))</f>
        <v>8.5001065000000001E-4</v>
      </c>
      <c r="U10">
        <f>IF(VLOOKUP(all_lmics18[[Setting]:[Setting]],all_cause_mort[],9,FALSE)="",VLOOKUP(all_lmics18[[who_choice_region]:[who_choice_region]],missing[],13,FALSE),VLOOKUP(all_lmics18[[Setting]:[Setting]],all_cause_mort[],9,FALSE))</f>
        <v>1.3859578E-3</v>
      </c>
      <c r="V10">
        <f>IF(VLOOKUP(all_lmics18[[Setting]:[Setting]],all_cause_mort[],10,FALSE)="",VLOOKUP(all_lmics18[[who_choice_region]:[who_choice_region]],missing[],14,FALSE),VLOOKUP(all_lmics18[[Setting]:[Setting]],all_cause_mort[],10,FALSE))</f>
        <v>2.0088519000000002E-3</v>
      </c>
      <c r="W10">
        <f>IF(VLOOKUP(all_lmics18[[Setting]:[Setting]],all_cause_mort[],11,FALSE)="",VLOOKUP(all_lmics18[[who_choice_region]:[who_choice_region]],missing[],15,FALSE),VLOOKUP(all_lmics18[[Setting]:[Setting]],all_cause_mort[],11,FALSE))</f>
        <v>2.9179764999999998E-3</v>
      </c>
      <c r="X10">
        <f>IF(VLOOKUP(all_lmics18[[Setting]:[Setting]],all_cause_mort[],12,FALSE)="",VLOOKUP(all_lmics18[[who_choice_region]:[who_choice_region]],missing[],16,FALSE),VLOOKUP(all_lmics18[[Setting]:[Setting]],all_cause_mort[],12,FALSE))</f>
        <v>3.9776804999999997E-3</v>
      </c>
      <c r="Y10">
        <f>IF(VLOOKUP(all_lmics18[[Setting]:[Setting]],all_cause_mort[],13,FALSE)="",VLOOKUP(all_lmics18[[who_choice_region]:[who_choice_region]],missing[],17,FALSE),VLOOKUP(all_lmics18[[Setting]:[Setting]],all_cause_mort[],13,FALSE))</f>
        <v>5.2167923999999997E-3</v>
      </c>
      <c r="Z10">
        <f>IF(VLOOKUP(all_lmics18[[Setting]:[Setting]],all_cause_mort[],14,FALSE)="",VLOOKUP(all_lmics18[[who_choice_region]:[who_choice_region]],missing[],18,FALSE),VLOOKUP(all_lmics18[[Setting]:[Setting]],all_cause_mort[],14,FALSE))</f>
        <v>6.7983495000000001E-3</v>
      </c>
      <c r="AA10">
        <f>IF(VLOOKUP(all_lmics18[[Setting]:[Setting]],all_cause_mort[],15,FALSE)="",VLOOKUP(all_lmics18[[who_choice_region]:[who_choice_region]],missing[],19,FALSE),VLOOKUP(all_lmics18[[Setting]:[Setting]],all_cause_mort[],15,FALSE))</f>
        <v>8.9858491000000002E-3</v>
      </c>
      <c r="AB10">
        <f>IF(VLOOKUP(all_lmics18[[Setting]:[Setting]],all_cause_mort[],16,FALSE)="",VLOOKUP(all_lmics18[[who_choice_region]:[who_choice_region]],missing[],20,FALSE),VLOOKUP(all_lmics18[[Setting]:[Setting]],all_cause_mort[],16,FALSE))</f>
        <v>1.2264648E-2</v>
      </c>
      <c r="AC10">
        <f>IF(VLOOKUP(all_lmics18[[Setting]:[Setting]],all_cause_mort[],17,FALSE)="",VLOOKUP(all_lmics18[[who_choice_region]:[who_choice_region]],missing[],21,FALSE),VLOOKUP(all_lmics18[[Setting]:[Setting]],all_cause_mort[],17,FALSE))</f>
        <v>1.6624712E-2</v>
      </c>
      <c r="AD10">
        <f>IF(VLOOKUP(all_lmics18[[Setting]:[Setting]],all_cause_mort[],18,FALSE)="",VLOOKUP(all_lmics18[[who_choice_region]:[who_choice_region]],missing[],22,FALSE),VLOOKUP(all_lmics18[[Setting]:[Setting]],all_cause_mort[],18,FALSE))</f>
        <v>2.3639731000000001E-2</v>
      </c>
      <c r="AE10">
        <f>IF(VLOOKUP(all_lmics18[[Setting]:[Setting]],all_cause_mort[],19,FALSE)="",VLOOKUP(all_lmics18[[who_choice_region]:[who_choice_region]],missing[],23,FALSE),VLOOKUP(all_lmics18[[Setting]:[Setting]],all_cause_mort[],19,FALSE))</f>
        <v>3.4283037000000002E-2</v>
      </c>
      <c r="AF10">
        <f>IF(VLOOKUP(all_lmics18[[Setting]:[Setting]],all_cause_mort[],20,FALSE)="",VLOOKUP(all_lmics18[[who_choice_region]:[who_choice_region]],missing[],24,FALSE),VLOOKUP(all_lmics18[[Setting]:[Setting]],all_cause_mort[],20,FALSE))</f>
        <v>5.0834553999999997E-2</v>
      </c>
      <c r="AG10">
        <f>IF(VLOOKUP(all_lmics18[[Setting]:[Setting]],all_cause_mort[],21,FALSE)="",VLOOKUP(all_lmics18[[who_choice_region]:[who_choice_region]],missing[],25,FALSE),VLOOKUP(all_lmics18[[Setting]:[Setting]],all_cause_mort[],21,FALSE))</f>
        <v>7.5994737000000007E-2</v>
      </c>
      <c r="AH10">
        <f>IF(VLOOKUP(all_lmics18[[Setting]:[Setting]],all_cause_mort[],22,FALSE)="",VLOOKUP(all_lmics18[[who_choice_region]:[who_choice_region]],missing[],26,FALSE),VLOOKUP(all_lmics18[[Setting]:[Setting]],all_cause_mort[],22,FALSE))</f>
        <v>0.10746435999999999</v>
      </c>
      <c r="AI10">
        <f>IF(VLOOKUP(all_lmics18[[Setting]:[Setting]],all_cause_mort[],23,FALSE)="",VLOOKUP(all_lmics18[[who_choice_region]:[who_choice_region]],missing[],27,FALSE),VLOOKUP(all_lmics18[[Setting]:[Setting]],all_cause_mort[],23,FALSE))</f>
        <v>0.15106344999999999</v>
      </c>
      <c r="AJ10">
        <f>IF(VLOOKUP(all_lmics18[[Setting]:[Setting]],all_cause_mort[],24,FALSE)="",VLOOKUP(all_lmics18[[who_choice_region]:[who_choice_region]],missing[],28,FALSE),VLOOKUP(all_lmics18[[Setting]:[Setting]],all_cause_mort[],24,FALSE))</f>
        <v>0.2052021</v>
      </c>
      <c r="AK10">
        <f>IF(VLOOKUP(all_lmics18[[Setting]:[Setting]],all_cause_mort[],25,FALSE)="",VLOOKUP(all_lmics18[[who_choice_region]:[who_choice_region]],missing[],29,FALSE),VLOOKUP(all_lmics18[[Setting]:[Setting]],all_cause_mort[],25,FALSE))</f>
        <v>0.28146805858251001</v>
      </c>
      <c r="AL10">
        <f>VLOOKUP(all_lmics18[[worldbank_region]:[worldbank_region]],Table13[],2,FALSE)</f>
        <v>57.361807999999996</v>
      </c>
      <c r="AM10">
        <f>VLOOKUP(all_lmics18[[worldbank_region]:[worldbank_region]],Table13[],3,FALSE)</f>
        <v>57.361807999999996</v>
      </c>
      <c r="AN10">
        <f>VLOOKUP(all_lmics18[[worldbank_region]:[worldbank_region]],Table13[],4,FALSE)</f>
        <v>105.09066799999999</v>
      </c>
      <c r="AO10">
        <f>VLOOKUP(all_lmics18[[worldbank_region]:[worldbank_region]],Table13[],5,FALSE)</f>
        <v>105.09066799999999</v>
      </c>
      <c r="AP10">
        <f>VLOOKUP(all_lmics18[[worldbank_region]:[worldbank_region]],Table13[],6,FALSE)</f>
        <v>105.09066799999999</v>
      </c>
      <c r="AQ10">
        <f>VLOOKUP(all_lmics18[[worldbank_region]:[worldbank_region]],Table14[],2,FALSE)</f>
        <v>0.95889500000000005</v>
      </c>
      <c r="AR10">
        <f>VLOOKUP(all_lmics18[[worldbank_region]:[worldbank_region]],Table14[],3,FALSE)</f>
        <v>1.5763950000000002</v>
      </c>
      <c r="AS10">
        <f>VLOOKUP(all_lmics18[[worldbank_region]:[worldbank_region]],Table14[],4,FALSE)</f>
        <v>33.028765999999997</v>
      </c>
      <c r="AT10">
        <f>VLOOKUP(all_lmics18[[worldbank_region]:[worldbank_region]],Table14[],5,FALSE)</f>
        <v>33.646265999999997</v>
      </c>
      <c r="AU10">
        <f>VLOOKUP(all_lmics18[[worldbank_region]:[worldbank_region]],Table14[],6,FALSE)</f>
        <v>34.216518000000001</v>
      </c>
      <c r="AV10">
        <f>IFERROR(VLOOKUP(all_lmics18[[Setting]:[Setting]],nFacSBA[],4,FALSE),VLOOKUP(all_lmics18[[who_choice_region]:[who_choice_region]],missing[],30,FALSE))</f>
        <v>5.9915364219662551E-2</v>
      </c>
      <c r="AW10">
        <f>VLOOKUP(all_lmics18[[worldbank_region]:[worldbank_region]],hbe[],2)</f>
        <v>0.3</v>
      </c>
      <c r="AX10">
        <f>VLOOKUP(all_lmics18[[worldbank_region]:[worldbank_region]],hbe[],5)</f>
        <v>0.875</v>
      </c>
      <c r="AY10">
        <f>VLOOKUP(all_lmics18[[worldbank_region]:[worldbank_region]],hbe[],8)</f>
        <v>0.15</v>
      </c>
    </row>
    <row r="11" spans="1:51" x14ac:dyDescent="0.35">
      <c r="A11" s="12" t="s">
        <v>50</v>
      </c>
      <c r="B11" s="13" t="s">
        <v>22</v>
      </c>
      <c r="C11" s="14" t="s">
        <v>383</v>
      </c>
      <c r="D11">
        <f>VLOOKUP(all_lmics18[[Setting]:[Setting]],populations[],9,FALSE)</f>
        <v>209288278</v>
      </c>
      <c r="E11">
        <f>VLOOKUP(all_lmics18[[Setting]:[Setting]],birthrate[],3,FALSE)</f>
        <v>1.4163E-2</v>
      </c>
      <c r="F11">
        <f>all_lmics18[[#This Row],[2017_population]]*all_lmics18[[#This Row],[2016_birthrate]]</f>
        <v>2964149.8813140001</v>
      </c>
      <c r="G11">
        <f>VLOOKUP(all_lmics18[[Setting]:[Setting]],birthdose[],4,FALSE)</f>
        <v>0.8</v>
      </c>
      <c r="H11">
        <f>VLOOKUP(all_lmics18[[Setting]:[Setting]],fullvax[],4,FALSE)</f>
        <v>0.93</v>
      </c>
      <c r="I11">
        <f>IFERROR(VLOOKUP(all_lmics18[[Setting]:[Setting]],prev[],3,FALSE),VLOOKUP(all_lmics18[[who_choice_region]:[who_choice_region]],missing[],2,FALSE))</f>
        <v>4.0000000000000001E-3</v>
      </c>
      <c r="J11">
        <f>IFERROR(VLOOKUP(all_lmics18[[Setting]:[Setting]],prev[],4,FALSE),VLOOKUP(all_lmics18[[who_choice_region]:[who_choice_region]],missing[],3,FALSE))</f>
        <v>2E-3</v>
      </c>
      <c r="K11">
        <f>IFERROR(VLOOKUP(all_lmics18[[Setting]:[Setting]],prev[],5,FALSE),VLOOKUP(all_lmics18[[who_choice_region]:[who_choice_region]],missing[],4,FALSE))</f>
        <v>6.0000000000000001E-3</v>
      </c>
      <c r="L11">
        <f>IFERROR(VLOOKUP(all_lmics18[[Setting]:[Setting]],prev[],7,FALSE),VLOOKUP(all_lmics18[[who_choice_region]:[who_choice_region]],missing[],5,FALSE))</f>
        <v>1.0204081632653062E-3</v>
      </c>
      <c r="M11">
        <f>IFERROR(VLOOKUP(all_lmics18[[Setting]:[Setting]],prev[],6,FALSE),0)</f>
        <v>209288278</v>
      </c>
      <c r="N11">
        <f>IFERROR(VLOOKUP(all_lmics18[[Setting]:[Setting]],SBA[],4,FALSE),VLOOKUP(all_lmics18[[who_choice_region]:[who_choice_region]],missing[],6,FALSE))</f>
        <v>0.99099999999999999</v>
      </c>
      <c r="O11">
        <f>IFERROR(VLOOKUP(all_lmics18[[Setting]:[Setting]], facility[], 3,FALSE),VLOOKUP(all_lmics18[[who_choice_region]:[who_choice_region]],missing[],7,FALSE))</f>
        <v>0.99099999999999999</v>
      </c>
      <c r="P11">
        <f>IF(VLOOKUP(all_lmics18[[Setting]:[Setting]],all_cause_mort[],4,FALSE)="",VLOOKUP(all_lmics18[[who_choice_region]:[who_choice_region]],missing[],8,FALSE),VLOOKUP(all_lmics18[[Setting]:[Setting]],all_cause_mort[],4,FALSE))</f>
        <v>1.3174124000000001E-2</v>
      </c>
      <c r="Q11">
        <f>IF(VLOOKUP(all_lmics18[[Setting]:[Setting]],all_cause_mort[],5,FALSE)="",VLOOKUP(all_lmics18[[who_choice_region]:[who_choice_region]],missing[],9,FALSE),VLOOKUP(all_lmics18[[Setting]:[Setting]],all_cause_mort[],5,FALSE))</f>
        <v>5.6625385000000003E-4</v>
      </c>
      <c r="R11">
        <f>IF(VLOOKUP(all_lmics18[[Setting]:[Setting]],all_cause_mort[],6,FALSE)="",VLOOKUP(all_lmics18[[who_choice_region]:[who_choice_region]],missing[],10,FALSE),VLOOKUP(all_lmics18[[Setting]:[Setting]],all_cause_mort[],6,FALSE))</f>
        <v>2.2618363E-4</v>
      </c>
      <c r="S11">
        <f>IF(VLOOKUP(all_lmics18[[Setting]:[Setting]],all_cause_mort[],7,FALSE)="",VLOOKUP(all_lmics18[[who_choice_region]:[who_choice_region]],missing[],11,FALSE),VLOOKUP(all_lmics18[[Setting]:[Setting]],all_cause_mort[],7,FALSE))</f>
        <v>3.1079000999999998E-4</v>
      </c>
      <c r="T11">
        <f>IF(VLOOKUP(all_lmics18[[Setting]:[Setting]],all_cause_mort[],8,FALSE)="",VLOOKUP(all_lmics18[[who_choice_region]:[who_choice_region]],missing[],12,FALSE),VLOOKUP(all_lmics18[[Setting]:[Setting]],all_cause_mort[],8,FALSE))</f>
        <v>1.0859554999999999E-3</v>
      </c>
      <c r="U11">
        <f>IF(VLOOKUP(all_lmics18[[Setting]:[Setting]],all_cause_mort[],9,FALSE)="",VLOOKUP(all_lmics18[[who_choice_region]:[who_choice_region]],missing[],13,FALSE),VLOOKUP(all_lmics18[[Setting]:[Setting]],all_cause_mort[],9,FALSE))</f>
        <v>1.6530842E-3</v>
      </c>
      <c r="V11">
        <f>IF(VLOOKUP(all_lmics18[[Setting]:[Setting]],all_cause_mort[],10,FALSE)="",VLOOKUP(all_lmics18[[who_choice_region]:[who_choice_region]],missing[],14,FALSE),VLOOKUP(all_lmics18[[Setting]:[Setting]],all_cause_mort[],10,FALSE))</f>
        <v>1.580098E-3</v>
      </c>
      <c r="W11">
        <f>IF(VLOOKUP(all_lmics18[[Setting]:[Setting]],all_cause_mort[],11,FALSE)="",VLOOKUP(all_lmics18[[who_choice_region]:[who_choice_region]],missing[],15,FALSE),VLOOKUP(all_lmics18[[Setting]:[Setting]],all_cause_mort[],11,FALSE))</f>
        <v>1.8233072E-3</v>
      </c>
      <c r="X11">
        <f>IF(VLOOKUP(all_lmics18[[Setting]:[Setting]],all_cause_mort[],12,FALSE)="",VLOOKUP(all_lmics18[[who_choice_region]:[who_choice_region]],missing[],16,FALSE),VLOOKUP(all_lmics18[[Setting]:[Setting]],all_cause_mort[],12,FALSE))</f>
        <v>2.3055901000000002E-3</v>
      </c>
      <c r="Y11">
        <f>IF(VLOOKUP(all_lmics18[[Setting]:[Setting]],all_cause_mort[],13,FALSE)="",VLOOKUP(all_lmics18[[who_choice_region]:[who_choice_region]],missing[],17,FALSE),VLOOKUP(all_lmics18[[Setting]:[Setting]],all_cause_mort[],13,FALSE))</f>
        <v>2.9700159999999998E-3</v>
      </c>
      <c r="Z11">
        <f>IF(VLOOKUP(all_lmics18[[Setting]:[Setting]],all_cause_mort[],14,FALSE)="",VLOOKUP(all_lmics18[[who_choice_region]:[who_choice_region]],missing[],18,FALSE),VLOOKUP(all_lmics18[[Setting]:[Setting]],all_cause_mort[],14,FALSE))</f>
        <v>4.2972098999999996E-3</v>
      </c>
      <c r="AA11">
        <f>IF(VLOOKUP(all_lmics18[[Setting]:[Setting]],all_cause_mort[],15,FALSE)="",VLOOKUP(all_lmics18[[who_choice_region]:[who_choice_region]],missing[],19,FALSE),VLOOKUP(all_lmics18[[Setting]:[Setting]],all_cause_mort[],15,FALSE))</f>
        <v>6.1532295999999998E-3</v>
      </c>
      <c r="AB11">
        <f>IF(VLOOKUP(all_lmics18[[Setting]:[Setting]],all_cause_mort[],16,FALSE)="",VLOOKUP(all_lmics18[[who_choice_region]:[who_choice_region]],missing[],20,FALSE),VLOOKUP(all_lmics18[[Setting]:[Setting]],all_cause_mort[],16,FALSE))</f>
        <v>8.7493740000000007E-3</v>
      </c>
      <c r="AC11">
        <f>IF(VLOOKUP(all_lmics18[[Setting]:[Setting]],all_cause_mort[],17,FALSE)="",VLOOKUP(all_lmics18[[who_choice_region]:[who_choice_region]],missing[],21,FALSE),VLOOKUP(all_lmics18[[Setting]:[Setting]],all_cause_mort[],17,FALSE))</f>
        <v>1.3155154E-2</v>
      </c>
      <c r="AD11">
        <f>IF(VLOOKUP(all_lmics18[[Setting]:[Setting]],all_cause_mort[],18,FALSE)="",VLOOKUP(all_lmics18[[who_choice_region]:[who_choice_region]],missing[],22,FALSE),VLOOKUP(all_lmics18[[Setting]:[Setting]],all_cause_mort[],18,FALSE))</f>
        <v>1.9786016999999999E-2</v>
      </c>
      <c r="AE11">
        <f>IF(VLOOKUP(all_lmics18[[Setting]:[Setting]],all_cause_mort[],19,FALSE)="",VLOOKUP(all_lmics18[[who_choice_region]:[who_choice_region]],missing[],23,FALSE),VLOOKUP(all_lmics18[[Setting]:[Setting]],all_cause_mort[],19,FALSE))</f>
        <v>2.87052E-2</v>
      </c>
      <c r="AF11">
        <f>IF(VLOOKUP(all_lmics18[[Setting]:[Setting]],all_cause_mort[],20,FALSE)="",VLOOKUP(all_lmics18[[who_choice_region]:[who_choice_region]],missing[],24,FALSE),VLOOKUP(all_lmics18[[Setting]:[Setting]],all_cause_mort[],20,FALSE))</f>
        <v>4.4504811999999998E-2</v>
      </c>
      <c r="AG11">
        <f>IF(VLOOKUP(all_lmics18[[Setting]:[Setting]],all_cause_mort[],21,FALSE)="",VLOOKUP(all_lmics18[[who_choice_region]:[who_choice_region]],missing[],25,FALSE),VLOOKUP(all_lmics18[[Setting]:[Setting]],all_cause_mort[],21,FALSE))</f>
        <v>6.8069609000000003E-2</v>
      </c>
      <c r="AH11">
        <f>IF(VLOOKUP(all_lmics18[[Setting]:[Setting]],all_cause_mort[],22,FALSE)="",VLOOKUP(all_lmics18[[who_choice_region]:[who_choice_region]],missing[],26,FALSE),VLOOKUP(all_lmics18[[Setting]:[Setting]],all_cause_mort[],22,FALSE))</f>
        <v>0.10192384</v>
      </c>
      <c r="AI11">
        <f>IF(VLOOKUP(all_lmics18[[Setting]:[Setting]],all_cause_mort[],23,FALSE)="",VLOOKUP(all_lmics18[[who_choice_region]:[who_choice_region]],missing[],27,FALSE),VLOOKUP(all_lmics18[[Setting]:[Setting]],all_cause_mort[],23,FALSE))</f>
        <v>0.14772637</v>
      </c>
      <c r="AJ11">
        <f>IF(VLOOKUP(all_lmics18[[Setting]:[Setting]],all_cause_mort[],24,FALSE)="",VLOOKUP(all_lmics18[[who_choice_region]:[who_choice_region]],missing[],28,FALSE),VLOOKUP(all_lmics18[[Setting]:[Setting]],all_cause_mort[],24,FALSE))</f>
        <v>0.22369322</v>
      </c>
      <c r="AK11">
        <f>IF(VLOOKUP(all_lmics18[[Setting]:[Setting]],all_cause_mort[],25,FALSE)="",VLOOKUP(all_lmics18[[who_choice_region]:[who_choice_region]],missing[],29,FALSE),VLOOKUP(all_lmics18[[Setting]:[Setting]],all_cause_mort[],25,FALSE))</f>
        <v>0.33541437830207099</v>
      </c>
      <c r="AL11">
        <f>VLOOKUP(all_lmics18[[worldbank_region]:[worldbank_region]],Table13[],2,FALSE)</f>
        <v>86.85998699999999</v>
      </c>
      <c r="AM11">
        <f>VLOOKUP(all_lmics18[[worldbank_region]:[worldbank_region]],Table13[],3,FALSE)</f>
        <v>86.85998699999999</v>
      </c>
      <c r="AN11">
        <f>VLOOKUP(all_lmics18[[worldbank_region]:[worldbank_region]],Table13[],4,FALSE)</f>
        <v>134.58884699999999</v>
      </c>
      <c r="AO11">
        <f>VLOOKUP(all_lmics18[[worldbank_region]:[worldbank_region]],Table13[],5,FALSE)</f>
        <v>134.58884699999999</v>
      </c>
      <c r="AP11">
        <f>VLOOKUP(all_lmics18[[worldbank_region]:[worldbank_region]],Table13[],6,FALSE)</f>
        <v>134.58884699999999</v>
      </c>
      <c r="AQ11">
        <f>VLOOKUP(all_lmics18[[worldbank_region]:[worldbank_region]],Table14[],2,FALSE)</f>
        <v>1.514642</v>
      </c>
      <c r="AR11">
        <f>VLOOKUP(all_lmics18[[worldbank_region]:[worldbank_region]],Table14[],3,FALSE)</f>
        <v>2.132142</v>
      </c>
      <c r="AS11">
        <f>VLOOKUP(all_lmics18[[worldbank_region]:[worldbank_region]],Table14[],4,FALSE)</f>
        <v>1.5364360000000001</v>
      </c>
      <c r="AT11">
        <f>VLOOKUP(all_lmics18[[worldbank_region]:[worldbank_region]],Table14[],5,FALSE)</f>
        <v>2.1539359999999999</v>
      </c>
      <c r="AU11">
        <f>VLOOKUP(all_lmics18[[worldbank_region]:[worldbank_region]],Table14[],6,FALSE)</f>
        <v>2.7241879999999998</v>
      </c>
      <c r="AV11">
        <f>IFERROR(VLOOKUP(all_lmics18[[Setting]:[Setting]],nFacSBA[],4,FALSE),VLOOKUP(all_lmics18[[who_choice_region]:[who_choice_region]],missing[],30,FALSE))</f>
        <v>0.19968778666495002</v>
      </c>
      <c r="AW11">
        <f>VLOOKUP(all_lmics18[[worldbank_region]:[worldbank_region]],hbe[],2)</f>
        <v>0.3</v>
      </c>
      <c r="AX11">
        <f>VLOOKUP(all_lmics18[[worldbank_region]:[worldbank_region]],hbe[],5)</f>
        <v>0.875</v>
      </c>
      <c r="AY11">
        <f>VLOOKUP(all_lmics18[[worldbank_region]:[worldbank_region]],hbe[],8)</f>
        <v>0.15</v>
      </c>
    </row>
    <row r="12" spans="1:51" x14ac:dyDescent="0.35">
      <c r="A12" s="12" t="s">
        <v>52</v>
      </c>
      <c r="B12" s="13" t="s">
        <v>10</v>
      </c>
      <c r="C12" s="14" t="s">
        <v>11</v>
      </c>
      <c r="D12">
        <f>VLOOKUP(all_lmics18[[Setting]:[Setting]],populations[],9,FALSE)</f>
        <v>7075991</v>
      </c>
      <c r="E12">
        <f>VLOOKUP(all_lmics18[[Setting]:[Setting]],birthrate[],3,FALSE)</f>
        <v>9.1000000000000004E-3</v>
      </c>
      <c r="F12">
        <f>all_lmics18[[#This Row],[2017_population]]*all_lmics18[[#This Row],[2016_birthrate]]</f>
        <v>64391.518100000001</v>
      </c>
      <c r="G12">
        <f>VLOOKUP(all_lmics18[[Setting]:[Setting]],birthdose[],4,FALSE)</f>
        <v>0.97</v>
      </c>
      <c r="H12">
        <f>VLOOKUP(all_lmics18[[Setting]:[Setting]],fullvax[],4,FALSE)</f>
        <v>0.92</v>
      </c>
      <c r="I12">
        <f>IFERROR(VLOOKUP(all_lmics18[[Setting]:[Setting]],prev[],3,FALSE),VLOOKUP(all_lmics18[[who_choice_region]:[who_choice_region]],missing[],2,FALSE))</f>
        <v>3.2000000000000001E-2</v>
      </c>
      <c r="J12">
        <f>IFERROR(VLOOKUP(all_lmics18[[Setting]:[Setting]],prev[],4,FALSE),VLOOKUP(all_lmics18[[who_choice_region]:[who_choice_region]],missing[],3,FALSE))</f>
        <v>1.9E-2</v>
      </c>
      <c r="K12">
        <f>IFERROR(VLOOKUP(all_lmics18[[Setting]:[Setting]],prev[],5,FALSE),VLOOKUP(all_lmics18[[who_choice_region]:[who_choice_region]],missing[],4,FALSE))</f>
        <v>5.6000000000000001E-2</v>
      </c>
      <c r="L12">
        <f>IFERROR(VLOOKUP(all_lmics18[[Setting]:[Setting]],prev[],7,FALSE),VLOOKUP(all_lmics18[[who_choice_region]:[who_choice_region]],missing[],5,FALSE))</f>
        <v>1.2244897959183675E-2</v>
      </c>
      <c r="M12">
        <f>IFERROR(VLOOKUP(all_lmics18[[Setting]:[Setting]],prev[],6,FALSE),0)</f>
        <v>7075991</v>
      </c>
      <c r="N12">
        <f>IFERROR(VLOOKUP(all_lmics18[[Setting]:[Setting]],SBA[],4,FALSE),VLOOKUP(all_lmics18[[who_choice_region]:[who_choice_region]],missing[],6,FALSE))</f>
        <v>0.998</v>
      </c>
      <c r="O12">
        <f>IFERROR(VLOOKUP(all_lmics18[[Setting]:[Setting]], facility[], 3,FALSE),VLOOKUP(all_lmics18[[who_choice_region]:[who_choice_region]],missing[],7,FALSE))</f>
        <v>0.93799999999999994</v>
      </c>
      <c r="P12">
        <f>IF(VLOOKUP(all_lmics18[[Setting]:[Setting]],all_cause_mort[],4,FALSE)="",VLOOKUP(all_lmics18[[who_choice_region]:[who_choice_region]],missing[],8,FALSE),VLOOKUP(all_lmics18[[Setting]:[Setting]],all_cause_mort[],4,FALSE))</f>
        <v>6.3243541000000004E-3</v>
      </c>
      <c r="Q12">
        <f>IF(VLOOKUP(all_lmics18[[Setting]:[Setting]],all_cause_mort[],5,FALSE)="",VLOOKUP(all_lmics18[[who_choice_region]:[who_choice_region]],missing[],9,FALSE),VLOOKUP(all_lmics18[[Setting]:[Setting]],all_cause_mort[],5,FALSE))</f>
        <v>2.9440324000000001E-4</v>
      </c>
      <c r="R12">
        <f>IF(VLOOKUP(all_lmics18[[Setting]:[Setting]],all_cause_mort[],6,FALSE)="",VLOOKUP(all_lmics18[[who_choice_region]:[who_choice_region]],missing[],10,FALSE),VLOOKUP(all_lmics18[[Setting]:[Setting]],all_cause_mort[],6,FALSE))</f>
        <v>1.4204616000000001E-4</v>
      </c>
      <c r="S12">
        <f>IF(VLOOKUP(all_lmics18[[Setting]:[Setting]],all_cause_mort[],7,FALSE)="",VLOOKUP(all_lmics18[[who_choice_region]:[who_choice_region]],missing[],11,FALSE),VLOOKUP(all_lmics18[[Setting]:[Setting]],all_cause_mort[],7,FALSE))</f>
        <v>1.6843173000000001E-4</v>
      </c>
      <c r="T12">
        <f>IF(VLOOKUP(all_lmics18[[Setting]:[Setting]],all_cause_mort[],8,FALSE)="",VLOOKUP(all_lmics18[[who_choice_region]:[who_choice_region]],missing[],12,FALSE),VLOOKUP(all_lmics18[[Setting]:[Setting]],all_cause_mort[],8,FALSE))</f>
        <v>4.4165676000000001E-4</v>
      </c>
      <c r="U12">
        <f>IF(VLOOKUP(all_lmics18[[Setting]:[Setting]],all_cause_mort[],9,FALSE)="",VLOOKUP(all_lmics18[[who_choice_region]:[who_choice_region]],missing[],13,FALSE),VLOOKUP(all_lmics18[[Setting]:[Setting]],all_cause_mort[],9,FALSE))</f>
        <v>5.8318457000000005E-4</v>
      </c>
      <c r="V12">
        <f>IF(VLOOKUP(all_lmics18[[Setting]:[Setting]],all_cause_mort[],10,FALSE)="",VLOOKUP(all_lmics18[[who_choice_region]:[who_choice_region]],missing[],14,FALSE),VLOOKUP(all_lmics18[[Setting]:[Setting]],all_cause_mort[],10,FALSE))</f>
        <v>6.8126362E-4</v>
      </c>
      <c r="W12">
        <f>IF(VLOOKUP(all_lmics18[[Setting]:[Setting]],all_cause_mort[],11,FALSE)="",VLOOKUP(all_lmics18[[who_choice_region]:[who_choice_region]],missing[],15,FALSE),VLOOKUP(all_lmics18[[Setting]:[Setting]],all_cause_mort[],11,FALSE))</f>
        <v>9.7934057000000009E-4</v>
      </c>
      <c r="X12">
        <f>IF(VLOOKUP(all_lmics18[[Setting]:[Setting]],all_cause_mort[],12,FALSE)="",VLOOKUP(all_lmics18[[who_choice_region]:[who_choice_region]],missing[],16,FALSE),VLOOKUP(all_lmics18[[Setting]:[Setting]],all_cause_mort[],12,FALSE))</f>
        <v>1.4567264999999999E-3</v>
      </c>
      <c r="Y12">
        <f>IF(VLOOKUP(all_lmics18[[Setting]:[Setting]],all_cause_mort[],13,FALSE)="",VLOOKUP(all_lmics18[[who_choice_region]:[who_choice_region]],missing[],17,FALSE),VLOOKUP(all_lmics18[[Setting]:[Setting]],all_cause_mort[],13,FALSE))</f>
        <v>2.4462739E-3</v>
      </c>
      <c r="Z12">
        <f>IF(VLOOKUP(all_lmics18[[Setting]:[Setting]],all_cause_mort[],14,FALSE)="",VLOOKUP(all_lmics18[[who_choice_region]:[who_choice_region]],missing[],18,FALSE),VLOOKUP(all_lmics18[[Setting]:[Setting]],all_cause_mort[],14,FALSE))</f>
        <v>4.3520086000000003E-3</v>
      </c>
      <c r="AA12">
        <f>IF(VLOOKUP(all_lmics18[[Setting]:[Setting]],all_cause_mort[],15,FALSE)="",VLOOKUP(all_lmics18[[who_choice_region]:[who_choice_region]],missing[],19,FALSE),VLOOKUP(all_lmics18[[Setting]:[Setting]],all_cause_mort[],15,FALSE))</f>
        <v>7.1978516000000001E-3</v>
      </c>
      <c r="AB12">
        <f>IF(VLOOKUP(all_lmics18[[Setting]:[Setting]],all_cause_mort[],16,FALSE)="",VLOOKUP(all_lmics18[[who_choice_region]:[who_choice_region]],missing[],20,FALSE),VLOOKUP(all_lmics18[[Setting]:[Setting]],all_cause_mort[],16,FALSE))</f>
        <v>1.1178314999999999E-2</v>
      </c>
      <c r="AC12">
        <f>IF(VLOOKUP(all_lmics18[[Setting]:[Setting]],all_cause_mort[],17,FALSE)="",VLOOKUP(all_lmics18[[who_choice_region]:[who_choice_region]],missing[],21,FALSE),VLOOKUP(all_lmics18[[Setting]:[Setting]],all_cause_mort[],17,FALSE))</f>
        <v>1.6307233000000001E-2</v>
      </c>
      <c r="AD12">
        <f>IF(VLOOKUP(all_lmics18[[Setting]:[Setting]],all_cause_mort[],18,FALSE)="",VLOOKUP(all_lmics18[[who_choice_region]:[who_choice_region]],missing[],22,FALSE),VLOOKUP(all_lmics18[[Setting]:[Setting]],all_cause_mort[],18,FALSE))</f>
        <v>2.3210957000000001E-2</v>
      </c>
      <c r="AE12">
        <f>IF(VLOOKUP(all_lmics18[[Setting]:[Setting]],all_cause_mort[],19,FALSE)="",VLOOKUP(all_lmics18[[who_choice_region]:[who_choice_region]],missing[],23,FALSE),VLOOKUP(all_lmics18[[Setting]:[Setting]],all_cause_mort[],19,FALSE))</f>
        <v>3.3853842000000002E-2</v>
      </c>
      <c r="AF12">
        <f>IF(VLOOKUP(all_lmics18[[Setting]:[Setting]],all_cause_mort[],20,FALSE)="",VLOOKUP(all_lmics18[[who_choice_region]:[who_choice_region]],missing[],24,FALSE),VLOOKUP(all_lmics18[[Setting]:[Setting]],all_cause_mort[],20,FALSE))</f>
        <v>5.4165828999999999E-2</v>
      </c>
      <c r="AG12">
        <f>IF(VLOOKUP(all_lmics18[[Setting]:[Setting]],all_cause_mort[],21,FALSE)="",VLOOKUP(all_lmics18[[who_choice_region]:[who_choice_region]],missing[],25,FALSE),VLOOKUP(all_lmics18[[Setting]:[Setting]],all_cause_mort[],21,FALSE))</f>
        <v>9.5032077000000006E-2</v>
      </c>
      <c r="AH12">
        <f>IF(VLOOKUP(all_lmics18[[Setting]:[Setting]],all_cause_mort[],22,FALSE)="",VLOOKUP(all_lmics18[[who_choice_region]:[who_choice_region]],missing[],26,FALSE),VLOOKUP(all_lmics18[[Setting]:[Setting]],all_cause_mort[],22,FALSE))</f>
        <v>0.19775761</v>
      </c>
      <c r="AI12">
        <f>IF(VLOOKUP(all_lmics18[[Setting]:[Setting]],all_cause_mort[],23,FALSE)="",VLOOKUP(all_lmics18[[who_choice_region]:[who_choice_region]],missing[],27,FALSE),VLOOKUP(all_lmics18[[Setting]:[Setting]],all_cause_mort[],23,FALSE))</f>
        <v>0.26826402999999999</v>
      </c>
      <c r="AJ12">
        <f>IF(VLOOKUP(all_lmics18[[Setting]:[Setting]],all_cause_mort[],24,FALSE)="",VLOOKUP(all_lmics18[[who_choice_region]:[who_choice_region]],missing[],28,FALSE),VLOOKUP(all_lmics18[[Setting]:[Setting]],all_cause_mort[],24,FALSE))</f>
        <v>0.40889629999999999</v>
      </c>
      <c r="AK12">
        <f>IF(VLOOKUP(all_lmics18[[Setting]:[Setting]],all_cause_mort[],25,FALSE)="",VLOOKUP(all_lmics18[[who_choice_region]:[who_choice_region]],missing[],29,FALSE),VLOOKUP(all_lmics18[[Setting]:[Setting]],all_cause_mort[],25,FALSE))</f>
        <v>0.57599287059064497</v>
      </c>
      <c r="AL12">
        <f>VLOOKUP(all_lmics18[[worldbank_region]:[worldbank_region]],Table13[],2,FALSE)</f>
        <v>44.525141999999995</v>
      </c>
      <c r="AM12">
        <f>VLOOKUP(all_lmics18[[worldbank_region]:[worldbank_region]],Table13[],3,FALSE)</f>
        <v>44.525141999999995</v>
      </c>
      <c r="AN12">
        <f>VLOOKUP(all_lmics18[[worldbank_region]:[worldbank_region]],Table13[],4,FALSE)</f>
        <v>92.254001999999986</v>
      </c>
      <c r="AO12">
        <f>VLOOKUP(all_lmics18[[worldbank_region]:[worldbank_region]],Table13[],5,FALSE)</f>
        <v>92.254001999999986</v>
      </c>
      <c r="AP12">
        <f>VLOOKUP(all_lmics18[[worldbank_region]:[worldbank_region]],Table13[],6,FALSE)</f>
        <v>92.254001999999986</v>
      </c>
      <c r="AQ12">
        <f>VLOOKUP(all_lmics18[[worldbank_region]:[worldbank_region]],Table14[],2,FALSE)</f>
        <v>6.4182919999999992</v>
      </c>
      <c r="AR12">
        <f>VLOOKUP(all_lmics18[[worldbank_region]:[worldbank_region]],Table14[],3,FALSE)</f>
        <v>7.0357919999999998</v>
      </c>
      <c r="AS12">
        <f>VLOOKUP(all_lmics18[[worldbank_region]:[worldbank_region]],Table14[],4,FALSE)</f>
        <v>10.482872999999998</v>
      </c>
      <c r="AT12">
        <f>VLOOKUP(all_lmics18[[worldbank_region]:[worldbank_region]],Table14[],5,FALSE)</f>
        <v>11.100372999999999</v>
      </c>
      <c r="AU12">
        <f>VLOOKUP(all_lmics18[[worldbank_region]:[worldbank_region]],Table14[],6,FALSE)</f>
        <v>11.670624999999999</v>
      </c>
      <c r="AV12">
        <f>IFERROR(VLOOKUP(all_lmics18[[Setting]:[Setting]],nFacSBA[],4,FALSE),VLOOKUP(all_lmics18[[who_choice_region]:[who_choice_region]],missing[],30,FALSE))</f>
        <v>0.53357812104952496</v>
      </c>
      <c r="AW12">
        <f>VLOOKUP(all_lmics18[[worldbank_region]:[worldbank_region]],hbe[],2)</f>
        <v>0.3</v>
      </c>
      <c r="AX12">
        <f>VLOOKUP(all_lmics18[[worldbank_region]:[worldbank_region]],hbe[],5)</f>
        <v>0.875</v>
      </c>
      <c r="AY12">
        <f>VLOOKUP(all_lmics18[[worldbank_region]:[worldbank_region]],hbe[],8)</f>
        <v>0.15</v>
      </c>
    </row>
    <row r="13" spans="1:51" x14ac:dyDescent="0.35">
      <c r="A13" s="8" t="s">
        <v>55</v>
      </c>
      <c r="B13" s="10" t="s">
        <v>14</v>
      </c>
      <c r="C13" s="11" t="s">
        <v>15</v>
      </c>
      <c r="D13">
        <f>VLOOKUP(all_lmics18[[Setting]:[Setting]],populations[],9,FALSE)</f>
        <v>546388</v>
      </c>
      <c r="E13">
        <f>VLOOKUP(all_lmics18[[Setting]:[Setting]],birthrate[],3,FALSE)</f>
        <v>2.0900999999999999E-2</v>
      </c>
      <c r="F13">
        <f>all_lmics18[[#This Row],[2017_population]]*all_lmics18[[#This Row],[2016_birthrate]]</f>
        <v>11420.055587999999</v>
      </c>
      <c r="G13">
        <f>VLOOKUP(all_lmics18[[Setting]:[Setting]],birthdose[],4,FALSE)</f>
        <v>0.96</v>
      </c>
      <c r="H13">
        <f>VLOOKUP(all_lmics18[[Setting]:[Setting]],fullvax[],4,FALSE)</f>
        <v>0.97</v>
      </c>
      <c r="I13">
        <f>IFERROR(VLOOKUP(all_lmics18[[Setting]:[Setting]],prev[],3,FALSE),VLOOKUP(all_lmics18[[who_choice_region]:[who_choice_region]],missing[],2,FALSE))</f>
        <v>9.5690136475304097E-2</v>
      </c>
      <c r="J13">
        <f>IFERROR(VLOOKUP(all_lmics18[[Setting]:[Setting]],prev[],4,FALSE),VLOOKUP(all_lmics18[[who_choice_region]:[who_choice_region]],missing[],3,FALSE))</f>
        <v>8.3483655386644831E-2</v>
      </c>
      <c r="K13">
        <f>IFERROR(VLOOKUP(all_lmics18[[Setting]:[Setting]],prev[],5,FALSE),VLOOKUP(all_lmics18[[who_choice_region]:[who_choice_region]],missing[],4,FALSE))</f>
        <v>0.10963942706260829</v>
      </c>
      <c r="L13">
        <f>IFERROR(VLOOKUP(all_lmics18[[Setting]:[Setting]],prev[],7,FALSE),VLOOKUP(all_lmics18[[who_choice_region]:[who_choice_region]],missing[],5,FALSE))</f>
        <v>7.116984993522547E-3</v>
      </c>
      <c r="M13">
        <f>IFERROR(VLOOKUP(all_lmics18[[Setting]:[Setting]],prev[],6,FALSE),0)</f>
        <v>0</v>
      </c>
      <c r="N13">
        <f>IFERROR(VLOOKUP(all_lmics18[[Setting]:[Setting]],SBA[],4,FALSE),VLOOKUP(all_lmics18[[who_choice_region]:[who_choice_region]],missing[],6,FALSE))</f>
        <v>0.91400000000000003</v>
      </c>
      <c r="O13">
        <f>IFERROR(VLOOKUP(all_lmics18[[Setting]:[Setting]], facility[], 3,FALSE),VLOOKUP(all_lmics18[[who_choice_region]:[who_choice_region]],missing[],7,FALSE))</f>
        <v>0.52323844019865517</v>
      </c>
      <c r="P13">
        <f>IF(VLOOKUP(all_lmics18[[Setting]:[Setting]],all_cause_mort[],4,FALSE)="",VLOOKUP(all_lmics18[[who_choice_region]:[who_choice_region]],missing[],8,FALSE),VLOOKUP(all_lmics18[[Setting]:[Setting]],all_cause_mort[],4,FALSE))</f>
        <v>1.7153295999999998E-2</v>
      </c>
      <c r="Q13">
        <f>IF(VLOOKUP(all_lmics18[[Setting]:[Setting]],all_cause_mort[],5,FALSE)="",VLOOKUP(all_lmics18[[who_choice_region]:[who_choice_region]],missing[],9,FALSE),VLOOKUP(all_lmics18[[Setting]:[Setting]],all_cause_mort[],5,FALSE))</f>
        <v>8.8542310000000002E-4</v>
      </c>
      <c r="R13">
        <f>IF(VLOOKUP(all_lmics18[[Setting]:[Setting]],all_cause_mort[],6,FALSE)="",VLOOKUP(all_lmics18[[who_choice_region]:[who_choice_region]],missing[],10,FALSE),VLOOKUP(all_lmics18[[Setting]:[Setting]],all_cause_mort[],6,FALSE))</f>
        <v>3.6051565E-4</v>
      </c>
      <c r="S13">
        <f>IF(VLOOKUP(all_lmics18[[Setting]:[Setting]],all_cause_mort[],7,FALSE)="",VLOOKUP(all_lmics18[[who_choice_region]:[who_choice_region]],missing[],11,FALSE),VLOOKUP(all_lmics18[[Setting]:[Setting]],all_cause_mort[],7,FALSE))</f>
        <v>3.1768729999999998E-4</v>
      </c>
      <c r="T13">
        <f>IF(VLOOKUP(all_lmics18[[Setting]:[Setting]],all_cause_mort[],8,FALSE)="",VLOOKUP(all_lmics18[[who_choice_region]:[who_choice_region]],missing[],12,FALSE),VLOOKUP(all_lmics18[[Setting]:[Setting]],all_cause_mort[],8,FALSE))</f>
        <v>7.1992015999999999E-4</v>
      </c>
      <c r="U13">
        <f>IF(VLOOKUP(all_lmics18[[Setting]:[Setting]],all_cause_mort[],9,FALSE)="",VLOOKUP(all_lmics18[[who_choice_region]:[who_choice_region]],missing[],13,FALSE),VLOOKUP(all_lmics18[[Setting]:[Setting]],all_cause_mort[],9,FALSE))</f>
        <v>9.896588999999999E-4</v>
      </c>
      <c r="V13">
        <f>IF(VLOOKUP(all_lmics18[[Setting]:[Setting]],all_cause_mort[],10,FALSE)="",VLOOKUP(all_lmics18[[who_choice_region]:[who_choice_region]],missing[],14,FALSE),VLOOKUP(all_lmics18[[Setting]:[Setting]],all_cause_mort[],10,FALSE))</f>
        <v>1.0576461E-3</v>
      </c>
      <c r="W13">
        <f>IF(VLOOKUP(all_lmics18[[Setting]:[Setting]],all_cause_mort[],11,FALSE)="",VLOOKUP(all_lmics18[[who_choice_region]:[who_choice_region]],missing[],15,FALSE),VLOOKUP(all_lmics18[[Setting]:[Setting]],all_cause_mort[],11,FALSE))</f>
        <v>1.2855958999999999E-3</v>
      </c>
      <c r="X13">
        <f>IF(VLOOKUP(all_lmics18[[Setting]:[Setting]],all_cause_mort[],12,FALSE)="",VLOOKUP(all_lmics18[[who_choice_region]:[who_choice_region]],missing[],16,FALSE),VLOOKUP(all_lmics18[[Setting]:[Setting]],all_cause_mort[],12,FALSE))</f>
        <v>1.7741284E-3</v>
      </c>
      <c r="Y13">
        <f>IF(VLOOKUP(all_lmics18[[Setting]:[Setting]],all_cause_mort[],13,FALSE)="",VLOOKUP(all_lmics18[[who_choice_region]:[who_choice_region]],missing[],17,FALSE),VLOOKUP(all_lmics18[[Setting]:[Setting]],all_cause_mort[],13,FALSE))</f>
        <v>2.6482204999999999E-3</v>
      </c>
      <c r="Z13">
        <f>IF(VLOOKUP(all_lmics18[[Setting]:[Setting]],all_cause_mort[],14,FALSE)="",VLOOKUP(all_lmics18[[who_choice_region]:[who_choice_region]],missing[],18,FALSE),VLOOKUP(all_lmics18[[Setting]:[Setting]],all_cause_mort[],14,FALSE))</f>
        <v>4.1680455999999998E-3</v>
      </c>
      <c r="AA13">
        <f>IF(VLOOKUP(all_lmics18[[Setting]:[Setting]],all_cause_mort[],15,FALSE)="",VLOOKUP(all_lmics18[[who_choice_region]:[who_choice_region]],missing[],19,FALSE),VLOOKUP(all_lmics18[[Setting]:[Setting]],all_cause_mort[],15,FALSE))</f>
        <v>6.4743044999999999E-3</v>
      </c>
      <c r="AB13">
        <f>IF(VLOOKUP(all_lmics18[[Setting]:[Setting]],all_cause_mort[],16,FALSE)="",VLOOKUP(all_lmics18[[who_choice_region]:[who_choice_region]],missing[],20,FALSE),VLOOKUP(all_lmics18[[Setting]:[Setting]],all_cause_mort[],16,FALSE))</f>
        <v>1.0062336999999999E-2</v>
      </c>
      <c r="AC13">
        <f>IF(VLOOKUP(all_lmics18[[Setting]:[Setting]],all_cause_mort[],17,FALSE)="",VLOOKUP(all_lmics18[[who_choice_region]:[who_choice_region]],missing[],21,FALSE),VLOOKUP(all_lmics18[[Setting]:[Setting]],all_cause_mort[],17,FALSE))</f>
        <v>1.5953370000000001E-2</v>
      </c>
      <c r="AD13">
        <f>IF(VLOOKUP(all_lmics18[[Setting]:[Setting]],all_cause_mort[],18,FALSE)="",VLOOKUP(all_lmics18[[who_choice_region]:[who_choice_region]],missing[],22,FALSE),VLOOKUP(all_lmics18[[Setting]:[Setting]],all_cause_mort[],18,FALSE))</f>
        <v>2.5262908000000001E-2</v>
      </c>
      <c r="AE13">
        <f>IF(VLOOKUP(all_lmics18[[Setting]:[Setting]],all_cause_mort[],19,FALSE)="",VLOOKUP(all_lmics18[[who_choice_region]:[who_choice_region]],missing[],23,FALSE),VLOOKUP(all_lmics18[[Setting]:[Setting]],all_cause_mort[],19,FALSE))</f>
        <v>4.0841272999999997E-2</v>
      </c>
      <c r="AF13">
        <f>IF(VLOOKUP(all_lmics18[[Setting]:[Setting]],all_cause_mort[],20,FALSE)="",VLOOKUP(all_lmics18[[who_choice_region]:[who_choice_region]],missing[],24,FALSE),VLOOKUP(all_lmics18[[Setting]:[Setting]],all_cause_mort[],20,FALSE))</f>
        <v>6.9481919000000003E-2</v>
      </c>
      <c r="AG13">
        <f>IF(VLOOKUP(all_lmics18[[Setting]:[Setting]],all_cause_mort[],21,FALSE)="",VLOOKUP(all_lmics18[[who_choice_region]:[who_choice_region]],missing[],25,FALSE),VLOOKUP(all_lmics18[[Setting]:[Setting]],all_cause_mort[],21,FALSE))</f>
        <v>0.11467402</v>
      </c>
      <c r="AH13">
        <f>IF(VLOOKUP(all_lmics18[[Setting]:[Setting]],all_cause_mort[],22,FALSE)="",VLOOKUP(all_lmics18[[who_choice_region]:[who_choice_region]],missing[],26,FALSE),VLOOKUP(all_lmics18[[Setting]:[Setting]],all_cause_mort[],22,FALSE))</f>
        <v>0.18286848</v>
      </c>
      <c r="AI13">
        <f>IF(VLOOKUP(all_lmics18[[Setting]:[Setting]],all_cause_mort[],23,FALSE)="",VLOOKUP(all_lmics18[[who_choice_region]:[who_choice_region]],missing[],27,FALSE),VLOOKUP(all_lmics18[[Setting]:[Setting]],all_cause_mort[],23,FALSE))</f>
        <v>0.27716899</v>
      </c>
      <c r="AJ13">
        <f>IF(VLOOKUP(all_lmics18[[Setting]:[Setting]],all_cause_mort[],24,FALSE)="",VLOOKUP(all_lmics18[[who_choice_region]:[who_choice_region]],missing[],28,FALSE),VLOOKUP(all_lmics18[[Setting]:[Setting]],all_cause_mort[],24,FALSE))</f>
        <v>0.39896030999999998</v>
      </c>
      <c r="AK13">
        <f>IF(VLOOKUP(all_lmics18[[Setting]:[Setting]],all_cause_mort[],25,FALSE)="",VLOOKUP(all_lmics18[[who_choice_region]:[who_choice_region]],missing[],29,FALSE),VLOOKUP(all_lmics18[[Setting]:[Setting]],all_cause_mort[],25,FALSE))</f>
        <v>0.53980107142955502</v>
      </c>
      <c r="AL13">
        <f>VLOOKUP(all_lmics18[[worldbank_region]:[worldbank_region]],Table13[],2,FALSE)</f>
        <v>29.912264999999998</v>
      </c>
      <c r="AM13">
        <f>VLOOKUP(all_lmics18[[worldbank_region]:[worldbank_region]],Table13[],3,FALSE)</f>
        <v>29.912264999999998</v>
      </c>
      <c r="AN13">
        <f>VLOOKUP(all_lmics18[[worldbank_region]:[worldbank_region]],Table13[],4,FALSE)</f>
        <v>77.641124999999988</v>
      </c>
      <c r="AO13">
        <f>VLOOKUP(all_lmics18[[worldbank_region]:[worldbank_region]],Table13[],5,FALSE)</f>
        <v>77.641124999999988</v>
      </c>
      <c r="AP13">
        <f>VLOOKUP(all_lmics18[[worldbank_region]:[worldbank_region]],Table13[],6,FALSE)</f>
        <v>77.641124999999988</v>
      </c>
      <c r="AQ13">
        <f>VLOOKUP(all_lmics18[[worldbank_region]:[worldbank_region]],Table14[],2,FALSE)</f>
        <v>0.96979199999999999</v>
      </c>
      <c r="AR13">
        <f>VLOOKUP(all_lmics18[[worldbank_region]:[worldbank_region]],Table14[],3,FALSE)</f>
        <v>1.5872920000000001</v>
      </c>
      <c r="AS13">
        <f>VLOOKUP(all_lmics18[[worldbank_region]:[worldbank_region]],Table14[],4,FALSE)</f>
        <v>5.7971629999999994</v>
      </c>
      <c r="AT13">
        <f>VLOOKUP(all_lmics18[[worldbank_region]:[worldbank_region]],Table14[],5,FALSE)</f>
        <v>6.4146629999999991</v>
      </c>
      <c r="AU13">
        <f>VLOOKUP(all_lmics18[[worldbank_region]:[worldbank_region]],Table14[],6,FALSE)</f>
        <v>6.9849149999999991</v>
      </c>
      <c r="AV13">
        <f>IFERROR(VLOOKUP(all_lmics18[[Setting]:[Setting]],nFacSBA[],4,FALSE),VLOOKUP(all_lmics18[[who_choice_region]:[who_choice_region]],missing[],30,FALSE))</f>
        <v>6.9182077263473599E-2</v>
      </c>
      <c r="AW13">
        <f>VLOOKUP(all_lmics18[[worldbank_region]:[worldbank_region]],hbe[],2)</f>
        <v>0.3</v>
      </c>
      <c r="AX13">
        <f>VLOOKUP(all_lmics18[[worldbank_region]:[worldbank_region]],hbe[],5)</f>
        <v>0.875</v>
      </c>
      <c r="AY13">
        <f>VLOOKUP(all_lmics18[[worldbank_region]:[worldbank_region]],hbe[],8)</f>
        <v>0.15</v>
      </c>
    </row>
    <row r="14" spans="1:51" x14ac:dyDescent="0.35">
      <c r="A14" s="12" t="s">
        <v>56</v>
      </c>
      <c r="B14" s="13" t="s">
        <v>57</v>
      </c>
      <c r="C14" s="14" t="s">
        <v>58</v>
      </c>
      <c r="D14">
        <f>VLOOKUP(all_lmics18[[Setting]:[Setting]],populations[],9,FALSE)</f>
        <v>16005373</v>
      </c>
      <c r="E14">
        <f>VLOOKUP(all_lmics18[[Setting]:[Setting]],birthrate[],3,FALSE)</f>
        <v>2.3296000000000001E-2</v>
      </c>
      <c r="F14">
        <f>all_lmics18[[#This Row],[2017_population]]*all_lmics18[[#This Row],[2016_birthrate]]</f>
        <v>372861.16940800002</v>
      </c>
      <c r="G14">
        <f>VLOOKUP(all_lmics18[[Setting]:[Setting]],birthdose[],4,FALSE)</f>
        <v>0.79</v>
      </c>
      <c r="H14">
        <f>VLOOKUP(all_lmics18[[Setting]:[Setting]],fullvax[],4,FALSE)</f>
        <v>0.93</v>
      </c>
      <c r="I14">
        <f>IFERROR(VLOOKUP(all_lmics18[[Setting]:[Setting]],prev[],3,FALSE),VLOOKUP(all_lmics18[[who_choice_region]:[who_choice_region]],missing[],2,FALSE))</f>
        <v>0.03</v>
      </c>
      <c r="J14">
        <f>IFERROR(VLOOKUP(all_lmics18[[Setting]:[Setting]],prev[],4,FALSE),VLOOKUP(all_lmics18[[who_choice_region]:[who_choice_region]],missing[],3,FALSE))</f>
        <v>2.9000000000000001E-2</v>
      </c>
      <c r="K14">
        <f>IFERROR(VLOOKUP(all_lmics18[[Setting]:[Setting]],prev[],5,FALSE),VLOOKUP(all_lmics18[[who_choice_region]:[who_choice_region]],missing[],4,FALSE))</f>
        <v>5.0999999999999997E-2</v>
      </c>
      <c r="L14">
        <f>IFERROR(VLOOKUP(all_lmics18[[Setting]:[Setting]],prev[],7,FALSE),VLOOKUP(all_lmics18[[who_choice_region]:[who_choice_region]],missing[],5,FALSE))</f>
        <v>1.0714285714285713E-2</v>
      </c>
      <c r="M14">
        <f>IFERROR(VLOOKUP(all_lmics18[[Setting]:[Setting]],prev[],6,FALSE),0)</f>
        <v>16005373</v>
      </c>
      <c r="N14">
        <f>IFERROR(VLOOKUP(all_lmics18[[Setting]:[Setting]],SBA[],4,FALSE),VLOOKUP(all_lmics18[[who_choice_region]:[who_choice_region]],missing[],6,FALSE))</f>
        <v>0.89</v>
      </c>
      <c r="O14">
        <f>IFERROR(VLOOKUP(all_lmics18[[Setting]:[Setting]], facility[], 3,FALSE),VLOOKUP(all_lmics18[[who_choice_region]:[who_choice_region]],missing[],7,FALSE))</f>
        <v>0.83200000000000007</v>
      </c>
      <c r="P14">
        <f>IF(VLOOKUP(all_lmics18[[Setting]:[Setting]],all_cause_mort[],4,FALSE)="",VLOOKUP(all_lmics18[[who_choice_region]:[who_choice_region]],missing[],8,FALSE),VLOOKUP(all_lmics18[[Setting]:[Setting]],all_cause_mort[],4,FALSE))</f>
        <v>2.4319762000000002E-2</v>
      </c>
      <c r="Q14">
        <f>IF(VLOOKUP(all_lmics18[[Setting]:[Setting]],all_cause_mort[],5,FALSE)="",VLOOKUP(all_lmics18[[who_choice_region]:[who_choice_region]],missing[],9,FALSE),VLOOKUP(all_lmics18[[Setting]:[Setting]],all_cause_mort[],5,FALSE))</f>
        <v>9.7637856999999997E-4</v>
      </c>
      <c r="R14">
        <f>IF(VLOOKUP(all_lmics18[[Setting]:[Setting]],all_cause_mort[],6,FALSE)="",VLOOKUP(all_lmics18[[who_choice_region]:[who_choice_region]],missing[],10,FALSE),VLOOKUP(all_lmics18[[Setting]:[Setting]],all_cause_mort[],6,FALSE))</f>
        <v>1.6780438E-3</v>
      </c>
      <c r="S14">
        <f>IF(VLOOKUP(all_lmics18[[Setting]:[Setting]],all_cause_mort[],7,FALSE)="",VLOOKUP(all_lmics18[[who_choice_region]:[who_choice_region]],missing[],11,FALSE),VLOOKUP(all_lmics18[[Setting]:[Setting]],all_cause_mort[],7,FALSE))</f>
        <v>1.1981278000000001E-3</v>
      </c>
      <c r="T14">
        <f>IF(VLOOKUP(all_lmics18[[Setting]:[Setting]],all_cause_mort[],8,FALSE)="",VLOOKUP(all_lmics18[[who_choice_region]:[who_choice_region]],missing[],12,FALSE),VLOOKUP(all_lmics18[[Setting]:[Setting]],all_cause_mort[],8,FALSE))</f>
        <v>1.1123853999999999E-3</v>
      </c>
      <c r="U14">
        <f>IF(VLOOKUP(all_lmics18[[Setting]:[Setting]],all_cause_mort[],9,FALSE)="",VLOOKUP(all_lmics18[[who_choice_region]:[who_choice_region]],missing[],13,FALSE),VLOOKUP(all_lmics18[[Setting]:[Setting]],all_cause_mort[],9,FALSE))</f>
        <v>1.3413406000000001E-3</v>
      </c>
      <c r="V14">
        <f>IF(VLOOKUP(all_lmics18[[Setting]:[Setting]],all_cause_mort[],10,FALSE)="",VLOOKUP(all_lmics18[[who_choice_region]:[who_choice_region]],missing[],14,FALSE),VLOOKUP(all_lmics18[[Setting]:[Setting]],all_cause_mort[],10,FALSE))</f>
        <v>1.8355927000000001E-3</v>
      </c>
      <c r="W14">
        <f>IF(VLOOKUP(all_lmics18[[Setting]:[Setting]],all_cause_mort[],11,FALSE)="",VLOOKUP(all_lmics18[[who_choice_region]:[who_choice_region]],missing[],15,FALSE),VLOOKUP(all_lmics18[[Setting]:[Setting]],all_cause_mort[],11,FALSE))</f>
        <v>2.4157819E-3</v>
      </c>
      <c r="X14">
        <f>IF(VLOOKUP(all_lmics18[[Setting]:[Setting]],all_cause_mort[],12,FALSE)="",VLOOKUP(all_lmics18[[who_choice_region]:[who_choice_region]],missing[],16,FALSE),VLOOKUP(all_lmics18[[Setting]:[Setting]],all_cause_mort[],12,FALSE))</f>
        <v>3.1896906E-3</v>
      </c>
      <c r="Y14">
        <f>IF(VLOOKUP(all_lmics18[[Setting]:[Setting]],all_cause_mort[],13,FALSE)="",VLOOKUP(all_lmics18[[who_choice_region]:[who_choice_region]],missing[],17,FALSE),VLOOKUP(all_lmics18[[Setting]:[Setting]],all_cause_mort[],13,FALSE))</f>
        <v>4.1072347000000002E-3</v>
      </c>
      <c r="Z14">
        <f>IF(VLOOKUP(all_lmics18[[Setting]:[Setting]],all_cause_mort[],14,FALSE)="",VLOOKUP(all_lmics18[[who_choice_region]:[who_choice_region]],missing[],18,FALSE),VLOOKUP(all_lmics18[[Setting]:[Setting]],all_cause_mort[],14,FALSE))</f>
        <v>5.1784513000000003E-3</v>
      </c>
      <c r="AA14">
        <f>IF(VLOOKUP(all_lmics18[[Setting]:[Setting]],all_cause_mort[],15,FALSE)="",VLOOKUP(all_lmics18[[who_choice_region]:[who_choice_region]],missing[],19,FALSE),VLOOKUP(all_lmics18[[Setting]:[Setting]],all_cause_mort[],15,FALSE))</f>
        <v>6.7657211999999998E-3</v>
      </c>
      <c r="AB14">
        <f>IF(VLOOKUP(all_lmics18[[Setting]:[Setting]],all_cause_mort[],16,FALSE)="",VLOOKUP(all_lmics18[[who_choice_region]:[who_choice_region]],missing[],20,FALSE),VLOOKUP(all_lmics18[[Setting]:[Setting]],all_cause_mort[],16,FALSE))</f>
        <v>1.0511642E-2</v>
      </c>
      <c r="AC14">
        <f>IF(VLOOKUP(all_lmics18[[Setting]:[Setting]],all_cause_mort[],17,FALSE)="",VLOOKUP(all_lmics18[[who_choice_region]:[who_choice_region]],missing[],21,FALSE),VLOOKUP(all_lmics18[[Setting]:[Setting]],all_cause_mort[],17,FALSE))</f>
        <v>1.8682247999999999E-2</v>
      </c>
      <c r="AD14">
        <f>IF(VLOOKUP(all_lmics18[[Setting]:[Setting]],all_cause_mort[],18,FALSE)="",VLOOKUP(all_lmics18[[who_choice_region]:[who_choice_region]],missing[],22,FALSE),VLOOKUP(all_lmics18[[Setting]:[Setting]],all_cause_mort[],18,FALSE))</f>
        <v>2.9901993000000002E-2</v>
      </c>
      <c r="AE14">
        <f>IF(VLOOKUP(all_lmics18[[Setting]:[Setting]],all_cause_mort[],19,FALSE)="",VLOOKUP(all_lmics18[[who_choice_region]:[who_choice_region]],missing[],23,FALSE),VLOOKUP(all_lmics18[[Setting]:[Setting]],all_cause_mort[],19,FALSE))</f>
        <v>4.9674155999999997E-2</v>
      </c>
      <c r="AF14">
        <f>IF(VLOOKUP(all_lmics18[[Setting]:[Setting]],all_cause_mort[],20,FALSE)="",VLOOKUP(all_lmics18[[who_choice_region]:[who_choice_region]],missing[],24,FALSE),VLOOKUP(all_lmics18[[Setting]:[Setting]],all_cause_mort[],20,FALSE))</f>
        <v>8.1369705000000001E-2</v>
      </c>
      <c r="AG14">
        <f>IF(VLOOKUP(all_lmics18[[Setting]:[Setting]],all_cause_mort[],21,FALSE)="",VLOOKUP(all_lmics18[[who_choice_region]:[who_choice_region]],missing[],25,FALSE),VLOOKUP(all_lmics18[[Setting]:[Setting]],all_cause_mort[],21,FALSE))</f>
        <v>0.12744142</v>
      </c>
      <c r="AH14">
        <f>IF(VLOOKUP(all_lmics18[[Setting]:[Setting]],all_cause_mort[],22,FALSE)="",VLOOKUP(all_lmics18[[who_choice_region]:[who_choice_region]],missing[],26,FALSE),VLOOKUP(all_lmics18[[Setting]:[Setting]],all_cause_mort[],22,FALSE))</f>
        <v>0.19472696</v>
      </c>
      <c r="AI14">
        <f>IF(VLOOKUP(all_lmics18[[Setting]:[Setting]],all_cause_mort[],23,FALSE)="",VLOOKUP(all_lmics18[[who_choice_region]:[who_choice_region]],missing[],27,FALSE),VLOOKUP(all_lmics18[[Setting]:[Setting]],all_cause_mort[],23,FALSE))</f>
        <v>0.27745112999999999</v>
      </c>
      <c r="AJ14">
        <f>IF(VLOOKUP(all_lmics18[[Setting]:[Setting]],all_cause_mort[],24,FALSE)="",VLOOKUP(all_lmics18[[who_choice_region]:[who_choice_region]],missing[],28,FALSE),VLOOKUP(all_lmics18[[Setting]:[Setting]],all_cause_mort[],24,FALSE))</f>
        <v>0.39649795999999998</v>
      </c>
      <c r="AK14">
        <f>IF(VLOOKUP(all_lmics18[[Setting]:[Setting]],all_cause_mort[],25,FALSE)="",VLOOKUP(all_lmics18[[who_choice_region]:[who_choice_region]],missing[],29,FALSE),VLOOKUP(all_lmics18[[Setting]:[Setting]],all_cause_mort[],25,FALSE))</f>
        <v>0.55717427062823499</v>
      </c>
      <c r="AL14">
        <f>VLOOKUP(all_lmics18[[worldbank_region]:[worldbank_region]],Table13[],2,FALSE)</f>
        <v>73.064384999999987</v>
      </c>
      <c r="AM14">
        <f>VLOOKUP(all_lmics18[[worldbank_region]:[worldbank_region]],Table13[],3,FALSE)</f>
        <v>73.064384999999987</v>
      </c>
      <c r="AN14">
        <f>VLOOKUP(all_lmics18[[worldbank_region]:[worldbank_region]],Table13[],4,FALSE)</f>
        <v>120.79324499999998</v>
      </c>
      <c r="AO14">
        <f>VLOOKUP(all_lmics18[[worldbank_region]:[worldbank_region]],Table13[],5,FALSE)</f>
        <v>120.79324499999998</v>
      </c>
      <c r="AP14">
        <f>VLOOKUP(all_lmics18[[worldbank_region]:[worldbank_region]],Table13[],6,FALSE)</f>
        <v>120.79324499999998</v>
      </c>
      <c r="AQ14">
        <f>VLOOKUP(all_lmics18[[worldbank_region]:[worldbank_region]],Table14[],2,FALSE)</f>
        <v>1.34029</v>
      </c>
      <c r="AR14">
        <f>VLOOKUP(all_lmics18[[worldbank_region]:[worldbank_region]],Table14[],3,FALSE)</f>
        <v>1.9577900000000001</v>
      </c>
      <c r="AS14">
        <f>VLOOKUP(all_lmics18[[worldbank_region]:[worldbank_region]],Table14[],4,FALSE)</f>
        <v>1.9723159999999997</v>
      </c>
      <c r="AT14">
        <f>VLOOKUP(all_lmics18[[worldbank_region]:[worldbank_region]],Table14[],5,FALSE)</f>
        <v>2.5898159999999999</v>
      </c>
      <c r="AU14">
        <f>VLOOKUP(all_lmics18[[worldbank_region]:[worldbank_region]],Table14[],6,FALSE)</f>
        <v>3.1600679999999999</v>
      </c>
      <c r="AV14">
        <f>IFERROR(VLOOKUP(all_lmics18[[Setting]:[Setting]],nFacSBA[],4,FALSE),VLOOKUP(all_lmics18[[who_choice_region]:[who_choice_region]],missing[],30,FALSE))</f>
        <v>0.37568755768057466</v>
      </c>
      <c r="AW14">
        <f>VLOOKUP(all_lmics18[[worldbank_region]:[worldbank_region]],hbe[],2)</f>
        <v>0.3</v>
      </c>
      <c r="AX14">
        <f>VLOOKUP(all_lmics18[[worldbank_region]:[worldbank_region]],hbe[],5)</f>
        <v>0.875</v>
      </c>
      <c r="AY14">
        <f>VLOOKUP(all_lmics18[[worldbank_region]:[worldbank_region]],hbe[],8)</f>
        <v>0.15</v>
      </c>
    </row>
    <row r="15" spans="1:51" x14ac:dyDescent="0.35">
      <c r="A15" s="12" t="s">
        <v>65</v>
      </c>
      <c r="B15" s="13" t="s">
        <v>57</v>
      </c>
      <c r="C15" s="14" t="s">
        <v>58</v>
      </c>
      <c r="D15">
        <f>VLOOKUP(all_lmics18[[Setting]:[Setting]],populations[],9,FALSE)</f>
        <v>1386395000</v>
      </c>
      <c r="E15">
        <f>VLOOKUP(all_lmics18[[Setting]:[Setting]],birthrate[],3,FALSE)</f>
        <v>1.2E-2</v>
      </c>
      <c r="F15">
        <f>all_lmics18[[#This Row],[2017_population]]*all_lmics18[[#This Row],[2016_birthrate]]</f>
        <v>16636740</v>
      </c>
      <c r="G15">
        <f>VLOOKUP(all_lmics18[[Setting]:[Setting]],birthdose[],4,FALSE)</f>
        <v>0.96</v>
      </c>
      <c r="H15">
        <f>VLOOKUP(all_lmics18[[Setting]:[Setting]],fullvax[],4,FALSE)</f>
        <v>0.99</v>
      </c>
      <c r="I15">
        <f>IFERROR(VLOOKUP(all_lmics18[[Setting]:[Setting]],prev[],3,FALSE),VLOOKUP(all_lmics18[[who_choice_region]:[who_choice_region]],missing[],2,FALSE))</f>
        <v>6.0999999999999999E-2</v>
      </c>
      <c r="J15">
        <f>IFERROR(VLOOKUP(all_lmics18[[Setting]:[Setting]],prev[],4,FALSE),VLOOKUP(all_lmics18[[who_choice_region]:[who_choice_region]],missing[],3,FALSE))</f>
        <v>5.5E-2</v>
      </c>
      <c r="K15">
        <f>IFERROR(VLOOKUP(all_lmics18[[Setting]:[Setting]],prev[],5,FALSE),VLOOKUP(all_lmics18[[who_choice_region]:[who_choice_region]],missing[],4,FALSE))</f>
        <v>6.9000000000000006E-2</v>
      </c>
      <c r="L15">
        <f>IFERROR(VLOOKUP(all_lmics18[[Setting]:[Setting]],prev[],7,FALSE),VLOOKUP(all_lmics18[[who_choice_region]:[who_choice_region]],missing[],5,FALSE))</f>
        <v>4.0816326530612283E-3</v>
      </c>
      <c r="M15">
        <f>IFERROR(VLOOKUP(all_lmics18[[Setting]:[Setting]],prev[],6,FALSE),0)</f>
        <v>1386395000</v>
      </c>
      <c r="N15">
        <f>IFERROR(VLOOKUP(all_lmics18[[Setting]:[Setting]],SBA[],4,FALSE),VLOOKUP(all_lmics18[[who_choice_region]:[who_choice_region]],missing[],6,FALSE))</f>
        <v>0.99900000000000011</v>
      </c>
      <c r="O15">
        <f>IFERROR(VLOOKUP(all_lmics18[[Setting]:[Setting]], facility[], 3,FALSE),VLOOKUP(all_lmics18[[who_choice_region]:[who_choice_region]],missing[],7,FALSE))</f>
        <v>0.997</v>
      </c>
      <c r="P15">
        <f>IF(VLOOKUP(all_lmics18[[Setting]:[Setting]],all_cause_mort[],4,FALSE)="",VLOOKUP(all_lmics18[[who_choice_region]:[who_choice_region]],missing[],8,FALSE),VLOOKUP(all_lmics18[[Setting]:[Setting]],all_cause_mort[],4,FALSE))</f>
        <v>9.9850605000000002E-3</v>
      </c>
      <c r="Q15">
        <f>IF(VLOOKUP(all_lmics18[[Setting]:[Setting]],all_cause_mort[],5,FALSE)="",VLOOKUP(all_lmics18[[who_choice_region]:[who_choice_region]],missing[],9,FALSE),VLOOKUP(all_lmics18[[Setting]:[Setting]],all_cause_mort[],5,FALSE))</f>
        <v>4.1390468999999999E-4</v>
      </c>
      <c r="R15">
        <f>IF(VLOOKUP(all_lmics18[[Setting]:[Setting]],all_cause_mort[],6,FALSE)="",VLOOKUP(all_lmics18[[who_choice_region]:[who_choice_region]],missing[],10,FALSE),VLOOKUP(all_lmics18[[Setting]:[Setting]],all_cause_mort[],6,FALSE))</f>
        <v>3.1216753000000002E-4</v>
      </c>
      <c r="S15">
        <f>IF(VLOOKUP(all_lmics18[[Setting]:[Setting]],all_cause_mort[],7,FALSE)="",VLOOKUP(all_lmics18[[who_choice_region]:[who_choice_region]],missing[],11,FALSE),VLOOKUP(all_lmics18[[Setting]:[Setting]],all_cause_mort[],7,FALSE))</f>
        <v>2.3295459000000001E-4</v>
      </c>
      <c r="T15">
        <f>IF(VLOOKUP(all_lmics18[[Setting]:[Setting]],all_cause_mort[],8,FALSE)="",VLOOKUP(all_lmics18[[who_choice_region]:[who_choice_region]],missing[],12,FALSE),VLOOKUP(all_lmics18[[Setting]:[Setting]],all_cause_mort[],8,FALSE))</f>
        <v>3.3865475000000001E-4</v>
      </c>
      <c r="U15">
        <f>IF(VLOOKUP(all_lmics18[[Setting]:[Setting]],all_cause_mort[],9,FALSE)="",VLOOKUP(all_lmics18[[who_choice_region]:[who_choice_region]],missing[],13,FALSE),VLOOKUP(all_lmics18[[Setting]:[Setting]],all_cause_mort[],9,FALSE))</f>
        <v>4.7566581999999998E-4</v>
      </c>
      <c r="V15">
        <f>IF(VLOOKUP(all_lmics18[[Setting]:[Setting]],all_cause_mort[],10,FALSE)="",VLOOKUP(all_lmics18[[who_choice_region]:[who_choice_region]],missing[],14,FALSE),VLOOKUP(all_lmics18[[Setting]:[Setting]],all_cause_mort[],10,FALSE))</f>
        <v>6.3656341000000003E-4</v>
      </c>
      <c r="W15">
        <f>IF(VLOOKUP(all_lmics18[[Setting]:[Setting]],all_cause_mort[],11,FALSE)="",VLOOKUP(all_lmics18[[who_choice_region]:[who_choice_region]],missing[],15,FALSE),VLOOKUP(all_lmics18[[Setting]:[Setting]],all_cause_mort[],11,FALSE))</f>
        <v>8.0538109000000005E-4</v>
      </c>
      <c r="X15">
        <f>IF(VLOOKUP(all_lmics18[[Setting]:[Setting]],all_cause_mort[],12,FALSE)="",VLOOKUP(all_lmics18[[who_choice_region]:[who_choice_region]],missing[],16,FALSE),VLOOKUP(all_lmics18[[Setting]:[Setting]],all_cause_mort[],12,FALSE))</f>
        <v>1.0207529000000001E-3</v>
      </c>
      <c r="Y15">
        <f>IF(VLOOKUP(all_lmics18[[Setting]:[Setting]],all_cause_mort[],13,FALSE)="",VLOOKUP(all_lmics18[[who_choice_region]:[who_choice_region]],missing[],17,FALSE),VLOOKUP(all_lmics18[[Setting]:[Setting]],all_cause_mort[],13,FALSE))</f>
        <v>1.4465109999999999E-3</v>
      </c>
      <c r="Z15">
        <f>IF(VLOOKUP(all_lmics18[[Setting]:[Setting]],all_cause_mort[],14,FALSE)="",VLOOKUP(all_lmics18[[who_choice_region]:[who_choice_region]],missing[],18,FALSE),VLOOKUP(all_lmics18[[Setting]:[Setting]],all_cause_mort[],14,FALSE))</f>
        <v>2.1278301999999999E-3</v>
      </c>
      <c r="AA15">
        <f>IF(VLOOKUP(all_lmics18[[Setting]:[Setting]],all_cause_mort[],15,FALSE)="",VLOOKUP(all_lmics18[[who_choice_region]:[who_choice_region]],missing[],19,FALSE),VLOOKUP(all_lmics18[[Setting]:[Setting]],all_cause_mort[],15,FALSE))</f>
        <v>3.5410851999999999E-3</v>
      </c>
      <c r="AB15">
        <f>IF(VLOOKUP(all_lmics18[[Setting]:[Setting]],all_cause_mort[],16,FALSE)="",VLOOKUP(all_lmics18[[who_choice_region]:[who_choice_region]],missing[],20,FALSE),VLOOKUP(all_lmics18[[Setting]:[Setting]],all_cause_mort[],16,FALSE))</f>
        <v>5.9628336999999997E-3</v>
      </c>
      <c r="AC15">
        <f>IF(VLOOKUP(all_lmics18[[Setting]:[Setting]],all_cause_mort[],17,FALSE)="",VLOOKUP(all_lmics18[[who_choice_region]:[who_choice_region]],missing[],21,FALSE),VLOOKUP(all_lmics18[[Setting]:[Setting]],all_cause_mort[],17,FALSE))</f>
        <v>1.1234760999999999E-2</v>
      </c>
      <c r="AD15">
        <f>IF(VLOOKUP(all_lmics18[[Setting]:[Setting]],all_cause_mort[],18,FALSE)="",VLOOKUP(all_lmics18[[who_choice_region]:[who_choice_region]],missing[],22,FALSE),VLOOKUP(all_lmics18[[Setting]:[Setting]],all_cause_mort[],18,FALSE))</f>
        <v>2.0345727000000001E-2</v>
      </c>
      <c r="AE15">
        <f>IF(VLOOKUP(all_lmics18[[Setting]:[Setting]],all_cause_mort[],19,FALSE)="",VLOOKUP(all_lmics18[[who_choice_region]:[who_choice_region]],missing[],23,FALSE),VLOOKUP(all_lmics18[[Setting]:[Setting]],all_cause_mort[],19,FALSE))</f>
        <v>3.7246385999999999E-2</v>
      </c>
      <c r="AF15">
        <f>IF(VLOOKUP(all_lmics18[[Setting]:[Setting]],all_cause_mort[],20,FALSE)="",VLOOKUP(all_lmics18[[who_choice_region]:[who_choice_region]],missing[],24,FALSE),VLOOKUP(all_lmics18[[Setting]:[Setting]],all_cause_mort[],20,FALSE))</f>
        <v>6.2741248999999999E-2</v>
      </c>
      <c r="AG15">
        <f>IF(VLOOKUP(all_lmics18[[Setting]:[Setting]],all_cause_mort[],21,FALSE)="",VLOOKUP(all_lmics18[[who_choice_region]:[who_choice_region]],missing[],25,FALSE),VLOOKUP(all_lmics18[[Setting]:[Setting]],all_cause_mort[],21,FALSE))</f>
        <v>9.6177229000000003E-2</v>
      </c>
      <c r="AH15">
        <f>IF(VLOOKUP(all_lmics18[[Setting]:[Setting]],all_cause_mort[],22,FALSE)="",VLOOKUP(all_lmics18[[who_choice_region]:[who_choice_region]],missing[],26,FALSE),VLOOKUP(all_lmics18[[Setting]:[Setting]],all_cause_mort[],22,FALSE))</f>
        <v>0.14942684000000001</v>
      </c>
      <c r="AI15">
        <f>IF(VLOOKUP(all_lmics18[[Setting]:[Setting]],all_cause_mort[],23,FALSE)="",VLOOKUP(all_lmics18[[who_choice_region]:[who_choice_region]],missing[],27,FALSE),VLOOKUP(all_lmics18[[Setting]:[Setting]],all_cause_mort[],23,FALSE))</f>
        <v>0.21278585</v>
      </c>
      <c r="AJ15">
        <f>IF(VLOOKUP(all_lmics18[[Setting]:[Setting]],all_cause_mort[],24,FALSE)="",VLOOKUP(all_lmics18[[who_choice_region]:[who_choice_region]],missing[],28,FALSE),VLOOKUP(all_lmics18[[Setting]:[Setting]],all_cause_mort[],24,FALSE))</f>
        <v>0.28747664000000001</v>
      </c>
      <c r="AK15">
        <f>IF(VLOOKUP(all_lmics18[[Setting]:[Setting]],all_cause_mort[],25,FALSE)="",VLOOKUP(all_lmics18[[who_choice_region]:[who_choice_region]],missing[],29,FALSE),VLOOKUP(all_lmics18[[Setting]:[Setting]],all_cause_mort[],25,FALSE))</f>
        <v>0.34920817395763298</v>
      </c>
      <c r="AL15">
        <f>VLOOKUP(all_lmics18[[worldbank_region]:[worldbank_region]],Table13[],2,FALSE)</f>
        <v>73.064384999999987</v>
      </c>
      <c r="AM15">
        <f>VLOOKUP(all_lmics18[[worldbank_region]:[worldbank_region]],Table13[],3,FALSE)</f>
        <v>73.064384999999987</v>
      </c>
      <c r="AN15">
        <f>VLOOKUP(all_lmics18[[worldbank_region]:[worldbank_region]],Table13[],4,FALSE)</f>
        <v>120.79324499999998</v>
      </c>
      <c r="AO15">
        <f>VLOOKUP(all_lmics18[[worldbank_region]:[worldbank_region]],Table13[],5,FALSE)</f>
        <v>120.79324499999998</v>
      </c>
      <c r="AP15">
        <f>VLOOKUP(all_lmics18[[worldbank_region]:[worldbank_region]],Table13[],6,FALSE)</f>
        <v>120.79324499999998</v>
      </c>
      <c r="AQ15">
        <f>VLOOKUP(all_lmics18[[worldbank_region]:[worldbank_region]],Table14[],2,FALSE)</f>
        <v>1.34029</v>
      </c>
      <c r="AR15">
        <f>VLOOKUP(all_lmics18[[worldbank_region]:[worldbank_region]],Table14[],3,FALSE)</f>
        <v>1.9577900000000001</v>
      </c>
      <c r="AS15">
        <f>VLOOKUP(all_lmics18[[worldbank_region]:[worldbank_region]],Table14[],4,FALSE)</f>
        <v>1.9723159999999997</v>
      </c>
      <c r="AT15">
        <f>VLOOKUP(all_lmics18[[worldbank_region]:[worldbank_region]],Table14[],5,FALSE)</f>
        <v>2.5898159999999999</v>
      </c>
      <c r="AU15">
        <f>VLOOKUP(all_lmics18[[worldbank_region]:[worldbank_region]],Table14[],6,FALSE)</f>
        <v>3.1600679999999999</v>
      </c>
      <c r="AV15">
        <f>IFERROR(VLOOKUP(all_lmics18[[Setting]:[Setting]],nFacSBA[],4,FALSE),VLOOKUP(all_lmics18[[who_choice_region]:[who_choice_region]],missing[],30,FALSE))</f>
        <v>0.15985670213371023</v>
      </c>
      <c r="AW15">
        <f>VLOOKUP(all_lmics18[[worldbank_region]:[worldbank_region]],hbe[],2)</f>
        <v>0.3</v>
      </c>
      <c r="AX15">
        <f>VLOOKUP(all_lmics18[[worldbank_region]:[worldbank_region]],hbe[],5)</f>
        <v>0.875</v>
      </c>
      <c r="AY15">
        <f>VLOOKUP(all_lmics18[[worldbank_region]:[worldbank_region]],hbe[],8)</f>
        <v>0.15</v>
      </c>
    </row>
    <row r="16" spans="1:51" x14ac:dyDescent="0.35">
      <c r="A16" s="8" t="s">
        <v>66</v>
      </c>
      <c r="B16" s="10" t="s">
        <v>22</v>
      </c>
      <c r="C16" s="11" t="s">
        <v>383</v>
      </c>
      <c r="D16">
        <f>VLOOKUP(all_lmics18[[Setting]:[Setting]],populations[],9,FALSE)</f>
        <v>49065615</v>
      </c>
      <c r="E16">
        <f>VLOOKUP(all_lmics18[[Setting]:[Setting]],birthrate[],3,FALSE)</f>
        <v>1.5198E-2</v>
      </c>
      <c r="F16">
        <f>all_lmics18[[#This Row],[2017_population]]*all_lmics18[[#This Row],[2016_birthrate]]</f>
        <v>745699.21676999994</v>
      </c>
      <c r="G16">
        <f>VLOOKUP(all_lmics18[[Setting]:[Setting]],birthdose[],4,FALSE)</f>
        <v>0.81</v>
      </c>
      <c r="H16">
        <f>VLOOKUP(all_lmics18[[Setting]:[Setting]],fullvax[],4,FALSE)</f>
        <v>0.92</v>
      </c>
      <c r="I16">
        <f>IFERROR(VLOOKUP(all_lmics18[[Setting]:[Setting]],prev[],3,FALSE),VLOOKUP(all_lmics18[[who_choice_region]:[who_choice_region]],missing[],2,FALSE))</f>
        <v>3.0000000000000001E-3</v>
      </c>
      <c r="J16">
        <f>IFERROR(VLOOKUP(all_lmics18[[Setting]:[Setting]],prev[],4,FALSE),VLOOKUP(all_lmics18[[who_choice_region]:[who_choice_region]],missing[],3,FALSE))</f>
        <v>1E-3</v>
      </c>
      <c r="K16">
        <f>IFERROR(VLOOKUP(all_lmics18[[Setting]:[Setting]],prev[],5,FALSE),VLOOKUP(all_lmics18[[who_choice_region]:[who_choice_region]],missing[],4,FALSE))</f>
        <v>2.1999999999999999E-2</v>
      </c>
      <c r="L16">
        <f>IFERROR(VLOOKUP(all_lmics18[[Setting]:[Setting]],prev[],7,FALSE),VLOOKUP(all_lmics18[[who_choice_region]:[who_choice_region]],missing[],5,FALSE))</f>
        <v>9.6938775510204082E-3</v>
      </c>
      <c r="M16">
        <f>IFERROR(VLOOKUP(all_lmics18[[Setting]:[Setting]],prev[],6,FALSE),0)</f>
        <v>49065615</v>
      </c>
      <c r="N16">
        <f>IFERROR(VLOOKUP(all_lmics18[[Setting]:[Setting]],SBA[],4,FALSE),VLOOKUP(all_lmics18[[who_choice_region]:[who_choice_region]],missing[],6,FALSE))</f>
        <v>0.95900000000000007</v>
      </c>
      <c r="O16">
        <f>IFERROR(VLOOKUP(all_lmics18[[Setting]:[Setting]], facility[], 3,FALSE),VLOOKUP(all_lmics18[[who_choice_region]:[who_choice_region]],missing[],7,FALSE))</f>
        <v>0.99150000000000005</v>
      </c>
      <c r="P16">
        <f>IF(VLOOKUP(all_lmics18[[Setting]:[Setting]],all_cause_mort[],4,FALSE)="",VLOOKUP(all_lmics18[[who_choice_region]:[who_choice_region]],missing[],8,FALSE),VLOOKUP(all_lmics18[[Setting]:[Setting]],all_cause_mort[],4,FALSE))</f>
        <v>1.2785493E-2</v>
      </c>
      <c r="Q16">
        <f>IF(VLOOKUP(all_lmics18[[Setting]:[Setting]],all_cause_mort[],5,FALSE)="",VLOOKUP(all_lmics18[[who_choice_region]:[who_choice_region]],missing[],9,FALSE),VLOOKUP(all_lmics18[[Setting]:[Setting]],all_cause_mort[],5,FALSE))</f>
        <v>5.3936098E-4</v>
      </c>
      <c r="R16">
        <f>IF(VLOOKUP(all_lmics18[[Setting]:[Setting]],all_cause_mort[],6,FALSE)="",VLOOKUP(all_lmics18[[who_choice_region]:[who_choice_region]],missing[],10,FALSE),VLOOKUP(all_lmics18[[Setting]:[Setting]],all_cause_mort[],6,FALSE))</f>
        <v>4.008921E-4</v>
      </c>
      <c r="S16">
        <f>IF(VLOOKUP(all_lmics18[[Setting]:[Setting]],all_cause_mort[],7,FALSE)="",VLOOKUP(all_lmics18[[who_choice_region]:[who_choice_region]],missing[],11,FALSE),VLOOKUP(all_lmics18[[Setting]:[Setting]],all_cause_mort[],7,FALSE))</f>
        <v>3.6882031999999998E-4</v>
      </c>
      <c r="T16">
        <f>IF(VLOOKUP(all_lmics18[[Setting]:[Setting]],all_cause_mort[],8,FALSE)="",VLOOKUP(all_lmics18[[who_choice_region]:[who_choice_region]],missing[],12,FALSE),VLOOKUP(all_lmics18[[Setting]:[Setting]],all_cause_mort[],8,FALSE))</f>
        <v>9.3739728000000004E-4</v>
      </c>
      <c r="U16">
        <f>IF(VLOOKUP(all_lmics18[[Setting]:[Setting]],all_cause_mort[],9,FALSE)="",VLOOKUP(all_lmics18[[who_choice_region]:[who_choice_region]],missing[],13,FALSE),VLOOKUP(all_lmics18[[Setting]:[Setting]],all_cause_mort[],9,FALSE))</f>
        <v>1.8070988999999999E-3</v>
      </c>
      <c r="V16">
        <f>IF(VLOOKUP(all_lmics18[[Setting]:[Setting]],all_cause_mort[],10,FALSE)="",VLOOKUP(all_lmics18[[who_choice_region]:[who_choice_region]],missing[],14,FALSE),VLOOKUP(all_lmics18[[Setting]:[Setting]],all_cause_mort[],10,FALSE))</f>
        <v>1.8729634E-3</v>
      </c>
      <c r="W16">
        <f>IF(VLOOKUP(all_lmics18[[Setting]:[Setting]],all_cause_mort[],11,FALSE)="",VLOOKUP(all_lmics18[[who_choice_region]:[who_choice_region]],missing[],15,FALSE),VLOOKUP(all_lmics18[[Setting]:[Setting]],all_cause_mort[],11,FALSE))</f>
        <v>1.8339127000000001E-3</v>
      </c>
      <c r="X16">
        <f>IF(VLOOKUP(all_lmics18[[Setting]:[Setting]],all_cause_mort[],12,FALSE)="",VLOOKUP(all_lmics18[[who_choice_region]:[who_choice_region]],missing[],16,FALSE),VLOOKUP(all_lmics18[[Setting]:[Setting]],all_cause_mort[],12,FALSE))</f>
        <v>1.9983100000000001E-3</v>
      </c>
      <c r="Y16">
        <f>IF(VLOOKUP(all_lmics18[[Setting]:[Setting]],all_cause_mort[],13,FALSE)="",VLOOKUP(all_lmics18[[who_choice_region]:[who_choice_region]],missing[],17,FALSE),VLOOKUP(all_lmics18[[Setting]:[Setting]],all_cause_mort[],13,FALSE))</f>
        <v>2.2652130999999999E-3</v>
      </c>
      <c r="Z16">
        <f>IF(VLOOKUP(all_lmics18[[Setting]:[Setting]],all_cause_mort[],14,FALSE)="",VLOOKUP(all_lmics18[[who_choice_region]:[who_choice_region]],missing[],18,FALSE),VLOOKUP(all_lmics18[[Setting]:[Setting]],all_cause_mort[],14,FALSE))</f>
        <v>2.8655663E-3</v>
      </c>
      <c r="AA16">
        <f>IF(VLOOKUP(all_lmics18[[Setting]:[Setting]],all_cause_mort[],15,FALSE)="",VLOOKUP(all_lmics18[[who_choice_region]:[who_choice_region]],missing[],19,FALSE),VLOOKUP(all_lmics18[[Setting]:[Setting]],all_cause_mort[],15,FALSE))</f>
        <v>4.4212883000000003E-3</v>
      </c>
      <c r="AB16">
        <f>IF(VLOOKUP(all_lmics18[[Setting]:[Setting]],all_cause_mort[],16,FALSE)="",VLOOKUP(all_lmics18[[who_choice_region]:[who_choice_region]],missing[],20,FALSE),VLOOKUP(all_lmics18[[Setting]:[Setting]],all_cause_mort[],16,FALSE))</f>
        <v>6.6336084999999998E-3</v>
      </c>
      <c r="AC16">
        <f>IF(VLOOKUP(all_lmics18[[Setting]:[Setting]],all_cause_mort[],17,FALSE)="",VLOOKUP(all_lmics18[[who_choice_region]:[who_choice_region]],missing[],21,FALSE),VLOOKUP(all_lmics18[[Setting]:[Setting]],all_cause_mort[],17,FALSE))</f>
        <v>1.0335904999999999E-2</v>
      </c>
      <c r="AD16">
        <f>IF(VLOOKUP(all_lmics18[[Setting]:[Setting]],all_cause_mort[],18,FALSE)="",VLOOKUP(all_lmics18[[who_choice_region]:[who_choice_region]],missing[],22,FALSE),VLOOKUP(all_lmics18[[Setting]:[Setting]],all_cause_mort[],18,FALSE))</f>
        <v>1.6189671999999999E-2</v>
      </c>
      <c r="AE16">
        <f>IF(VLOOKUP(all_lmics18[[Setting]:[Setting]],all_cause_mort[],19,FALSE)="",VLOOKUP(all_lmics18[[who_choice_region]:[who_choice_region]],missing[],23,FALSE),VLOOKUP(all_lmics18[[Setting]:[Setting]],all_cause_mort[],19,FALSE))</f>
        <v>2.5265101000000002E-2</v>
      </c>
      <c r="AF16">
        <f>IF(VLOOKUP(all_lmics18[[Setting]:[Setting]],all_cause_mort[],20,FALSE)="",VLOOKUP(all_lmics18[[who_choice_region]:[who_choice_region]],missing[],24,FALSE),VLOOKUP(all_lmics18[[Setting]:[Setting]],all_cause_mort[],20,FALSE))</f>
        <v>3.9165576000000001E-2</v>
      </c>
      <c r="AG16">
        <f>IF(VLOOKUP(all_lmics18[[Setting]:[Setting]],all_cause_mort[],21,FALSE)="",VLOOKUP(all_lmics18[[who_choice_region]:[who_choice_region]],missing[],25,FALSE),VLOOKUP(all_lmics18[[Setting]:[Setting]],all_cause_mort[],21,FALSE))</f>
        <v>6.4808826E-2</v>
      </c>
      <c r="AH16">
        <f>IF(VLOOKUP(all_lmics18[[Setting]:[Setting]],all_cause_mort[],22,FALSE)="",VLOOKUP(all_lmics18[[who_choice_region]:[who_choice_region]],missing[],26,FALSE),VLOOKUP(all_lmics18[[Setting]:[Setting]],all_cause_mort[],22,FALSE))</f>
        <v>0.11303216000000001</v>
      </c>
      <c r="AI16">
        <f>IF(VLOOKUP(all_lmics18[[Setting]:[Setting]],all_cause_mort[],23,FALSE)="",VLOOKUP(all_lmics18[[who_choice_region]:[who_choice_region]],missing[],27,FALSE),VLOOKUP(all_lmics18[[Setting]:[Setting]],all_cause_mort[],23,FALSE))</f>
        <v>0.14274771999999999</v>
      </c>
      <c r="AJ16">
        <f>IF(VLOOKUP(all_lmics18[[Setting]:[Setting]],all_cause_mort[],24,FALSE)="",VLOOKUP(all_lmics18[[who_choice_region]:[who_choice_region]],missing[],28,FALSE),VLOOKUP(all_lmics18[[Setting]:[Setting]],all_cause_mort[],24,FALSE))</f>
        <v>0.27227117000000001</v>
      </c>
      <c r="AK16">
        <f>IF(VLOOKUP(all_lmics18[[Setting]:[Setting]],all_cause_mort[],25,FALSE)="",VLOOKUP(all_lmics18[[who_choice_region]:[who_choice_region]],missing[],29,FALSE),VLOOKUP(all_lmics18[[Setting]:[Setting]],all_cause_mort[],25,FALSE))</f>
        <v>0.44060019792642102</v>
      </c>
      <c r="AL16">
        <f>VLOOKUP(all_lmics18[[worldbank_region]:[worldbank_region]],Table13[],2,FALSE)</f>
        <v>86.85998699999999</v>
      </c>
      <c r="AM16">
        <f>VLOOKUP(all_lmics18[[worldbank_region]:[worldbank_region]],Table13[],3,FALSE)</f>
        <v>86.85998699999999</v>
      </c>
      <c r="AN16">
        <f>VLOOKUP(all_lmics18[[worldbank_region]:[worldbank_region]],Table13[],4,FALSE)</f>
        <v>134.58884699999999</v>
      </c>
      <c r="AO16">
        <f>VLOOKUP(all_lmics18[[worldbank_region]:[worldbank_region]],Table13[],5,FALSE)</f>
        <v>134.58884699999999</v>
      </c>
      <c r="AP16">
        <f>VLOOKUP(all_lmics18[[worldbank_region]:[worldbank_region]],Table13[],6,FALSE)</f>
        <v>134.58884699999999</v>
      </c>
      <c r="AQ16">
        <f>VLOOKUP(all_lmics18[[worldbank_region]:[worldbank_region]],Table14[],2,FALSE)</f>
        <v>1.514642</v>
      </c>
      <c r="AR16">
        <f>VLOOKUP(all_lmics18[[worldbank_region]:[worldbank_region]],Table14[],3,FALSE)</f>
        <v>2.132142</v>
      </c>
      <c r="AS16">
        <f>VLOOKUP(all_lmics18[[worldbank_region]:[worldbank_region]],Table14[],4,FALSE)</f>
        <v>1.5364360000000001</v>
      </c>
      <c r="AT16">
        <f>VLOOKUP(all_lmics18[[worldbank_region]:[worldbank_region]],Table14[],5,FALSE)</f>
        <v>2.1539359999999999</v>
      </c>
      <c r="AU16">
        <f>VLOOKUP(all_lmics18[[worldbank_region]:[worldbank_region]],Table14[],6,FALSE)</f>
        <v>2.7241879999999998</v>
      </c>
      <c r="AV16">
        <f>IFERROR(VLOOKUP(all_lmics18[[Setting]:[Setting]],nFacSBA[],4,FALSE),VLOOKUP(all_lmics18[[who_choice_region]:[who_choice_region]],missing[],30,FALSE))</f>
        <v>0.204083371647339</v>
      </c>
      <c r="AW16">
        <f>VLOOKUP(all_lmics18[[worldbank_region]:[worldbank_region]],hbe[],2)</f>
        <v>0.3</v>
      </c>
      <c r="AX16">
        <f>VLOOKUP(all_lmics18[[worldbank_region]:[worldbank_region]],hbe[],5)</f>
        <v>0.875</v>
      </c>
      <c r="AY16">
        <f>VLOOKUP(all_lmics18[[worldbank_region]:[worldbank_region]],hbe[],8)</f>
        <v>0.15</v>
      </c>
    </row>
    <row r="17" spans="1:51" x14ac:dyDescent="0.35">
      <c r="A17" s="12" t="s">
        <v>69</v>
      </c>
      <c r="B17" s="13" t="s">
        <v>57</v>
      </c>
      <c r="C17" s="14" t="s">
        <v>58</v>
      </c>
      <c r="D17">
        <f>VLOOKUP(all_lmics18[[Setting]:[Setting]],populations[],9,FALSE)</f>
        <v>17424</v>
      </c>
      <c r="E17">
        <f>VLOOKUP(all_lmics18[[Setting]:[Setting]],birthrate[],3,FALSE)</f>
        <v>1.4E-2</v>
      </c>
      <c r="F17">
        <f>all_lmics18[[#This Row],[2017_population]]*all_lmics18[[#This Row],[2016_birthrate]]</f>
        <v>243.93600000000001</v>
      </c>
      <c r="G17">
        <f>VLOOKUP(all_lmics18[[Setting]:[Setting]],birthdose[],4,FALSE)</f>
        <v>0.99</v>
      </c>
      <c r="H17">
        <f>VLOOKUP(all_lmics18[[Setting]:[Setting]],fullvax[],4,FALSE)</f>
        <v>0.99</v>
      </c>
      <c r="I17">
        <f>IFERROR(VLOOKUP(all_lmics18[[Setting]:[Setting]],prev[],3,FALSE),VLOOKUP(all_lmics18[[who_choice_region]:[who_choice_region]],missing[],2,FALSE))</f>
        <v>6.2014367393849211E-2</v>
      </c>
      <c r="J17">
        <f>IFERROR(VLOOKUP(all_lmics18[[Setting]:[Setting]],prev[],4,FALSE),VLOOKUP(all_lmics18[[who_choice_region]:[who_choice_region]],missing[],3,FALSE))</f>
        <v>5.5830551219148553E-2</v>
      </c>
      <c r="K17">
        <f>IFERROR(VLOOKUP(all_lmics18[[Setting]:[Setting]],prev[],5,FALSE),VLOOKUP(all_lmics18[[who_choice_region]:[who_choice_region]],missing[],4,FALSE))</f>
        <v>7.0881613218274672E-2</v>
      </c>
      <c r="L17">
        <f>IFERROR(VLOOKUP(all_lmics18[[Setting]:[Setting]],prev[],7,FALSE),VLOOKUP(all_lmics18[[who_choice_region]:[who_choice_region]],missing[],5,FALSE))</f>
        <v>4.5241050124619608E-3</v>
      </c>
      <c r="M17">
        <f>IFERROR(VLOOKUP(all_lmics18[[Setting]:[Setting]],prev[],6,FALSE),0)</f>
        <v>0</v>
      </c>
      <c r="N17">
        <f>IFERROR(VLOOKUP(all_lmics18[[Setting]:[Setting]],SBA[],4,FALSE),VLOOKUP(all_lmics18[[who_choice_region]:[who_choice_region]],missing[],6,FALSE))</f>
        <v>0.9998999999999999</v>
      </c>
      <c r="O17">
        <f>IFERROR(VLOOKUP(all_lmics18[[Setting]:[Setting]], facility[], 3,FALSE),VLOOKUP(all_lmics18[[who_choice_region]:[who_choice_region]],missing[],7,FALSE))</f>
        <v>0.996</v>
      </c>
      <c r="P17">
        <f>IF(VLOOKUP(all_lmics18[[Setting]:[Setting]],all_cause_mort[],4,FALSE)="",VLOOKUP(all_lmics18[[who_choice_region]:[who_choice_region]],missing[],8,FALSE),VLOOKUP(all_lmics18[[Setting]:[Setting]],all_cause_mort[],4,FALSE))</f>
        <v>1.2171532658710052E-2</v>
      </c>
      <c r="Q17">
        <f>IF(VLOOKUP(all_lmics18[[Setting]:[Setting]],all_cause_mort[],5,FALSE)="",VLOOKUP(all_lmics18[[who_choice_region]:[who_choice_region]],missing[],9,FALSE),VLOOKUP(all_lmics18[[Setting]:[Setting]],all_cause_mort[],5,FALSE))</f>
        <v>6.8368448875387184E-4</v>
      </c>
      <c r="R17">
        <f>IF(VLOOKUP(all_lmics18[[Setting]:[Setting]],all_cause_mort[],6,FALSE)="",VLOOKUP(all_lmics18[[who_choice_region]:[who_choice_region]],missing[],10,FALSE),VLOOKUP(all_lmics18[[Setting]:[Setting]],all_cause_mort[],6,FALSE))</f>
        <v>3.8826325725348779E-4</v>
      </c>
      <c r="S17">
        <f>IF(VLOOKUP(all_lmics18[[Setting]:[Setting]],all_cause_mort[],7,FALSE)="",VLOOKUP(all_lmics18[[who_choice_region]:[who_choice_region]],missing[],11,FALSE),VLOOKUP(all_lmics18[[Setting]:[Setting]],all_cause_mort[],7,FALSE))</f>
        <v>3.067218710013588E-4</v>
      </c>
      <c r="T17">
        <f>IF(VLOOKUP(all_lmics18[[Setting]:[Setting]],all_cause_mort[],8,FALSE)="",VLOOKUP(all_lmics18[[who_choice_region]:[who_choice_region]],missing[],12,FALSE),VLOOKUP(all_lmics18[[Setting]:[Setting]],all_cause_mort[],8,FALSE))</f>
        <v>4.9254866058896438E-4</v>
      </c>
      <c r="U17">
        <f>IF(VLOOKUP(all_lmics18[[Setting]:[Setting]],all_cause_mort[],9,FALSE)="",VLOOKUP(all_lmics18[[who_choice_region]:[who_choice_region]],missing[],13,FALSE),VLOOKUP(all_lmics18[[Setting]:[Setting]],all_cause_mort[],9,FALSE))</f>
        <v>6.8616198707337195E-4</v>
      </c>
      <c r="V17">
        <f>IF(VLOOKUP(all_lmics18[[Setting]:[Setting]],all_cause_mort[],10,FALSE)="",VLOOKUP(all_lmics18[[who_choice_region]:[who_choice_region]],missing[],14,FALSE),VLOOKUP(all_lmics18[[Setting]:[Setting]],all_cause_mort[],10,FALSE))</f>
        <v>8.5498135156451523E-4</v>
      </c>
      <c r="W17">
        <f>IF(VLOOKUP(all_lmics18[[Setting]:[Setting]],all_cause_mort[],11,FALSE)="",VLOOKUP(all_lmics18[[who_choice_region]:[who_choice_region]],missing[],15,FALSE),VLOOKUP(all_lmics18[[Setting]:[Setting]],all_cause_mort[],11,FALSE))</f>
        <v>1.0646977878212504E-3</v>
      </c>
      <c r="X17">
        <f>IF(VLOOKUP(all_lmics18[[Setting]:[Setting]],all_cause_mort[],12,FALSE)="",VLOOKUP(all_lmics18[[who_choice_region]:[who_choice_region]],missing[],16,FALSE),VLOOKUP(all_lmics18[[Setting]:[Setting]],all_cause_mort[],12,FALSE))</f>
        <v>1.3706185041209306E-3</v>
      </c>
      <c r="Y17">
        <f>IF(VLOOKUP(all_lmics18[[Setting]:[Setting]],all_cause_mort[],13,FALSE)="",VLOOKUP(all_lmics18[[who_choice_region]:[who_choice_region]],missing[],17,FALSE),VLOOKUP(all_lmics18[[Setting]:[Setting]],all_cause_mort[],13,FALSE))</f>
        <v>1.9338704394827476E-3</v>
      </c>
      <c r="Z17">
        <f>IF(VLOOKUP(all_lmics18[[Setting]:[Setting]],all_cause_mort[],14,FALSE)="",VLOOKUP(all_lmics18[[who_choice_region]:[who_choice_region]],missing[],18,FALSE),VLOOKUP(all_lmics18[[Setting]:[Setting]],all_cause_mort[],14,FALSE))</f>
        <v>2.8449210534799521E-3</v>
      </c>
      <c r="AA17">
        <f>IF(VLOOKUP(all_lmics18[[Setting]:[Setting]],all_cause_mort[],15,FALSE)="",VLOOKUP(all_lmics18[[who_choice_region]:[who_choice_region]],missing[],19,FALSE),VLOOKUP(all_lmics18[[Setting]:[Setting]],all_cause_mort[],15,FALSE))</f>
        <v>4.5397258475201952E-3</v>
      </c>
      <c r="AB17">
        <f>IF(VLOOKUP(all_lmics18[[Setting]:[Setting]],all_cause_mort[],16,FALSE)="",VLOOKUP(all_lmics18[[who_choice_region]:[who_choice_region]],missing[],20,FALSE),VLOOKUP(all_lmics18[[Setting]:[Setting]],all_cause_mort[],16,FALSE))</f>
        <v>7.2925005763066087E-3</v>
      </c>
      <c r="AC17">
        <f>IF(VLOOKUP(all_lmics18[[Setting]:[Setting]],all_cause_mort[],17,FALSE)="",VLOOKUP(all_lmics18[[who_choice_region]:[who_choice_region]],missing[],21,FALSE),VLOOKUP(all_lmics18[[Setting]:[Setting]],all_cause_mort[],17,FALSE))</f>
        <v>1.2430011174391166E-2</v>
      </c>
      <c r="AD17">
        <f>IF(VLOOKUP(all_lmics18[[Setting]:[Setting]],all_cause_mort[],18,FALSE)="",VLOOKUP(all_lmics18[[who_choice_region]:[who_choice_region]],missing[],22,FALSE),VLOOKUP(all_lmics18[[Setting]:[Setting]],all_cause_mort[],18,FALSE))</f>
        <v>2.1225223566410715E-2</v>
      </c>
      <c r="AE17">
        <f>IF(VLOOKUP(all_lmics18[[Setting]:[Setting]],all_cause_mort[],19,FALSE)="",VLOOKUP(all_lmics18[[who_choice_region]:[who_choice_region]],missing[],23,FALSE),VLOOKUP(all_lmics18[[Setting]:[Setting]],all_cause_mort[],19,FALSE))</f>
        <v>3.7100898613842075E-2</v>
      </c>
      <c r="AF17">
        <f>IF(VLOOKUP(all_lmics18[[Setting]:[Setting]],all_cause_mort[],20,FALSE)="",VLOOKUP(all_lmics18[[who_choice_region]:[who_choice_region]],missing[],24,FALSE),VLOOKUP(all_lmics18[[Setting]:[Setting]],all_cause_mort[],20,FALSE))</f>
        <v>6.1505862954745437E-2</v>
      </c>
      <c r="AG17">
        <f>IF(VLOOKUP(all_lmics18[[Setting]:[Setting]],all_cause_mort[],21,FALSE)="",VLOOKUP(all_lmics18[[who_choice_region]:[who_choice_region]],missing[],25,FALSE),VLOOKUP(all_lmics18[[Setting]:[Setting]],all_cause_mort[],21,FALSE))</f>
        <v>9.4870341219730828E-2</v>
      </c>
      <c r="AH17">
        <f>IF(VLOOKUP(all_lmics18[[Setting]:[Setting]],all_cause_mort[],22,FALSE)="",VLOOKUP(all_lmics18[[who_choice_region]:[who_choice_region]],missing[],26,FALSE),VLOOKUP(all_lmics18[[Setting]:[Setting]],all_cause_mort[],22,FALSE))</f>
        <v>0.14693633977770637</v>
      </c>
      <c r="AI17">
        <f>IF(VLOOKUP(all_lmics18[[Setting]:[Setting]],all_cause_mort[],23,FALSE)="",VLOOKUP(all_lmics18[[who_choice_region]:[who_choice_region]],missing[],27,FALSE),VLOOKUP(all_lmics18[[Setting]:[Setting]],all_cause_mort[],23,FALSE))</f>
        <v>0.21054250727883506</v>
      </c>
      <c r="AJ17">
        <f>IF(VLOOKUP(all_lmics18[[Setting]:[Setting]],all_cause_mort[],24,FALSE)="",VLOOKUP(all_lmics18[[who_choice_region]:[who_choice_region]],missing[],28,FALSE),VLOOKUP(all_lmics18[[Setting]:[Setting]],all_cause_mort[],24,FALSE))</f>
        <v>0.28760691487723716</v>
      </c>
      <c r="AK17">
        <f>IF(VLOOKUP(all_lmics18[[Setting]:[Setting]],all_cause_mort[],25,FALSE)="",VLOOKUP(all_lmics18[[who_choice_region]:[who_choice_region]],missing[],29,FALSE),VLOOKUP(all_lmics18[[Setting]:[Setting]],all_cause_mort[],25,FALSE))</f>
        <v>0.36209791606833291</v>
      </c>
      <c r="AL17">
        <f>VLOOKUP(all_lmics18[[worldbank_region]:[worldbank_region]],Table13[],2,FALSE)</f>
        <v>73.064384999999987</v>
      </c>
      <c r="AM17">
        <f>VLOOKUP(all_lmics18[[worldbank_region]:[worldbank_region]],Table13[],3,FALSE)</f>
        <v>73.064384999999987</v>
      </c>
      <c r="AN17">
        <f>VLOOKUP(all_lmics18[[worldbank_region]:[worldbank_region]],Table13[],4,FALSE)</f>
        <v>120.79324499999998</v>
      </c>
      <c r="AO17">
        <f>VLOOKUP(all_lmics18[[worldbank_region]:[worldbank_region]],Table13[],5,FALSE)</f>
        <v>120.79324499999998</v>
      </c>
      <c r="AP17">
        <f>VLOOKUP(all_lmics18[[worldbank_region]:[worldbank_region]],Table13[],6,FALSE)</f>
        <v>120.79324499999998</v>
      </c>
      <c r="AQ17">
        <f>VLOOKUP(all_lmics18[[worldbank_region]:[worldbank_region]],Table14[],2,FALSE)</f>
        <v>1.34029</v>
      </c>
      <c r="AR17">
        <f>VLOOKUP(all_lmics18[[worldbank_region]:[worldbank_region]],Table14[],3,FALSE)</f>
        <v>1.9577900000000001</v>
      </c>
      <c r="AS17">
        <f>VLOOKUP(all_lmics18[[worldbank_region]:[worldbank_region]],Table14[],4,FALSE)</f>
        <v>1.9723159999999997</v>
      </c>
      <c r="AT17">
        <f>VLOOKUP(all_lmics18[[worldbank_region]:[worldbank_region]],Table14[],5,FALSE)</f>
        <v>2.5898159999999999</v>
      </c>
      <c r="AU17">
        <f>VLOOKUP(all_lmics18[[worldbank_region]:[worldbank_region]],Table14[],6,FALSE)</f>
        <v>3.1600679999999999</v>
      </c>
      <c r="AV17">
        <f>IFERROR(VLOOKUP(all_lmics18[[Setting]:[Setting]],nFacSBA[],4,FALSE),VLOOKUP(all_lmics18[[who_choice_region]:[who_choice_region]],missing[],30,FALSE))</f>
        <v>0.15985670213371023</v>
      </c>
      <c r="AW17">
        <f>VLOOKUP(all_lmics18[[worldbank_region]:[worldbank_region]],hbe[],2)</f>
        <v>0.3</v>
      </c>
      <c r="AX17">
        <f>VLOOKUP(all_lmics18[[worldbank_region]:[worldbank_region]],hbe[],5)</f>
        <v>0.875</v>
      </c>
      <c r="AY17">
        <f>VLOOKUP(all_lmics18[[worldbank_region]:[worldbank_region]],hbe[],8)</f>
        <v>0.15</v>
      </c>
    </row>
    <row r="18" spans="1:51" x14ac:dyDescent="0.35">
      <c r="A18" s="8" t="s">
        <v>70</v>
      </c>
      <c r="B18" s="10" t="s">
        <v>22</v>
      </c>
      <c r="C18" s="11" t="s">
        <v>383</v>
      </c>
      <c r="D18">
        <f>VLOOKUP(all_lmics18[[Setting]:[Setting]],populations[],9,FALSE)</f>
        <v>4905769</v>
      </c>
      <c r="E18">
        <f>VLOOKUP(all_lmics18[[Setting]:[Setting]],birthrate[],3,FALSE)</f>
        <v>1.4289E-2</v>
      </c>
      <c r="F18">
        <f>all_lmics18[[#This Row],[2017_population]]*all_lmics18[[#This Row],[2016_birthrate]]</f>
        <v>70098.533240999997</v>
      </c>
      <c r="G18">
        <f>VLOOKUP(all_lmics18[[Setting]:[Setting]],birthdose[],4,FALSE)</f>
        <v>0.87</v>
      </c>
      <c r="H18">
        <f>VLOOKUP(all_lmics18[[Setting]:[Setting]],fullvax[],4,FALSE)</f>
        <v>0.97</v>
      </c>
      <c r="I18">
        <f>IFERROR(VLOOKUP(all_lmics18[[Setting]:[Setting]],prev[],3,FALSE),VLOOKUP(all_lmics18[[who_choice_region]:[who_choice_region]],missing[],2,FALSE))</f>
        <v>2E-3</v>
      </c>
      <c r="J18">
        <f>IFERROR(VLOOKUP(all_lmics18[[Setting]:[Setting]],prev[],4,FALSE),VLOOKUP(all_lmics18[[who_choice_region]:[who_choice_region]],missing[],3,FALSE))</f>
        <v>1E-3</v>
      </c>
      <c r="K18">
        <f>IFERROR(VLOOKUP(all_lmics18[[Setting]:[Setting]],prev[],5,FALSE),VLOOKUP(all_lmics18[[who_choice_region]:[who_choice_region]],missing[],4,FALSE))</f>
        <v>2E-3</v>
      </c>
      <c r="L18">
        <f>IFERROR(VLOOKUP(all_lmics18[[Setting]:[Setting]],prev[],7,FALSE),VLOOKUP(all_lmics18[[who_choice_region]:[who_choice_region]],missing[],5,FALSE))</f>
        <v>5.102040816326522E-5</v>
      </c>
      <c r="M18">
        <f>IFERROR(VLOOKUP(all_lmics18[[Setting]:[Setting]],prev[],6,FALSE),0)</f>
        <v>4905769</v>
      </c>
      <c r="N18">
        <f>IFERROR(VLOOKUP(all_lmics18[[Setting]:[Setting]],SBA[],4,FALSE),VLOOKUP(all_lmics18[[who_choice_region]:[who_choice_region]],missing[],6,FALSE))</f>
        <v>0.9</v>
      </c>
      <c r="O18">
        <f>IFERROR(VLOOKUP(all_lmics18[[Setting]:[Setting]], facility[], 3,FALSE),VLOOKUP(all_lmics18[[who_choice_region]:[who_choice_region]],missing[],7,FALSE))</f>
        <v>0.99150000000000005</v>
      </c>
      <c r="P18">
        <f>IF(VLOOKUP(all_lmics18[[Setting]:[Setting]],all_cause_mort[],4,FALSE)="",VLOOKUP(all_lmics18[[who_choice_region]:[who_choice_region]],missing[],8,FALSE),VLOOKUP(all_lmics18[[Setting]:[Setting]],all_cause_mort[],4,FALSE))</f>
        <v>7.3683300999999998E-3</v>
      </c>
      <c r="Q18">
        <f>IF(VLOOKUP(all_lmics18[[Setting]:[Setting]],all_cause_mort[],5,FALSE)="",VLOOKUP(all_lmics18[[who_choice_region]:[who_choice_region]],missing[],9,FALSE),VLOOKUP(all_lmics18[[Setting]:[Setting]],all_cause_mort[],5,FALSE))</f>
        <v>4.6194063000000002E-4</v>
      </c>
      <c r="R18">
        <f>IF(VLOOKUP(all_lmics18[[Setting]:[Setting]],all_cause_mort[],6,FALSE)="",VLOOKUP(all_lmics18[[who_choice_region]:[who_choice_region]],missing[],10,FALSE),VLOOKUP(all_lmics18[[Setting]:[Setting]],all_cause_mort[],6,FALSE))</f>
        <v>1.8927972000000001E-4</v>
      </c>
      <c r="S18">
        <f>IF(VLOOKUP(all_lmics18[[Setting]:[Setting]],all_cause_mort[],7,FALSE)="",VLOOKUP(all_lmics18[[who_choice_region]:[who_choice_region]],missing[],11,FALSE),VLOOKUP(all_lmics18[[Setting]:[Setting]],all_cause_mort[],7,FALSE))</f>
        <v>2.5247391999999998E-4</v>
      </c>
      <c r="T18">
        <f>IF(VLOOKUP(all_lmics18[[Setting]:[Setting]],all_cause_mort[],8,FALSE)="",VLOOKUP(all_lmics18[[who_choice_region]:[who_choice_region]],missing[],12,FALSE),VLOOKUP(all_lmics18[[Setting]:[Setting]],all_cause_mort[],8,FALSE))</f>
        <v>5.2234079999999999E-4</v>
      </c>
      <c r="U18">
        <f>IF(VLOOKUP(all_lmics18[[Setting]:[Setting]],all_cause_mort[],9,FALSE)="",VLOOKUP(all_lmics18[[who_choice_region]:[who_choice_region]],missing[],13,FALSE),VLOOKUP(all_lmics18[[Setting]:[Setting]],all_cause_mort[],9,FALSE))</f>
        <v>7.9235701E-4</v>
      </c>
      <c r="V18">
        <f>IF(VLOOKUP(all_lmics18[[Setting]:[Setting]],all_cause_mort[],10,FALSE)="",VLOOKUP(all_lmics18[[who_choice_region]:[who_choice_region]],missing[],14,FALSE),VLOOKUP(all_lmics18[[Setting]:[Setting]],all_cause_mort[],10,FALSE))</f>
        <v>9.2155706000000002E-4</v>
      </c>
      <c r="W18">
        <f>IF(VLOOKUP(all_lmics18[[Setting]:[Setting]],all_cause_mort[],11,FALSE)="",VLOOKUP(all_lmics18[[who_choice_region]:[who_choice_region]],missing[],15,FALSE),VLOOKUP(all_lmics18[[Setting]:[Setting]],all_cause_mort[],11,FALSE))</f>
        <v>1.0885433000000001E-3</v>
      </c>
      <c r="X18">
        <f>IF(VLOOKUP(all_lmics18[[Setting]:[Setting]],all_cause_mort[],12,FALSE)="",VLOOKUP(all_lmics18[[who_choice_region]:[who_choice_region]],missing[],16,FALSE),VLOOKUP(all_lmics18[[Setting]:[Setting]],all_cause_mort[],12,FALSE))</f>
        <v>1.3362409999999999E-3</v>
      </c>
      <c r="Y18">
        <f>IF(VLOOKUP(all_lmics18[[Setting]:[Setting]],all_cause_mort[],13,FALSE)="",VLOOKUP(all_lmics18[[who_choice_region]:[who_choice_region]],missing[],17,FALSE),VLOOKUP(all_lmics18[[Setting]:[Setting]],all_cause_mort[],13,FALSE))</f>
        <v>1.7556926999999999E-3</v>
      </c>
      <c r="Z18">
        <f>IF(VLOOKUP(all_lmics18[[Setting]:[Setting]],all_cause_mort[],14,FALSE)="",VLOOKUP(all_lmics18[[who_choice_region]:[who_choice_region]],missing[],18,FALSE),VLOOKUP(all_lmics18[[Setting]:[Setting]],all_cause_mort[],14,FALSE))</f>
        <v>2.4831569000000001E-3</v>
      </c>
      <c r="AA18">
        <f>IF(VLOOKUP(all_lmics18[[Setting]:[Setting]],all_cause_mort[],15,FALSE)="",VLOOKUP(all_lmics18[[who_choice_region]:[who_choice_region]],missing[],19,FALSE),VLOOKUP(all_lmics18[[Setting]:[Setting]],all_cause_mort[],15,FALSE))</f>
        <v>3.6503285000000002E-3</v>
      </c>
      <c r="AB18">
        <f>IF(VLOOKUP(all_lmics18[[Setting]:[Setting]],all_cause_mort[],16,FALSE)="",VLOOKUP(all_lmics18[[who_choice_region]:[who_choice_region]],missing[],20,FALSE),VLOOKUP(all_lmics18[[Setting]:[Setting]],all_cause_mort[],16,FALSE))</f>
        <v>5.5623338999999999E-3</v>
      </c>
      <c r="AC18">
        <f>IF(VLOOKUP(all_lmics18[[Setting]:[Setting]],all_cause_mort[],17,FALSE)="",VLOOKUP(all_lmics18[[who_choice_region]:[who_choice_region]],missing[],21,FALSE),VLOOKUP(all_lmics18[[Setting]:[Setting]],all_cause_mort[],17,FALSE))</f>
        <v>8.6270466000000004E-3</v>
      </c>
      <c r="AD18">
        <f>IF(VLOOKUP(all_lmics18[[Setting]:[Setting]],all_cause_mort[],18,FALSE)="",VLOOKUP(all_lmics18[[who_choice_region]:[who_choice_region]],missing[],22,FALSE),VLOOKUP(all_lmics18[[Setting]:[Setting]],all_cause_mort[],18,FALSE))</f>
        <v>1.3664987E-2</v>
      </c>
      <c r="AE18">
        <f>IF(VLOOKUP(all_lmics18[[Setting]:[Setting]],all_cause_mort[],19,FALSE)="",VLOOKUP(all_lmics18[[who_choice_region]:[who_choice_region]],missing[],23,FALSE),VLOOKUP(all_lmics18[[Setting]:[Setting]],all_cause_mort[],19,FALSE))</f>
        <v>2.1521433E-2</v>
      </c>
      <c r="AF18">
        <f>IF(VLOOKUP(all_lmics18[[Setting]:[Setting]],all_cause_mort[],20,FALSE)="",VLOOKUP(all_lmics18[[who_choice_region]:[who_choice_region]],missing[],24,FALSE),VLOOKUP(all_lmics18[[Setting]:[Setting]],all_cause_mort[],20,FALSE))</f>
        <v>3.5180303000000003E-2</v>
      </c>
      <c r="AG18">
        <f>IF(VLOOKUP(all_lmics18[[Setting]:[Setting]],all_cause_mort[],21,FALSE)="",VLOOKUP(all_lmics18[[who_choice_region]:[who_choice_region]],missing[],25,FALSE),VLOOKUP(all_lmics18[[Setting]:[Setting]],all_cause_mort[],21,FALSE))</f>
        <v>5.7461654000000001E-2</v>
      </c>
      <c r="AH18">
        <f>IF(VLOOKUP(all_lmics18[[Setting]:[Setting]],all_cause_mort[],22,FALSE)="",VLOOKUP(all_lmics18[[who_choice_region]:[who_choice_region]],missing[],26,FALSE),VLOOKUP(all_lmics18[[Setting]:[Setting]],all_cause_mort[],22,FALSE))</f>
        <v>9.2488011999999994E-2</v>
      </c>
      <c r="AI18">
        <f>IF(VLOOKUP(all_lmics18[[Setting]:[Setting]],all_cause_mort[],23,FALSE)="",VLOOKUP(all_lmics18[[who_choice_region]:[who_choice_region]],missing[],27,FALSE),VLOOKUP(all_lmics18[[Setting]:[Setting]],all_cause_mort[],23,FALSE))</f>
        <v>0.14816710999999999</v>
      </c>
      <c r="AJ18">
        <f>IF(VLOOKUP(all_lmics18[[Setting]:[Setting]],all_cause_mort[],24,FALSE)="",VLOOKUP(all_lmics18[[who_choice_region]:[who_choice_region]],missing[],28,FALSE),VLOOKUP(all_lmics18[[Setting]:[Setting]],all_cause_mort[],24,FALSE))</f>
        <v>0.23691423</v>
      </c>
      <c r="AK18">
        <f>IF(VLOOKUP(all_lmics18[[Setting]:[Setting]],all_cause_mort[],25,FALSE)="",VLOOKUP(all_lmics18[[who_choice_region]:[who_choice_region]],missing[],29,FALSE),VLOOKUP(all_lmics18[[Setting]:[Setting]],all_cause_mort[],25,FALSE))</f>
        <v>0.40364048194350599</v>
      </c>
      <c r="AL18">
        <f>VLOOKUP(all_lmics18[[worldbank_region]:[worldbank_region]],Table13[],2,FALSE)</f>
        <v>86.85998699999999</v>
      </c>
      <c r="AM18">
        <f>VLOOKUP(all_lmics18[[worldbank_region]:[worldbank_region]],Table13[],3,FALSE)</f>
        <v>86.85998699999999</v>
      </c>
      <c r="AN18">
        <f>VLOOKUP(all_lmics18[[worldbank_region]:[worldbank_region]],Table13[],4,FALSE)</f>
        <v>134.58884699999999</v>
      </c>
      <c r="AO18">
        <f>VLOOKUP(all_lmics18[[worldbank_region]:[worldbank_region]],Table13[],5,FALSE)</f>
        <v>134.58884699999999</v>
      </c>
      <c r="AP18">
        <f>VLOOKUP(all_lmics18[[worldbank_region]:[worldbank_region]],Table13[],6,FALSE)</f>
        <v>134.58884699999999</v>
      </c>
      <c r="AQ18">
        <f>VLOOKUP(all_lmics18[[worldbank_region]:[worldbank_region]],Table14[],2,FALSE)</f>
        <v>1.514642</v>
      </c>
      <c r="AR18">
        <f>VLOOKUP(all_lmics18[[worldbank_region]:[worldbank_region]],Table14[],3,FALSE)</f>
        <v>2.132142</v>
      </c>
      <c r="AS18">
        <f>VLOOKUP(all_lmics18[[worldbank_region]:[worldbank_region]],Table14[],4,FALSE)</f>
        <v>1.5364360000000001</v>
      </c>
      <c r="AT18">
        <f>VLOOKUP(all_lmics18[[worldbank_region]:[worldbank_region]],Table14[],5,FALSE)</f>
        <v>2.1539359999999999</v>
      </c>
      <c r="AU18">
        <f>VLOOKUP(all_lmics18[[worldbank_region]:[worldbank_region]],Table14[],6,FALSE)</f>
        <v>2.7241879999999998</v>
      </c>
      <c r="AV18">
        <f>IFERROR(VLOOKUP(all_lmics18[[Setting]:[Setting]],nFacSBA[],4,FALSE),VLOOKUP(all_lmics18[[who_choice_region]:[who_choice_region]],missing[],30,FALSE))</f>
        <v>0.46190298370088306</v>
      </c>
      <c r="AW18">
        <f>VLOOKUP(all_lmics18[[worldbank_region]:[worldbank_region]],hbe[],2)</f>
        <v>0.3</v>
      </c>
      <c r="AX18">
        <f>VLOOKUP(all_lmics18[[worldbank_region]:[worldbank_region]],hbe[],5)</f>
        <v>0.875</v>
      </c>
      <c r="AY18">
        <f>VLOOKUP(all_lmics18[[worldbank_region]:[worldbank_region]],hbe[],8)</f>
        <v>0.15</v>
      </c>
    </row>
    <row r="19" spans="1:51" x14ac:dyDescent="0.35">
      <c r="A19" s="8" t="s">
        <v>76</v>
      </c>
      <c r="B19" s="10" t="s">
        <v>36</v>
      </c>
      <c r="C19" s="11" t="s">
        <v>37</v>
      </c>
      <c r="D19">
        <f>VLOOKUP(all_lmics18[[Setting]:[Setting]],populations[],9,FALSE)</f>
        <v>25490965</v>
      </c>
      <c r="E19">
        <f>VLOOKUP(all_lmics18[[Setting]:[Setting]],birthrate[],3,FALSE)</f>
        <v>1.3833999999999999E-2</v>
      </c>
      <c r="F19">
        <f>all_lmics18[[#This Row],[2017_population]]*all_lmics18[[#This Row],[2016_birthrate]]</f>
        <v>352642.00980999996</v>
      </c>
      <c r="G19">
        <f>VLOOKUP(all_lmics18[[Setting]:[Setting]],birthdose[],4,FALSE)</f>
        <v>0.98</v>
      </c>
      <c r="H19">
        <f>VLOOKUP(all_lmics18[[Setting]:[Setting]],fullvax[],4,FALSE)</f>
        <v>0.97</v>
      </c>
      <c r="I19">
        <f>IFERROR(VLOOKUP(all_lmics18[[Setting]:[Setting]],prev[],3,FALSE),VLOOKUP(all_lmics18[[who_choice_region]:[who_choice_region]],missing[],2,FALSE))</f>
        <v>2.9042976123168401E-2</v>
      </c>
      <c r="J19">
        <f>IFERROR(VLOOKUP(all_lmics18[[Setting]:[Setting]],prev[],4,FALSE),VLOOKUP(all_lmics18[[who_choice_region]:[who_choice_region]],missing[],3,FALSE))</f>
        <v>2.3703460291678725E-2</v>
      </c>
      <c r="K19">
        <f>IFERROR(VLOOKUP(all_lmics18[[Setting]:[Setting]],prev[],5,FALSE),VLOOKUP(all_lmics18[[who_choice_region]:[who_choice_region]],missing[],4,FALSE))</f>
        <v>3.2561757047722864E-2</v>
      </c>
      <c r="L19">
        <f>IFERROR(VLOOKUP(all_lmics18[[Setting]:[Setting]],prev[],7,FALSE),VLOOKUP(all_lmics18[[who_choice_region]:[who_choice_region]],missing[],5,FALSE))</f>
        <v>1.7952963900788081E-3</v>
      </c>
      <c r="M19">
        <f>IFERROR(VLOOKUP(all_lmics18[[Setting]:[Setting]],prev[],6,FALSE),0)</f>
        <v>0</v>
      </c>
      <c r="N19">
        <f>IFERROR(VLOOKUP(all_lmics18[[Setting]:[Setting]],SBA[],4,FALSE),VLOOKUP(all_lmics18[[who_choice_region]:[who_choice_region]],missing[],6,FALSE))</f>
        <v>0.9998999999999999</v>
      </c>
      <c r="O19">
        <f>IFERROR(VLOOKUP(all_lmics18[[Setting]:[Setting]], facility[], 3,FALSE),VLOOKUP(all_lmics18[[who_choice_region]:[who_choice_region]],missing[],7,FALSE))</f>
        <v>0.94700000000000006</v>
      </c>
      <c r="P19">
        <f>IF(VLOOKUP(all_lmics18[[Setting]:[Setting]],all_cause_mort[],4,FALSE)="",VLOOKUP(all_lmics18[[who_choice_region]:[who_choice_region]],missing[],8,FALSE),VLOOKUP(all_lmics18[[Setting]:[Setting]],all_cause_mort[],4,FALSE))</f>
        <v>1.4077131E-2</v>
      </c>
      <c r="Q19">
        <f>IF(VLOOKUP(all_lmics18[[Setting]:[Setting]],all_cause_mort[],5,FALSE)="",VLOOKUP(all_lmics18[[who_choice_region]:[who_choice_region]],missing[],9,FALSE),VLOOKUP(all_lmics18[[Setting]:[Setting]],all_cause_mort[],5,FALSE))</f>
        <v>1.1558249E-3</v>
      </c>
      <c r="R19">
        <f>IF(VLOOKUP(all_lmics18[[Setting]:[Setting]],all_cause_mort[],6,FALSE)="",VLOOKUP(all_lmics18[[who_choice_region]:[who_choice_region]],missing[],10,FALSE),VLOOKUP(all_lmics18[[Setting]:[Setting]],all_cause_mort[],6,FALSE))</f>
        <v>6.4578214999999996E-4</v>
      </c>
      <c r="S19">
        <f>IF(VLOOKUP(all_lmics18[[Setting]:[Setting]],all_cause_mort[],7,FALSE)="",VLOOKUP(all_lmics18[[who_choice_region]:[who_choice_region]],missing[],11,FALSE),VLOOKUP(all_lmics18[[Setting]:[Setting]],all_cause_mort[],7,FALSE))</f>
        <v>5.9978897E-4</v>
      </c>
      <c r="T19">
        <f>IF(VLOOKUP(all_lmics18[[Setting]:[Setting]],all_cause_mort[],8,FALSE)="",VLOOKUP(all_lmics18[[who_choice_region]:[who_choice_region]],missing[],12,FALSE),VLOOKUP(all_lmics18[[Setting]:[Setting]],all_cause_mort[],8,FALSE))</f>
        <v>8.6667321000000002E-4</v>
      </c>
      <c r="U19">
        <f>IF(VLOOKUP(all_lmics18[[Setting]:[Setting]],all_cause_mort[],9,FALSE)="",VLOOKUP(all_lmics18[[who_choice_region]:[who_choice_region]],missing[],13,FALSE),VLOOKUP(all_lmics18[[Setting]:[Setting]],all_cause_mort[],9,FALSE))</f>
        <v>1.2440407999999999E-3</v>
      </c>
      <c r="V19">
        <f>IF(VLOOKUP(all_lmics18[[Setting]:[Setting]],all_cause_mort[],10,FALSE)="",VLOOKUP(all_lmics18[[who_choice_region]:[who_choice_region]],missing[],14,FALSE),VLOOKUP(all_lmics18[[Setting]:[Setting]],all_cause_mort[],10,FALSE))</f>
        <v>1.5454567E-3</v>
      </c>
      <c r="W19">
        <f>IF(VLOOKUP(all_lmics18[[Setting]:[Setting]],all_cause_mort[],11,FALSE)="",VLOOKUP(all_lmics18[[who_choice_region]:[who_choice_region]],missing[],15,FALSE),VLOOKUP(all_lmics18[[Setting]:[Setting]],all_cause_mort[],11,FALSE))</f>
        <v>1.7561924000000001E-3</v>
      </c>
      <c r="X19">
        <f>IF(VLOOKUP(all_lmics18[[Setting]:[Setting]],all_cause_mort[],12,FALSE)="",VLOOKUP(all_lmics18[[who_choice_region]:[who_choice_region]],missing[],16,FALSE),VLOOKUP(all_lmics18[[Setting]:[Setting]],all_cause_mort[],12,FALSE))</f>
        <v>2.0263629000000002E-3</v>
      </c>
      <c r="Y19">
        <f>IF(VLOOKUP(all_lmics18[[Setting]:[Setting]],all_cause_mort[],13,FALSE)="",VLOOKUP(all_lmics18[[who_choice_region]:[who_choice_region]],missing[],17,FALSE),VLOOKUP(all_lmics18[[Setting]:[Setting]],all_cause_mort[],13,FALSE))</f>
        <v>2.4639854999999999E-3</v>
      </c>
      <c r="Z19">
        <f>IF(VLOOKUP(all_lmics18[[Setting]:[Setting]],all_cause_mort[],14,FALSE)="",VLOOKUP(all_lmics18[[who_choice_region]:[who_choice_region]],missing[],18,FALSE),VLOOKUP(all_lmics18[[Setting]:[Setting]],all_cause_mort[],14,FALSE))</f>
        <v>3.3698216E-3</v>
      </c>
      <c r="AA19">
        <f>IF(VLOOKUP(all_lmics18[[Setting]:[Setting]],all_cause_mort[],15,FALSE)="",VLOOKUP(all_lmics18[[who_choice_region]:[who_choice_region]],missing[],19,FALSE),VLOOKUP(all_lmics18[[Setting]:[Setting]],all_cause_mort[],15,FALSE))</f>
        <v>4.8507804E-3</v>
      </c>
      <c r="AB19">
        <f>IF(VLOOKUP(all_lmics18[[Setting]:[Setting]],all_cause_mort[],16,FALSE)="",VLOOKUP(all_lmics18[[who_choice_region]:[who_choice_region]],missing[],20,FALSE),VLOOKUP(all_lmics18[[Setting]:[Setting]],all_cause_mort[],16,FALSE))</f>
        <v>9.8938485E-3</v>
      </c>
      <c r="AC19">
        <f>IF(VLOOKUP(all_lmics18[[Setting]:[Setting]],all_cause_mort[],17,FALSE)="",VLOOKUP(all_lmics18[[who_choice_region]:[who_choice_region]],missing[],21,FALSE),VLOOKUP(all_lmics18[[Setting]:[Setting]],all_cause_mort[],17,FALSE))</f>
        <v>2.0747373E-2</v>
      </c>
      <c r="AD19">
        <f>IF(VLOOKUP(all_lmics18[[Setting]:[Setting]],all_cause_mort[],18,FALSE)="",VLOOKUP(all_lmics18[[who_choice_region]:[who_choice_region]],missing[],22,FALSE),VLOOKUP(all_lmics18[[Setting]:[Setting]],all_cause_mort[],18,FALSE))</f>
        <v>3.1019004999999999E-2</v>
      </c>
      <c r="AE19">
        <f>IF(VLOOKUP(all_lmics18[[Setting]:[Setting]],all_cause_mort[],19,FALSE)="",VLOOKUP(all_lmics18[[who_choice_region]:[who_choice_region]],missing[],23,FALSE),VLOOKUP(all_lmics18[[Setting]:[Setting]],all_cause_mort[],19,FALSE))</f>
        <v>4.4843174E-2</v>
      </c>
      <c r="AF19">
        <f>IF(VLOOKUP(all_lmics18[[Setting]:[Setting]],all_cause_mort[],20,FALSE)="",VLOOKUP(all_lmics18[[who_choice_region]:[who_choice_region]],missing[],24,FALSE),VLOOKUP(all_lmics18[[Setting]:[Setting]],all_cause_mort[],20,FALSE))</f>
        <v>7.4614017000000005E-2</v>
      </c>
      <c r="AG19">
        <f>IF(VLOOKUP(all_lmics18[[Setting]:[Setting]],all_cause_mort[],21,FALSE)="",VLOOKUP(all_lmics18[[who_choice_region]:[who_choice_region]],missing[],25,FALSE),VLOOKUP(all_lmics18[[Setting]:[Setting]],all_cause_mort[],21,FALSE))</f>
        <v>0.11366689000000001</v>
      </c>
      <c r="AH19">
        <f>IF(VLOOKUP(all_lmics18[[Setting]:[Setting]],all_cause_mort[],22,FALSE)="",VLOOKUP(all_lmics18[[who_choice_region]:[who_choice_region]],missing[],26,FALSE),VLOOKUP(all_lmics18[[Setting]:[Setting]],all_cause_mort[],22,FALSE))</f>
        <v>0.17434906999999999</v>
      </c>
      <c r="AI19">
        <f>IF(VLOOKUP(all_lmics18[[Setting]:[Setting]],all_cause_mort[],23,FALSE)="",VLOOKUP(all_lmics18[[who_choice_region]:[who_choice_region]],missing[],27,FALSE),VLOOKUP(all_lmics18[[Setting]:[Setting]],all_cause_mort[],23,FALSE))</f>
        <v>0.25984231000000002</v>
      </c>
      <c r="AJ19">
        <f>IF(VLOOKUP(all_lmics18[[Setting]:[Setting]],all_cause_mort[],24,FALSE)="",VLOOKUP(all_lmics18[[who_choice_region]:[who_choice_region]],missing[],28,FALSE),VLOOKUP(all_lmics18[[Setting]:[Setting]],all_cause_mort[],24,FALSE))</f>
        <v>0.35983158999999998</v>
      </c>
      <c r="AK19">
        <f>IF(VLOOKUP(all_lmics18[[Setting]:[Setting]],all_cause_mort[],25,FALSE)="",VLOOKUP(all_lmics18[[who_choice_region]:[who_choice_region]],missing[],29,FALSE),VLOOKUP(all_lmics18[[Setting]:[Setting]],all_cause_mort[],25,FALSE))</f>
        <v>0.50544587604687996</v>
      </c>
      <c r="AL19">
        <f>VLOOKUP(all_lmics18[[worldbank_region]:[worldbank_region]],Table13[],2,FALSE)</f>
        <v>57.361807999999996</v>
      </c>
      <c r="AM19">
        <f>VLOOKUP(all_lmics18[[worldbank_region]:[worldbank_region]],Table13[],3,FALSE)</f>
        <v>57.361807999999996</v>
      </c>
      <c r="AN19">
        <f>VLOOKUP(all_lmics18[[worldbank_region]:[worldbank_region]],Table13[],4,FALSE)</f>
        <v>105.09066799999999</v>
      </c>
      <c r="AO19">
        <f>VLOOKUP(all_lmics18[[worldbank_region]:[worldbank_region]],Table13[],5,FALSE)</f>
        <v>105.09066799999999</v>
      </c>
      <c r="AP19">
        <f>VLOOKUP(all_lmics18[[worldbank_region]:[worldbank_region]],Table13[],6,FALSE)</f>
        <v>105.09066799999999</v>
      </c>
      <c r="AQ19">
        <f>VLOOKUP(all_lmics18[[worldbank_region]:[worldbank_region]],Table14[],2,FALSE)</f>
        <v>0.95889500000000005</v>
      </c>
      <c r="AR19">
        <f>VLOOKUP(all_lmics18[[worldbank_region]:[worldbank_region]],Table14[],3,FALSE)</f>
        <v>1.5763950000000002</v>
      </c>
      <c r="AS19">
        <f>VLOOKUP(all_lmics18[[worldbank_region]:[worldbank_region]],Table14[],4,FALSE)</f>
        <v>33.028765999999997</v>
      </c>
      <c r="AT19">
        <f>VLOOKUP(all_lmics18[[worldbank_region]:[worldbank_region]],Table14[],5,FALSE)</f>
        <v>33.646265999999997</v>
      </c>
      <c r="AU19">
        <f>VLOOKUP(all_lmics18[[worldbank_region]:[worldbank_region]],Table14[],6,FALSE)</f>
        <v>34.216518000000001</v>
      </c>
      <c r="AV19">
        <f>IFERROR(VLOOKUP(all_lmics18[[Setting]:[Setting]],nFacSBA[],4,FALSE),VLOOKUP(all_lmics18[[who_choice_region]:[who_choice_region]],missing[],30,FALSE))</f>
        <v>0.12867521426317013</v>
      </c>
      <c r="AW19">
        <f>VLOOKUP(all_lmics18[[worldbank_region]:[worldbank_region]],hbe[],2)</f>
        <v>0.3</v>
      </c>
      <c r="AX19">
        <f>VLOOKUP(all_lmics18[[worldbank_region]:[worldbank_region]],hbe[],5)</f>
        <v>0.875</v>
      </c>
      <c r="AY19">
        <f>VLOOKUP(all_lmics18[[worldbank_region]:[worldbank_region]],hbe[],8)</f>
        <v>0.15</v>
      </c>
    </row>
    <row r="20" spans="1:51" x14ac:dyDescent="0.35">
      <c r="A20" s="12" t="s">
        <v>79</v>
      </c>
      <c r="B20" s="13" t="s">
        <v>6</v>
      </c>
      <c r="C20" s="14" t="s">
        <v>7</v>
      </c>
      <c r="D20">
        <f>VLOOKUP(all_lmics18[[Setting]:[Setting]],populations[],9,FALSE)</f>
        <v>956985</v>
      </c>
      <c r="E20">
        <f>VLOOKUP(all_lmics18[[Setting]:[Setting]],birthrate[],3,FALSE)</f>
        <v>2.3001999999999998E-2</v>
      </c>
      <c r="F20">
        <f>all_lmics18[[#This Row],[2017_population]]*all_lmics18[[#This Row],[2016_birthrate]]</f>
        <v>22012.568969999997</v>
      </c>
      <c r="G20">
        <f>VLOOKUP(all_lmics18[[Setting]:[Setting]],birthdose[],4,FALSE)</f>
        <v>0.9</v>
      </c>
      <c r="H20">
        <f>VLOOKUP(all_lmics18[[Setting]:[Setting]],fullvax[],4,FALSE)</f>
        <v>0.68</v>
      </c>
      <c r="I20">
        <f>IFERROR(VLOOKUP(all_lmics18[[Setting]:[Setting]],prev[],3,FALSE),VLOOKUP(all_lmics18[[who_choice_region]:[who_choice_region]],missing[],2,FALSE))</f>
        <v>2.5943237504895467E-2</v>
      </c>
      <c r="J20">
        <f>IFERROR(VLOOKUP(all_lmics18[[Setting]:[Setting]],prev[],4,FALSE),VLOOKUP(all_lmics18[[who_choice_region]:[who_choice_region]],missing[],3,FALSE))</f>
        <v>2.2441861151908198E-2</v>
      </c>
      <c r="K20">
        <f>IFERROR(VLOOKUP(all_lmics18[[Setting]:[Setting]],prev[],5,FALSE),VLOOKUP(all_lmics18[[who_choice_region]:[who_choice_region]],missing[],4,FALSE))</f>
        <v>3.4976790744324575E-2</v>
      </c>
      <c r="L20">
        <f>IFERROR(VLOOKUP(all_lmics18[[Setting]:[Setting]],prev[],7,FALSE),VLOOKUP(all_lmics18[[who_choice_region]:[who_choice_region]],missing[],5,FALSE))</f>
        <v>4.6089557344026044E-3</v>
      </c>
      <c r="M20">
        <f>IFERROR(VLOOKUP(all_lmics18[[Setting]:[Setting]],prev[],6,FALSE),0)</f>
        <v>0</v>
      </c>
      <c r="N20">
        <f>IFERROR(VLOOKUP(all_lmics18[[Setting]:[Setting]],SBA[],4,FALSE),VLOOKUP(all_lmics18[[who_choice_region]:[who_choice_region]],missing[],6,FALSE))</f>
        <v>0.87400000000000011</v>
      </c>
      <c r="O20">
        <f>IFERROR(VLOOKUP(all_lmics18[[Setting]:[Setting]], facility[], 3,FALSE),VLOOKUP(all_lmics18[[who_choice_region]:[who_choice_region]],missing[],7,FALSE))</f>
        <v>0.86699999999999999</v>
      </c>
      <c r="P20">
        <f>IF(VLOOKUP(all_lmics18[[Setting]:[Setting]],all_cause_mort[],4,FALSE)="",VLOOKUP(all_lmics18[[who_choice_region]:[who_choice_region]],missing[],8,FALSE),VLOOKUP(all_lmics18[[Setting]:[Setting]],all_cause_mort[],4,FALSE))</f>
        <v>3.4650634999999999E-2</v>
      </c>
      <c r="Q20">
        <f>IF(VLOOKUP(all_lmics18[[Setting]:[Setting]],all_cause_mort[],5,FALSE)="",VLOOKUP(all_lmics18[[who_choice_region]:[who_choice_region]],missing[],9,FALSE),VLOOKUP(all_lmics18[[Setting]:[Setting]],all_cause_mort[],5,FALSE))</f>
        <v>4.5803867000000003E-3</v>
      </c>
      <c r="R20">
        <f>IF(VLOOKUP(all_lmics18[[Setting]:[Setting]],all_cause_mort[],6,FALSE)="",VLOOKUP(all_lmics18[[who_choice_region]:[who_choice_region]],missing[],10,FALSE),VLOOKUP(all_lmics18[[Setting]:[Setting]],all_cause_mort[],6,FALSE))</f>
        <v>1.7849731000000001E-3</v>
      </c>
      <c r="S20">
        <f>IF(VLOOKUP(all_lmics18[[Setting]:[Setting]],all_cause_mort[],7,FALSE)="",VLOOKUP(all_lmics18[[who_choice_region]:[who_choice_region]],missing[],11,FALSE),VLOOKUP(all_lmics18[[Setting]:[Setting]],all_cause_mort[],7,FALSE))</f>
        <v>1.2178046000000001E-3</v>
      </c>
      <c r="T20">
        <f>IF(VLOOKUP(all_lmics18[[Setting]:[Setting]],all_cause_mort[],8,FALSE)="",VLOOKUP(all_lmics18[[who_choice_region]:[who_choice_region]],missing[],12,FALSE),VLOOKUP(all_lmics18[[Setting]:[Setting]],all_cause_mort[],8,FALSE))</f>
        <v>1.6284278000000001E-3</v>
      </c>
      <c r="U20">
        <f>IF(VLOOKUP(all_lmics18[[Setting]:[Setting]],all_cause_mort[],9,FALSE)="",VLOOKUP(all_lmics18[[who_choice_region]:[who_choice_region]],missing[],13,FALSE),VLOOKUP(all_lmics18[[Setting]:[Setting]],all_cause_mort[],9,FALSE))</f>
        <v>2.1806332E-3</v>
      </c>
      <c r="V20">
        <f>IF(VLOOKUP(all_lmics18[[Setting]:[Setting]],all_cause_mort[],10,FALSE)="",VLOOKUP(all_lmics18[[who_choice_region]:[who_choice_region]],missing[],14,FALSE),VLOOKUP(all_lmics18[[Setting]:[Setting]],all_cause_mort[],10,FALSE))</f>
        <v>2.6304775000000002E-3</v>
      </c>
      <c r="W20">
        <f>IF(VLOOKUP(all_lmics18[[Setting]:[Setting]],all_cause_mort[],11,FALSE)="",VLOOKUP(all_lmics18[[who_choice_region]:[who_choice_region]],missing[],15,FALSE),VLOOKUP(all_lmics18[[Setting]:[Setting]],all_cause_mort[],11,FALSE))</f>
        <v>3.3247870000000001E-3</v>
      </c>
      <c r="X20">
        <f>IF(VLOOKUP(all_lmics18[[Setting]:[Setting]],all_cause_mort[],12,FALSE)="",VLOOKUP(all_lmics18[[who_choice_region]:[who_choice_region]],missing[],16,FALSE),VLOOKUP(all_lmics18[[Setting]:[Setting]],all_cause_mort[],12,FALSE))</f>
        <v>4.5153049999999998E-3</v>
      </c>
      <c r="Y20">
        <f>IF(VLOOKUP(all_lmics18[[Setting]:[Setting]],all_cause_mort[],13,FALSE)="",VLOOKUP(all_lmics18[[who_choice_region]:[who_choice_region]],missing[],17,FALSE),VLOOKUP(all_lmics18[[Setting]:[Setting]],all_cause_mort[],13,FALSE))</f>
        <v>5.5892181000000004E-3</v>
      </c>
      <c r="Z20">
        <f>IF(VLOOKUP(all_lmics18[[Setting]:[Setting]],all_cause_mort[],14,FALSE)="",VLOOKUP(all_lmics18[[who_choice_region]:[who_choice_region]],missing[],18,FALSE),VLOOKUP(all_lmics18[[Setting]:[Setting]],all_cause_mort[],14,FALSE))</f>
        <v>6.7270083999999997E-3</v>
      </c>
      <c r="AA20">
        <f>IF(VLOOKUP(all_lmics18[[Setting]:[Setting]],all_cause_mort[],15,FALSE)="",VLOOKUP(all_lmics18[[who_choice_region]:[who_choice_region]],missing[],19,FALSE),VLOOKUP(all_lmics18[[Setting]:[Setting]],all_cause_mort[],15,FALSE))</f>
        <v>8.8441059999999991E-3</v>
      </c>
      <c r="AB20">
        <f>IF(VLOOKUP(all_lmics18[[Setting]:[Setting]],all_cause_mort[],16,FALSE)="",VLOOKUP(all_lmics18[[who_choice_region]:[who_choice_region]],missing[],20,FALSE),VLOOKUP(all_lmics18[[Setting]:[Setting]],all_cause_mort[],16,FALSE))</f>
        <v>1.1641266000000001E-2</v>
      </c>
      <c r="AC20">
        <f>IF(VLOOKUP(all_lmics18[[Setting]:[Setting]],all_cause_mort[],17,FALSE)="",VLOOKUP(all_lmics18[[who_choice_region]:[who_choice_region]],missing[],21,FALSE),VLOOKUP(all_lmics18[[Setting]:[Setting]],all_cause_mort[],17,FALSE))</f>
        <v>1.7787942000000001E-2</v>
      </c>
      <c r="AD20">
        <f>IF(VLOOKUP(all_lmics18[[Setting]:[Setting]],all_cause_mort[],18,FALSE)="",VLOOKUP(all_lmics18[[who_choice_region]:[who_choice_region]],missing[],22,FALSE),VLOOKUP(all_lmics18[[Setting]:[Setting]],all_cause_mort[],18,FALSE))</f>
        <v>2.8073510999999999E-2</v>
      </c>
      <c r="AE20">
        <f>IF(VLOOKUP(all_lmics18[[Setting]:[Setting]],all_cause_mort[],19,FALSE)="",VLOOKUP(all_lmics18[[who_choice_region]:[who_choice_region]],missing[],23,FALSE),VLOOKUP(all_lmics18[[Setting]:[Setting]],all_cause_mort[],19,FALSE))</f>
        <v>4.5448381000000003E-2</v>
      </c>
      <c r="AF20">
        <f>IF(VLOOKUP(all_lmics18[[Setting]:[Setting]],all_cause_mort[],20,FALSE)="",VLOOKUP(all_lmics18[[who_choice_region]:[who_choice_region]],missing[],24,FALSE),VLOOKUP(all_lmics18[[Setting]:[Setting]],all_cause_mort[],20,FALSE))</f>
        <v>7.3774641000000002E-2</v>
      </c>
      <c r="AG20">
        <f>IF(VLOOKUP(all_lmics18[[Setting]:[Setting]],all_cause_mort[],21,FALSE)="",VLOOKUP(all_lmics18[[who_choice_region]:[who_choice_region]],missing[],25,FALSE),VLOOKUP(all_lmics18[[Setting]:[Setting]],all_cause_mort[],21,FALSE))</f>
        <v>0.11973191</v>
      </c>
      <c r="AH20">
        <f>IF(VLOOKUP(all_lmics18[[Setting]:[Setting]],all_cause_mort[],22,FALSE)="",VLOOKUP(all_lmics18[[who_choice_region]:[who_choice_region]],missing[],26,FALSE),VLOOKUP(all_lmics18[[Setting]:[Setting]],all_cause_mort[],22,FALSE))</f>
        <v>0.18819414000000001</v>
      </c>
      <c r="AI20">
        <f>IF(VLOOKUP(all_lmics18[[Setting]:[Setting]],all_cause_mort[],23,FALSE)="",VLOOKUP(all_lmics18[[who_choice_region]:[who_choice_region]],missing[],27,FALSE),VLOOKUP(all_lmics18[[Setting]:[Setting]],all_cause_mort[],23,FALSE))</f>
        <v>0.27859172999999998</v>
      </c>
      <c r="AJ20">
        <f>IF(VLOOKUP(all_lmics18[[Setting]:[Setting]],all_cause_mort[],24,FALSE)="",VLOOKUP(all_lmics18[[who_choice_region]:[who_choice_region]],missing[],28,FALSE),VLOOKUP(all_lmics18[[Setting]:[Setting]],all_cause_mort[],24,FALSE))</f>
        <v>0.39261278999999999</v>
      </c>
      <c r="AK20">
        <f>IF(VLOOKUP(all_lmics18[[Setting]:[Setting]],all_cause_mort[],25,FALSE)="",VLOOKUP(all_lmics18[[who_choice_region]:[who_choice_region]],missing[],29,FALSE),VLOOKUP(all_lmics18[[Setting]:[Setting]],all_cause_mort[],25,FALSE))</f>
        <v>0.52799478510110698</v>
      </c>
      <c r="AL20">
        <f>VLOOKUP(all_lmics18[[worldbank_region]:[worldbank_region]],Table13[],2,FALSE)</f>
        <v>57.906657999999993</v>
      </c>
      <c r="AM20">
        <f>VLOOKUP(all_lmics18[[worldbank_region]:[worldbank_region]],Table13[],3,FALSE)</f>
        <v>57.906657999999993</v>
      </c>
      <c r="AN20">
        <f>VLOOKUP(all_lmics18[[worldbank_region]:[worldbank_region]],Table13[],4,FALSE)</f>
        <v>105.63551799999999</v>
      </c>
      <c r="AO20">
        <f>VLOOKUP(all_lmics18[[worldbank_region]:[worldbank_region]],Table13[],5,FALSE)</f>
        <v>105.63551799999999</v>
      </c>
      <c r="AP20">
        <f>VLOOKUP(all_lmics18[[worldbank_region]:[worldbank_region]],Table13[],6,FALSE)</f>
        <v>105.63551799999999</v>
      </c>
      <c r="AQ20">
        <f>VLOOKUP(all_lmics18[[worldbank_region]:[worldbank_region]],Table14[],2,FALSE)</f>
        <v>1.5037449999999999</v>
      </c>
      <c r="AR20">
        <f>VLOOKUP(all_lmics18[[worldbank_region]:[worldbank_region]],Table14[],3,FALSE)</f>
        <v>2.121245</v>
      </c>
      <c r="AS20">
        <f>VLOOKUP(all_lmics18[[worldbank_region]:[worldbank_region]],Table14[],4,FALSE)</f>
        <v>1.9832129999999999</v>
      </c>
      <c r="AT20">
        <f>VLOOKUP(all_lmics18[[worldbank_region]:[worldbank_region]],Table14[],5,FALSE)</f>
        <v>2.6007129999999998</v>
      </c>
      <c r="AU20">
        <f>VLOOKUP(all_lmics18[[worldbank_region]:[worldbank_region]],Table14[],6,FALSE)</f>
        <v>3.1709649999999998</v>
      </c>
      <c r="AV20">
        <f>IFERROR(VLOOKUP(all_lmics18[[Setting]:[Setting]],nFacSBA[],4,FALSE),VLOOKUP(all_lmics18[[who_choice_region]:[who_choice_region]],missing[],30,FALSE))</f>
        <v>0.19847607365600636</v>
      </c>
      <c r="AW20">
        <f>VLOOKUP(all_lmics18[[worldbank_region]:[worldbank_region]],hbe[],2)</f>
        <v>0.3</v>
      </c>
      <c r="AX20">
        <f>VLOOKUP(all_lmics18[[worldbank_region]:[worldbank_region]],hbe[],5)</f>
        <v>0.875</v>
      </c>
      <c r="AY20">
        <f>VLOOKUP(all_lmics18[[worldbank_region]:[worldbank_region]],hbe[],8)</f>
        <v>0.15</v>
      </c>
    </row>
    <row r="21" spans="1:51" x14ac:dyDescent="0.35">
      <c r="A21" s="8" t="s">
        <v>80</v>
      </c>
      <c r="B21" s="10" t="s">
        <v>22</v>
      </c>
      <c r="C21" s="11" t="s">
        <v>383</v>
      </c>
      <c r="D21">
        <f>VLOOKUP(all_lmics18[[Setting]:[Setting]],populations[],9,FALSE)</f>
        <v>73925</v>
      </c>
      <c r="E21">
        <f>VLOOKUP(all_lmics18[[Setting]:[Setting]],birthrate[],3,FALSE)</f>
        <v>1.5099999999999999E-2</v>
      </c>
      <c r="F21">
        <f>all_lmics18[[#This Row],[2017_population]]*all_lmics18[[#This Row],[2016_birthrate]]</f>
        <v>1116.2674999999999</v>
      </c>
      <c r="G21">
        <f>VLOOKUP(all_lmics18[[Setting]:[Setting]],birthdose[],4,FALSE)</f>
        <v>0.23</v>
      </c>
      <c r="H21">
        <f>VLOOKUP(all_lmics18[[Setting]:[Setting]],fullvax[],4,FALSE)</f>
        <v>0.91</v>
      </c>
      <c r="I21">
        <f>IFERROR(VLOOKUP(all_lmics18[[Setting]:[Setting]],prev[],3,FALSE),VLOOKUP(all_lmics18[[who_choice_region]:[who_choice_region]],missing[],2,FALSE))</f>
        <v>4.1444892127893984E-3</v>
      </c>
      <c r="J21">
        <f>IFERROR(VLOOKUP(all_lmics18[[Setting]:[Setting]],prev[],4,FALSE),VLOOKUP(all_lmics18[[who_choice_region]:[who_choice_region]],missing[],3,FALSE))</f>
        <v>2.6055266579680684E-3</v>
      </c>
      <c r="K21">
        <f>IFERROR(VLOOKUP(all_lmics18[[Setting]:[Setting]],prev[],5,FALSE),VLOOKUP(all_lmics18[[who_choice_region]:[who_choice_region]],missing[],4,FALSE))</f>
        <v>7.7002555713058798E-3</v>
      </c>
      <c r="L21">
        <f>IFERROR(VLOOKUP(all_lmics18[[Setting]:[Setting]],prev[],7,FALSE),VLOOKUP(all_lmics18[[who_choice_region]:[who_choice_region]],missing[],5,FALSE))</f>
        <v>1.8146552860433664E-3</v>
      </c>
      <c r="M21">
        <f>IFERROR(VLOOKUP(all_lmics18[[Setting]:[Setting]],prev[],6,FALSE),0)</f>
        <v>0</v>
      </c>
      <c r="N21">
        <f>IFERROR(VLOOKUP(all_lmics18[[Setting]:[Setting]],SBA[],4,FALSE),VLOOKUP(all_lmics18[[who_choice_region]:[who_choice_region]],missing[],6,FALSE))</f>
        <v>0.96</v>
      </c>
      <c r="O21">
        <f>IFERROR(VLOOKUP(all_lmics18[[Setting]:[Setting]], facility[], 3,FALSE),VLOOKUP(all_lmics18[[who_choice_region]:[who_choice_region]],missing[],7,FALSE))</f>
        <v>0.97897758427523118</v>
      </c>
      <c r="P21">
        <f>IF(VLOOKUP(all_lmics18[[Setting]:[Setting]],all_cause_mort[],4,FALSE)="",VLOOKUP(all_lmics18[[who_choice_region]:[who_choice_region]],missing[],8,FALSE),VLOOKUP(all_lmics18[[Setting]:[Setting]],all_cause_mort[],4,FALSE))</f>
        <v>1.4248933230069195E-2</v>
      </c>
      <c r="Q21">
        <f>IF(VLOOKUP(all_lmics18[[Setting]:[Setting]],all_cause_mort[],5,FALSE)="",VLOOKUP(all_lmics18[[who_choice_region]:[who_choice_region]],missing[],9,FALSE),VLOOKUP(all_lmics18[[Setting]:[Setting]],all_cause_mort[],5,FALSE))</f>
        <v>6.2059672144430377E-4</v>
      </c>
      <c r="R21">
        <f>IF(VLOOKUP(all_lmics18[[Setting]:[Setting]],all_cause_mort[],6,FALSE)="",VLOOKUP(all_lmics18[[who_choice_region]:[who_choice_region]],missing[],10,FALSE),VLOOKUP(all_lmics18[[Setting]:[Setting]],all_cause_mort[],6,FALSE))</f>
        <v>2.7163641572990901E-4</v>
      </c>
      <c r="S21">
        <f>IF(VLOOKUP(all_lmics18[[Setting]:[Setting]],all_cause_mort[],7,FALSE)="",VLOOKUP(all_lmics18[[who_choice_region]:[who_choice_region]],missing[],11,FALSE),VLOOKUP(all_lmics18[[Setting]:[Setting]],all_cause_mort[],7,FALSE))</f>
        <v>3.3965203446702355E-4</v>
      </c>
      <c r="T21">
        <f>IF(VLOOKUP(all_lmics18[[Setting]:[Setting]],all_cause_mort[],8,FALSE)="",VLOOKUP(all_lmics18[[who_choice_region]:[who_choice_region]],missing[],12,FALSE),VLOOKUP(all_lmics18[[Setting]:[Setting]],all_cause_mort[],8,FALSE))</f>
        <v>9.5235573322869597E-4</v>
      </c>
      <c r="U21">
        <f>IF(VLOOKUP(all_lmics18[[Setting]:[Setting]],all_cause_mort[],9,FALSE)="",VLOOKUP(all_lmics18[[who_choice_region]:[who_choice_region]],missing[],13,FALSE),VLOOKUP(all_lmics18[[Setting]:[Setting]],all_cause_mort[],9,FALSE))</f>
        <v>1.506073942869571E-3</v>
      </c>
      <c r="V21">
        <f>IF(VLOOKUP(all_lmics18[[Setting]:[Setting]],all_cause_mort[],10,FALSE)="",VLOOKUP(all_lmics18[[who_choice_region]:[who_choice_region]],missing[],14,FALSE),VLOOKUP(all_lmics18[[Setting]:[Setting]],all_cause_mort[],10,FALSE))</f>
        <v>1.6186363938697082E-3</v>
      </c>
      <c r="W21">
        <f>IF(VLOOKUP(all_lmics18[[Setting]:[Setting]],all_cause_mort[],11,FALSE)="",VLOOKUP(all_lmics18[[who_choice_region]:[who_choice_region]],missing[],15,FALSE),VLOOKUP(all_lmics18[[Setting]:[Setting]],all_cause_mort[],11,FALSE))</f>
        <v>1.8082087370652829E-3</v>
      </c>
      <c r="X21">
        <f>IF(VLOOKUP(all_lmics18[[Setting]:[Setting]],all_cause_mort[],12,FALSE)="",VLOOKUP(all_lmics18[[who_choice_region]:[who_choice_region]],missing[],16,FALSE),VLOOKUP(all_lmics18[[Setting]:[Setting]],all_cause_mort[],12,FALSE))</f>
        <v>2.1561320182217755E-3</v>
      </c>
      <c r="Y21">
        <f>IF(VLOOKUP(all_lmics18[[Setting]:[Setting]],all_cause_mort[],13,FALSE)="",VLOOKUP(all_lmics18[[who_choice_region]:[who_choice_region]],missing[],17,FALSE),VLOOKUP(all_lmics18[[Setting]:[Setting]],all_cause_mort[],13,FALSE))</f>
        <v>2.7792702875905507E-3</v>
      </c>
      <c r="Z21">
        <f>IF(VLOOKUP(all_lmics18[[Setting]:[Setting]],all_cause_mort[],14,FALSE)="",VLOOKUP(all_lmics18[[who_choice_region]:[who_choice_region]],missing[],18,FALSE),VLOOKUP(all_lmics18[[Setting]:[Setting]],all_cause_mort[],14,FALSE))</f>
        <v>3.9658396160708841E-3</v>
      </c>
      <c r="AA21">
        <f>IF(VLOOKUP(all_lmics18[[Setting]:[Setting]],all_cause_mort[],15,FALSE)="",VLOOKUP(all_lmics18[[who_choice_region]:[who_choice_region]],missing[],19,FALSE),VLOOKUP(all_lmics18[[Setting]:[Setting]],all_cause_mort[],15,FALSE))</f>
        <v>5.8514548590195775E-3</v>
      </c>
      <c r="AB21">
        <f>IF(VLOOKUP(all_lmics18[[Setting]:[Setting]],all_cause_mort[],16,FALSE)="",VLOOKUP(all_lmics18[[who_choice_region]:[who_choice_region]],missing[],20,FALSE),VLOOKUP(all_lmics18[[Setting]:[Setting]],all_cause_mort[],16,FALSE))</f>
        <v>8.6574529952604101E-3</v>
      </c>
      <c r="AC21">
        <f>IF(VLOOKUP(all_lmics18[[Setting]:[Setting]],all_cause_mort[],17,FALSE)="",VLOOKUP(all_lmics18[[who_choice_region]:[who_choice_region]],missing[],21,FALSE),VLOOKUP(all_lmics18[[Setting]:[Setting]],all_cause_mort[],17,FALSE))</f>
        <v>1.3115831217175869E-2</v>
      </c>
      <c r="AD21">
        <f>IF(VLOOKUP(all_lmics18[[Setting]:[Setting]],all_cause_mort[],18,FALSE)="",VLOOKUP(all_lmics18[[who_choice_region]:[who_choice_region]],missing[],22,FALSE),VLOOKUP(all_lmics18[[Setting]:[Setting]],all_cause_mort[],18,FALSE))</f>
        <v>2.0065990759328588E-2</v>
      </c>
      <c r="AE21">
        <f>IF(VLOOKUP(all_lmics18[[Setting]:[Setting]],all_cause_mort[],19,FALSE)="",VLOOKUP(all_lmics18[[who_choice_region]:[who_choice_region]],missing[],23,FALSE),VLOOKUP(all_lmics18[[Setting]:[Setting]],all_cause_mort[],19,FALSE))</f>
        <v>3.002419587261939E-2</v>
      </c>
      <c r="AF21">
        <f>IF(VLOOKUP(all_lmics18[[Setting]:[Setting]],all_cause_mort[],20,FALSE)="",VLOOKUP(all_lmics18[[who_choice_region]:[who_choice_region]],missing[],24,FALSE),VLOOKUP(all_lmics18[[Setting]:[Setting]],all_cause_mort[],20,FALSE))</f>
        <v>4.6158032553931964E-2</v>
      </c>
      <c r="AG21">
        <f>IF(VLOOKUP(all_lmics18[[Setting]:[Setting]],all_cause_mort[],21,FALSE)="",VLOOKUP(all_lmics18[[who_choice_region]:[who_choice_region]],missing[],25,FALSE),VLOOKUP(all_lmics18[[Setting]:[Setting]],all_cause_mort[],21,FALSE))</f>
        <v>7.0928885243889364E-2</v>
      </c>
      <c r="AH21">
        <f>IF(VLOOKUP(all_lmics18[[Setting]:[Setting]],all_cause_mort[],22,FALSE)="",VLOOKUP(all_lmics18[[who_choice_region]:[who_choice_region]],missing[],26,FALSE),VLOOKUP(all_lmics18[[Setting]:[Setting]],all_cause_mort[],22,FALSE))</f>
        <v>0.10967671748198599</v>
      </c>
      <c r="AI21">
        <f>IF(VLOOKUP(all_lmics18[[Setting]:[Setting]],all_cause_mort[],23,FALSE)="",VLOOKUP(all_lmics18[[who_choice_region]:[who_choice_region]],missing[],27,FALSE),VLOOKUP(all_lmics18[[Setting]:[Setting]],all_cause_mort[],23,FALSE))</f>
        <v>0.16124903915003161</v>
      </c>
      <c r="AJ21">
        <f>IF(VLOOKUP(all_lmics18[[Setting]:[Setting]],all_cause_mort[],24,FALSE)="",VLOOKUP(all_lmics18[[who_choice_region]:[who_choice_region]],missing[],28,FALSE),VLOOKUP(all_lmics18[[Setting]:[Setting]],all_cause_mort[],24,FALSE))</f>
        <v>0.25051575065448178</v>
      </c>
      <c r="AK21">
        <f>IF(VLOOKUP(all_lmics18[[Setting]:[Setting]],all_cause_mort[],25,FALSE)="",VLOOKUP(all_lmics18[[who_choice_region]:[who_choice_region]],missing[],29,FALSE),VLOOKUP(all_lmics18[[Setting]:[Setting]],all_cause_mort[],25,FALSE))</f>
        <v>0.38623014361104735</v>
      </c>
      <c r="AL21">
        <f>VLOOKUP(all_lmics18[[worldbank_region]:[worldbank_region]],Table13[],2,FALSE)</f>
        <v>86.85998699999999</v>
      </c>
      <c r="AM21">
        <f>VLOOKUP(all_lmics18[[worldbank_region]:[worldbank_region]],Table13[],3,FALSE)</f>
        <v>86.85998699999999</v>
      </c>
      <c r="AN21">
        <f>VLOOKUP(all_lmics18[[worldbank_region]:[worldbank_region]],Table13[],4,FALSE)</f>
        <v>134.58884699999999</v>
      </c>
      <c r="AO21">
        <f>VLOOKUP(all_lmics18[[worldbank_region]:[worldbank_region]],Table13[],5,FALSE)</f>
        <v>134.58884699999999</v>
      </c>
      <c r="AP21">
        <f>VLOOKUP(all_lmics18[[worldbank_region]:[worldbank_region]],Table13[],6,FALSE)</f>
        <v>134.58884699999999</v>
      </c>
      <c r="AQ21">
        <f>VLOOKUP(all_lmics18[[worldbank_region]:[worldbank_region]],Table14[],2,FALSE)</f>
        <v>1.514642</v>
      </c>
      <c r="AR21">
        <f>VLOOKUP(all_lmics18[[worldbank_region]:[worldbank_region]],Table14[],3,FALSE)</f>
        <v>2.132142</v>
      </c>
      <c r="AS21">
        <f>VLOOKUP(all_lmics18[[worldbank_region]:[worldbank_region]],Table14[],4,FALSE)</f>
        <v>1.5364360000000001</v>
      </c>
      <c r="AT21">
        <f>VLOOKUP(all_lmics18[[worldbank_region]:[worldbank_region]],Table14[],5,FALSE)</f>
        <v>2.1539359999999999</v>
      </c>
      <c r="AU21">
        <f>VLOOKUP(all_lmics18[[worldbank_region]:[worldbank_region]],Table14[],6,FALSE)</f>
        <v>2.7241879999999998</v>
      </c>
      <c r="AV21">
        <f>IFERROR(VLOOKUP(all_lmics18[[Setting]:[Setting]],nFacSBA[],4,FALSE),VLOOKUP(all_lmics18[[who_choice_region]:[who_choice_region]],missing[],30,FALSE))</f>
        <v>0.204083371647339</v>
      </c>
      <c r="AW21">
        <f>VLOOKUP(all_lmics18[[worldbank_region]:[worldbank_region]],hbe[],2)</f>
        <v>0.3</v>
      </c>
      <c r="AX21">
        <f>VLOOKUP(all_lmics18[[worldbank_region]:[worldbank_region]],hbe[],5)</f>
        <v>0.875</v>
      </c>
      <c r="AY21">
        <f>VLOOKUP(all_lmics18[[worldbank_region]:[worldbank_region]],hbe[],8)</f>
        <v>0.15</v>
      </c>
    </row>
    <row r="22" spans="1:51" x14ac:dyDescent="0.35">
      <c r="A22" s="12" t="s">
        <v>81</v>
      </c>
      <c r="B22" s="13" t="s">
        <v>22</v>
      </c>
      <c r="C22" s="14" t="s">
        <v>383</v>
      </c>
      <c r="D22">
        <f>VLOOKUP(all_lmics18[[Setting]:[Setting]],populations[],9,FALSE)</f>
        <v>10766998</v>
      </c>
      <c r="E22">
        <f>VLOOKUP(all_lmics18[[Setting]:[Setting]],birthrate[],3,FALSE)</f>
        <v>2.017E-2</v>
      </c>
      <c r="F22">
        <f>all_lmics18[[#This Row],[2017_population]]*all_lmics18[[#This Row],[2016_birthrate]]</f>
        <v>217170.34966000001</v>
      </c>
      <c r="G22">
        <f>VLOOKUP(all_lmics18[[Setting]:[Setting]],birthdose[],4,FALSE)</f>
        <v>0.67</v>
      </c>
      <c r="H22">
        <f>VLOOKUP(all_lmics18[[Setting]:[Setting]],fullvax[],4,FALSE)</f>
        <v>0.81</v>
      </c>
      <c r="I22">
        <f>IFERROR(VLOOKUP(all_lmics18[[Setting]:[Setting]],prev[],3,FALSE),VLOOKUP(all_lmics18[[who_choice_region]:[who_choice_region]],missing[],2,FALSE))</f>
        <v>1.7000000000000001E-2</v>
      </c>
      <c r="J22">
        <f>IFERROR(VLOOKUP(all_lmics18[[Setting]:[Setting]],prev[],4,FALSE),VLOOKUP(all_lmics18[[who_choice_region]:[who_choice_region]],missing[],3,FALSE))</f>
        <v>1.0999999999999999E-2</v>
      </c>
      <c r="K22">
        <f>IFERROR(VLOOKUP(all_lmics18[[Setting]:[Setting]],prev[],5,FALSE),VLOOKUP(all_lmics18[[who_choice_region]:[who_choice_region]],missing[],4,FALSE))</f>
        <v>0.02</v>
      </c>
      <c r="L22">
        <f>IFERROR(VLOOKUP(all_lmics18[[Setting]:[Setting]],prev[],7,FALSE),VLOOKUP(all_lmics18[[who_choice_region]:[who_choice_region]],missing[],5,FALSE))</f>
        <v>1.5306122448979589E-3</v>
      </c>
      <c r="M22">
        <f>IFERROR(VLOOKUP(all_lmics18[[Setting]:[Setting]],prev[],6,FALSE),0)</f>
        <v>10766998</v>
      </c>
      <c r="N22">
        <f>IFERROR(VLOOKUP(all_lmics18[[Setting]:[Setting]],SBA[],4,FALSE),VLOOKUP(all_lmics18[[who_choice_region]:[who_choice_region]],missing[],6,FALSE))</f>
        <v>0.996</v>
      </c>
      <c r="O22">
        <f>IFERROR(VLOOKUP(all_lmics18[[Setting]:[Setting]], facility[], 3,FALSE),VLOOKUP(all_lmics18[[who_choice_region]:[who_choice_region]],missing[],7,FALSE))</f>
        <v>0.97900000000000009</v>
      </c>
      <c r="P22">
        <f>IF(VLOOKUP(all_lmics18[[Setting]:[Setting]],all_cause_mort[],4,FALSE)="",VLOOKUP(all_lmics18[[who_choice_region]:[who_choice_region]],missing[],8,FALSE),VLOOKUP(all_lmics18[[Setting]:[Setting]],all_cause_mort[],4,FALSE))</f>
        <v>2.646418E-2</v>
      </c>
      <c r="Q22">
        <f>IF(VLOOKUP(all_lmics18[[Setting]:[Setting]],all_cause_mort[],5,FALSE)="",VLOOKUP(all_lmics18[[who_choice_region]:[who_choice_region]],missing[],9,FALSE),VLOOKUP(all_lmics18[[Setting]:[Setting]],all_cause_mort[],5,FALSE))</f>
        <v>7.7505688000000005E-4</v>
      </c>
      <c r="R22">
        <f>IF(VLOOKUP(all_lmics18[[Setting]:[Setting]],all_cause_mort[],6,FALSE)="",VLOOKUP(all_lmics18[[who_choice_region]:[who_choice_region]],missing[],10,FALSE),VLOOKUP(all_lmics18[[Setting]:[Setting]],all_cause_mort[],6,FALSE))</f>
        <v>3.7222192000000001E-4</v>
      </c>
      <c r="S22">
        <f>IF(VLOOKUP(all_lmics18[[Setting]:[Setting]],all_cause_mort[],7,FALSE)="",VLOOKUP(all_lmics18[[who_choice_region]:[who_choice_region]],missing[],11,FALSE),VLOOKUP(all_lmics18[[Setting]:[Setting]],all_cause_mort[],7,FALSE))</f>
        <v>3.7299491999999998E-4</v>
      </c>
      <c r="T22">
        <f>IF(VLOOKUP(all_lmics18[[Setting]:[Setting]],all_cause_mort[],8,FALSE)="",VLOOKUP(all_lmics18[[who_choice_region]:[who_choice_region]],missing[],12,FALSE),VLOOKUP(all_lmics18[[Setting]:[Setting]],all_cause_mort[],8,FALSE))</f>
        <v>9.4106159999999997E-4</v>
      </c>
      <c r="U22">
        <f>IF(VLOOKUP(all_lmics18[[Setting]:[Setting]],all_cause_mort[],9,FALSE)="",VLOOKUP(all_lmics18[[who_choice_region]:[who_choice_region]],missing[],13,FALSE),VLOOKUP(all_lmics18[[Setting]:[Setting]],all_cause_mort[],9,FALSE))</f>
        <v>1.6660443999999999E-3</v>
      </c>
      <c r="V22">
        <f>IF(VLOOKUP(all_lmics18[[Setting]:[Setting]],all_cause_mort[],10,FALSE)="",VLOOKUP(all_lmics18[[who_choice_region]:[who_choice_region]],missing[],14,FALSE),VLOOKUP(all_lmics18[[Setting]:[Setting]],all_cause_mort[],10,FALSE))</f>
        <v>2.1097793000000001E-3</v>
      </c>
      <c r="W22">
        <f>IF(VLOOKUP(all_lmics18[[Setting]:[Setting]],all_cause_mort[],11,FALSE)="",VLOOKUP(all_lmics18[[who_choice_region]:[who_choice_region]],missing[],15,FALSE),VLOOKUP(all_lmics18[[Setting]:[Setting]],all_cause_mort[],11,FALSE))</f>
        <v>2.5753027E-3</v>
      </c>
      <c r="X22">
        <f>IF(VLOOKUP(all_lmics18[[Setting]:[Setting]],all_cause_mort[],12,FALSE)="",VLOOKUP(all_lmics18[[who_choice_region]:[who_choice_region]],missing[],16,FALSE),VLOOKUP(all_lmics18[[Setting]:[Setting]],all_cause_mort[],12,FALSE))</f>
        <v>2.8624687999999998E-3</v>
      </c>
      <c r="Y22">
        <f>IF(VLOOKUP(all_lmics18[[Setting]:[Setting]],all_cause_mort[],13,FALSE)="",VLOOKUP(all_lmics18[[who_choice_region]:[who_choice_region]],missing[],17,FALSE),VLOOKUP(all_lmics18[[Setting]:[Setting]],all_cause_mort[],13,FALSE))</f>
        <v>3.6023303E-3</v>
      </c>
      <c r="Z22">
        <f>IF(VLOOKUP(all_lmics18[[Setting]:[Setting]],all_cause_mort[],14,FALSE)="",VLOOKUP(all_lmics18[[who_choice_region]:[who_choice_region]],missing[],18,FALSE),VLOOKUP(all_lmics18[[Setting]:[Setting]],all_cause_mort[],14,FALSE))</f>
        <v>4.8204754000000004E-3</v>
      </c>
      <c r="AA22">
        <f>IF(VLOOKUP(all_lmics18[[Setting]:[Setting]],all_cause_mort[],15,FALSE)="",VLOOKUP(all_lmics18[[who_choice_region]:[who_choice_region]],missing[],19,FALSE),VLOOKUP(all_lmics18[[Setting]:[Setting]],all_cause_mort[],15,FALSE))</f>
        <v>6.4046423999999996E-3</v>
      </c>
      <c r="AB22">
        <f>IF(VLOOKUP(all_lmics18[[Setting]:[Setting]],all_cause_mort[],16,FALSE)="",VLOOKUP(all_lmics18[[who_choice_region]:[who_choice_region]],missing[],20,FALSE),VLOOKUP(all_lmics18[[Setting]:[Setting]],all_cause_mort[],16,FALSE))</f>
        <v>9.3508880999999995E-3</v>
      </c>
      <c r="AC22">
        <f>IF(VLOOKUP(all_lmics18[[Setting]:[Setting]],all_cause_mort[],17,FALSE)="",VLOOKUP(all_lmics18[[who_choice_region]:[who_choice_region]],missing[],21,FALSE),VLOOKUP(all_lmics18[[Setting]:[Setting]],all_cause_mort[],17,FALSE))</f>
        <v>1.3940997E-2</v>
      </c>
      <c r="AD22">
        <f>IF(VLOOKUP(all_lmics18[[Setting]:[Setting]],all_cause_mort[],18,FALSE)="",VLOOKUP(all_lmics18[[who_choice_region]:[who_choice_region]],missing[],22,FALSE),VLOOKUP(all_lmics18[[Setting]:[Setting]],all_cause_mort[],18,FALSE))</f>
        <v>2.0850463999999999E-2</v>
      </c>
      <c r="AE22">
        <f>IF(VLOOKUP(all_lmics18[[Setting]:[Setting]],all_cause_mort[],19,FALSE)="",VLOOKUP(all_lmics18[[who_choice_region]:[who_choice_region]],missing[],23,FALSE),VLOOKUP(all_lmics18[[Setting]:[Setting]],all_cause_mort[],19,FALSE))</f>
        <v>3.0942771000000001E-2</v>
      </c>
      <c r="AF22">
        <f>IF(VLOOKUP(all_lmics18[[Setting]:[Setting]],all_cause_mort[],20,FALSE)="",VLOOKUP(all_lmics18[[who_choice_region]:[who_choice_region]],missing[],24,FALSE),VLOOKUP(all_lmics18[[Setting]:[Setting]],all_cause_mort[],20,FALSE))</f>
        <v>4.6500179000000003E-2</v>
      </c>
      <c r="AG22">
        <f>IF(VLOOKUP(all_lmics18[[Setting]:[Setting]],all_cause_mort[],21,FALSE)="",VLOOKUP(all_lmics18[[who_choice_region]:[who_choice_region]],missing[],25,FALSE),VLOOKUP(all_lmics18[[Setting]:[Setting]],all_cause_mort[],21,FALSE))</f>
        <v>6.7459852000000001E-2</v>
      </c>
      <c r="AH22">
        <f>IF(VLOOKUP(all_lmics18[[Setting]:[Setting]],all_cause_mort[],22,FALSE)="",VLOOKUP(all_lmics18[[who_choice_region]:[who_choice_region]],missing[],26,FALSE),VLOOKUP(all_lmics18[[Setting]:[Setting]],all_cause_mort[],22,FALSE))</f>
        <v>9.4685063E-2</v>
      </c>
      <c r="AI22">
        <f>IF(VLOOKUP(all_lmics18[[Setting]:[Setting]],all_cause_mort[],23,FALSE)="",VLOOKUP(all_lmics18[[who_choice_region]:[who_choice_region]],missing[],27,FALSE),VLOOKUP(all_lmics18[[Setting]:[Setting]],all_cause_mort[],23,FALSE))</f>
        <v>0.12843317000000001</v>
      </c>
      <c r="AJ22">
        <f>IF(VLOOKUP(all_lmics18[[Setting]:[Setting]],all_cause_mort[],24,FALSE)="",VLOOKUP(all_lmics18[[who_choice_region]:[who_choice_region]],missing[],28,FALSE),VLOOKUP(all_lmics18[[Setting]:[Setting]],all_cause_mort[],24,FALSE))</f>
        <v>0.16802508999999999</v>
      </c>
      <c r="AK22">
        <f>IF(VLOOKUP(all_lmics18[[Setting]:[Setting]],all_cause_mort[],25,FALSE)="",VLOOKUP(all_lmics18[[who_choice_region]:[who_choice_region]],missing[],29,FALSE),VLOOKUP(all_lmics18[[Setting]:[Setting]],all_cause_mort[],25,FALSE))</f>
        <v>0.23412955722939999</v>
      </c>
      <c r="AL22">
        <f>VLOOKUP(all_lmics18[[worldbank_region]:[worldbank_region]],Table13[],2,FALSE)</f>
        <v>86.85998699999999</v>
      </c>
      <c r="AM22">
        <f>VLOOKUP(all_lmics18[[worldbank_region]:[worldbank_region]],Table13[],3,FALSE)</f>
        <v>86.85998699999999</v>
      </c>
      <c r="AN22">
        <f>VLOOKUP(all_lmics18[[worldbank_region]:[worldbank_region]],Table13[],4,FALSE)</f>
        <v>134.58884699999999</v>
      </c>
      <c r="AO22">
        <f>VLOOKUP(all_lmics18[[worldbank_region]:[worldbank_region]],Table13[],5,FALSE)</f>
        <v>134.58884699999999</v>
      </c>
      <c r="AP22">
        <f>VLOOKUP(all_lmics18[[worldbank_region]:[worldbank_region]],Table13[],6,FALSE)</f>
        <v>134.58884699999999</v>
      </c>
      <c r="AQ22">
        <f>VLOOKUP(all_lmics18[[worldbank_region]:[worldbank_region]],Table14[],2,FALSE)</f>
        <v>1.514642</v>
      </c>
      <c r="AR22">
        <f>VLOOKUP(all_lmics18[[worldbank_region]:[worldbank_region]],Table14[],3,FALSE)</f>
        <v>2.132142</v>
      </c>
      <c r="AS22">
        <f>VLOOKUP(all_lmics18[[worldbank_region]:[worldbank_region]],Table14[],4,FALSE)</f>
        <v>1.5364360000000001</v>
      </c>
      <c r="AT22">
        <f>VLOOKUP(all_lmics18[[worldbank_region]:[worldbank_region]],Table14[],5,FALSE)</f>
        <v>2.1539359999999999</v>
      </c>
      <c r="AU22">
        <f>VLOOKUP(all_lmics18[[worldbank_region]:[worldbank_region]],Table14[],6,FALSE)</f>
        <v>2.7241879999999998</v>
      </c>
      <c r="AV22">
        <f>IFERROR(VLOOKUP(all_lmics18[[Setting]:[Setting]],nFacSBA[],4,FALSE),VLOOKUP(all_lmics18[[who_choice_region]:[who_choice_region]],missing[],30,FALSE))</f>
        <v>0.26790826337289719</v>
      </c>
      <c r="AW22">
        <f>VLOOKUP(all_lmics18[[worldbank_region]:[worldbank_region]],hbe[],2)</f>
        <v>0.3</v>
      </c>
      <c r="AX22">
        <f>VLOOKUP(all_lmics18[[worldbank_region]:[worldbank_region]],hbe[],5)</f>
        <v>0.875</v>
      </c>
      <c r="AY22">
        <f>VLOOKUP(all_lmics18[[worldbank_region]:[worldbank_region]],hbe[],8)</f>
        <v>0.15</v>
      </c>
    </row>
    <row r="23" spans="1:51" x14ac:dyDescent="0.35">
      <c r="A23" s="8" t="s">
        <v>82</v>
      </c>
      <c r="B23" s="10" t="s">
        <v>46</v>
      </c>
      <c r="C23" s="11" t="s">
        <v>383</v>
      </c>
      <c r="D23">
        <f>VLOOKUP(all_lmics18[[Setting]:[Setting]],populations[],9,FALSE)</f>
        <v>16624858</v>
      </c>
      <c r="E23">
        <f>VLOOKUP(all_lmics18[[Setting]:[Setting]],birthrate[],3,FALSE)</f>
        <v>2.0175000000000002E-2</v>
      </c>
      <c r="F23">
        <f>all_lmics18[[#This Row],[2017_population]]*all_lmics18[[#This Row],[2016_birthrate]]</f>
        <v>335406.51015000005</v>
      </c>
      <c r="G23">
        <f>VLOOKUP(all_lmics18[[Setting]:[Setting]],birthdose[],4,FALSE)</f>
        <v>0.75</v>
      </c>
      <c r="H23">
        <f>VLOOKUP(all_lmics18[[Setting]:[Setting]],fullvax[],4,FALSE)</f>
        <v>0.84</v>
      </c>
      <c r="I23">
        <f>IFERROR(VLOOKUP(all_lmics18[[Setting]:[Setting]],prev[],3,FALSE),VLOOKUP(all_lmics18[[who_choice_region]:[who_choice_region]],missing[],2,FALSE))</f>
        <v>0.02</v>
      </c>
      <c r="J23">
        <f>IFERROR(VLOOKUP(all_lmics18[[Setting]:[Setting]],prev[],4,FALSE),VLOOKUP(all_lmics18[[who_choice_region]:[who_choice_region]],missing[],3,FALSE))</f>
        <v>1.0800000000000001E-2</v>
      </c>
      <c r="K23">
        <f>IFERROR(VLOOKUP(all_lmics18[[Setting]:[Setting]],prev[],5,FALSE),VLOOKUP(all_lmics18[[who_choice_region]:[who_choice_region]],missing[],4,FALSE))</f>
        <v>3.6799999999999999E-2</v>
      </c>
      <c r="L23">
        <f>IFERROR(VLOOKUP(all_lmics18[[Setting]:[Setting]],prev[],7,FALSE),VLOOKUP(all_lmics18[[who_choice_region]:[who_choice_region]],missing[],5,FALSE))</f>
        <v>8.5714285714285719E-3</v>
      </c>
      <c r="M23">
        <f>IFERROR(VLOOKUP(all_lmics18[[Setting]:[Setting]],prev[],6,FALSE),0)</f>
        <v>14934690</v>
      </c>
      <c r="N23">
        <f>IFERROR(VLOOKUP(all_lmics18[[Setting]:[Setting]],SBA[],4,FALSE),VLOOKUP(all_lmics18[[who_choice_region]:[who_choice_region]],missing[],6,FALSE))</f>
        <v>0.96700000000000008</v>
      </c>
      <c r="O23">
        <f>IFERROR(VLOOKUP(all_lmics18[[Setting]:[Setting]], facility[], 3,FALSE),VLOOKUP(all_lmics18[[who_choice_region]:[who_choice_region]],missing[],7,FALSE))</f>
        <v>0.93299999999999994</v>
      </c>
      <c r="P23">
        <f>IF(VLOOKUP(all_lmics18[[Setting]:[Setting]],all_cause_mort[],4,FALSE)="",VLOOKUP(all_lmics18[[who_choice_region]:[who_choice_region]],missing[],8,FALSE),VLOOKUP(all_lmics18[[Setting]:[Setting]],all_cause_mort[],4,FALSE))</f>
        <v>1.3775282E-2</v>
      </c>
      <c r="Q23">
        <f>IF(VLOOKUP(all_lmics18[[Setting]:[Setting]],all_cause_mort[],5,FALSE)="",VLOOKUP(all_lmics18[[who_choice_region]:[who_choice_region]],missing[],9,FALSE),VLOOKUP(all_lmics18[[Setting]:[Setting]],all_cause_mort[],5,FALSE))</f>
        <v>6.8882877999999997E-4</v>
      </c>
      <c r="R23">
        <f>IF(VLOOKUP(all_lmics18[[Setting]:[Setting]],all_cause_mort[],6,FALSE)="",VLOOKUP(all_lmics18[[who_choice_region]:[who_choice_region]],missing[],10,FALSE),VLOOKUP(all_lmics18[[Setting]:[Setting]],all_cause_mort[],6,FALSE))</f>
        <v>3.9409112000000001E-4</v>
      </c>
      <c r="S23">
        <f>IF(VLOOKUP(all_lmics18[[Setting]:[Setting]],all_cause_mort[],7,FALSE)="",VLOOKUP(all_lmics18[[who_choice_region]:[who_choice_region]],missing[],11,FALSE),VLOOKUP(all_lmics18[[Setting]:[Setting]],all_cause_mort[],7,FALSE))</f>
        <v>4.9583221999999997E-4</v>
      </c>
      <c r="T23">
        <f>IF(VLOOKUP(all_lmics18[[Setting]:[Setting]],all_cause_mort[],8,FALSE)="",VLOOKUP(all_lmics18[[who_choice_region]:[who_choice_region]],missing[],12,FALSE),VLOOKUP(all_lmics18[[Setting]:[Setting]],all_cause_mort[],8,FALSE))</f>
        <v>1.0316606E-3</v>
      </c>
      <c r="U23">
        <f>IF(VLOOKUP(all_lmics18[[Setting]:[Setting]],all_cause_mort[],9,FALSE)="",VLOOKUP(all_lmics18[[who_choice_region]:[who_choice_region]],missing[],13,FALSE),VLOOKUP(all_lmics18[[Setting]:[Setting]],all_cause_mort[],9,FALSE))</f>
        <v>1.6283602E-3</v>
      </c>
      <c r="V23">
        <f>IF(VLOOKUP(all_lmics18[[Setting]:[Setting]],all_cause_mort[],10,FALSE)="",VLOOKUP(all_lmics18[[who_choice_region]:[who_choice_region]],missing[],14,FALSE),VLOOKUP(all_lmics18[[Setting]:[Setting]],all_cause_mort[],10,FALSE))</f>
        <v>1.9603557999999998E-3</v>
      </c>
      <c r="W23">
        <f>IF(VLOOKUP(all_lmics18[[Setting]:[Setting]],all_cause_mort[],11,FALSE)="",VLOOKUP(all_lmics18[[who_choice_region]:[who_choice_region]],missing[],15,FALSE),VLOOKUP(all_lmics18[[Setting]:[Setting]],all_cause_mort[],11,FALSE))</f>
        <v>2.0346000000000001E-3</v>
      </c>
      <c r="X23">
        <f>IF(VLOOKUP(all_lmics18[[Setting]:[Setting]],all_cause_mort[],12,FALSE)="",VLOOKUP(all_lmics18[[who_choice_region]:[who_choice_region]],missing[],16,FALSE),VLOOKUP(all_lmics18[[Setting]:[Setting]],all_cause_mort[],12,FALSE))</f>
        <v>2.1799733000000001E-3</v>
      </c>
      <c r="Y23">
        <f>IF(VLOOKUP(all_lmics18[[Setting]:[Setting]],all_cause_mort[],13,FALSE)="",VLOOKUP(all_lmics18[[who_choice_region]:[who_choice_region]],missing[],17,FALSE),VLOOKUP(all_lmics18[[Setting]:[Setting]],all_cause_mort[],13,FALSE))</f>
        <v>2.7285374000000002E-3</v>
      </c>
      <c r="Z23">
        <f>IF(VLOOKUP(all_lmics18[[Setting]:[Setting]],all_cause_mort[],14,FALSE)="",VLOOKUP(all_lmics18[[who_choice_region]:[who_choice_region]],missing[],18,FALSE),VLOOKUP(all_lmics18[[Setting]:[Setting]],all_cause_mort[],14,FALSE))</f>
        <v>3.4792985999999998E-3</v>
      </c>
      <c r="AA23">
        <f>IF(VLOOKUP(all_lmics18[[Setting]:[Setting]],all_cause_mort[],15,FALSE)="",VLOOKUP(all_lmics18[[who_choice_region]:[who_choice_region]],missing[],19,FALSE),VLOOKUP(all_lmics18[[Setting]:[Setting]],all_cause_mort[],15,FALSE))</f>
        <v>5.0904938999999996E-3</v>
      </c>
      <c r="AB23">
        <f>IF(VLOOKUP(all_lmics18[[Setting]:[Setting]],all_cause_mort[],16,FALSE)="",VLOOKUP(all_lmics18[[who_choice_region]:[who_choice_region]],missing[],20,FALSE),VLOOKUP(all_lmics18[[Setting]:[Setting]],all_cause_mort[],16,FALSE))</f>
        <v>6.9715895E-3</v>
      </c>
      <c r="AC23">
        <f>IF(VLOOKUP(all_lmics18[[Setting]:[Setting]],all_cause_mort[],17,FALSE)="",VLOOKUP(all_lmics18[[who_choice_region]:[who_choice_region]],missing[],21,FALSE),VLOOKUP(all_lmics18[[Setting]:[Setting]],all_cause_mort[],17,FALSE))</f>
        <v>1.0213406E-2</v>
      </c>
      <c r="AD23">
        <f>IF(VLOOKUP(all_lmics18[[Setting]:[Setting]],all_cause_mort[],18,FALSE)="",VLOOKUP(all_lmics18[[who_choice_region]:[who_choice_region]],missing[],22,FALSE),VLOOKUP(all_lmics18[[Setting]:[Setting]],all_cause_mort[],18,FALSE))</f>
        <v>1.4456917E-2</v>
      </c>
      <c r="AE23">
        <f>IF(VLOOKUP(all_lmics18[[Setting]:[Setting]],all_cause_mort[],19,FALSE)="",VLOOKUP(all_lmics18[[who_choice_region]:[who_choice_region]],missing[],23,FALSE),VLOOKUP(all_lmics18[[Setting]:[Setting]],all_cause_mort[],19,FALSE))</f>
        <v>2.4101674E-2</v>
      </c>
      <c r="AF23">
        <f>IF(VLOOKUP(all_lmics18[[Setting]:[Setting]],all_cause_mort[],20,FALSE)="",VLOOKUP(all_lmics18[[who_choice_region]:[who_choice_region]],missing[],24,FALSE),VLOOKUP(all_lmics18[[Setting]:[Setting]],all_cause_mort[],20,FALSE))</f>
        <v>3.9995255E-2</v>
      </c>
      <c r="AG23">
        <f>IF(VLOOKUP(all_lmics18[[Setting]:[Setting]],all_cause_mort[],21,FALSE)="",VLOOKUP(all_lmics18[[who_choice_region]:[who_choice_region]],missing[],25,FALSE),VLOOKUP(all_lmics18[[Setting]:[Setting]],all_cause_mort[],21,FALSE))</f>
        <v>6.4706444000000002E-2</v>
      </c>
      <c r="AH23">
        <f>IF(VLOOKUP(all_lmics18[[Setting]:[Setting]],all_cause_mort[],22,FALSE)="",VLOOKUP(all_lmics18[[who_choice_region]:[who_choice_region]],missing[],26,FALSE),VLOOKUP(all_lmics18[[Setting]:[Setting]],all_cause_mort[],22,FALSE))</f>
        <v>0.10866683000000001</v>
      </c>
      <c r="AI23">
        <f>IF(VLOOKUP(all_lmics18[[Setting]:[Setting]],all_cause_mort[],23,FALSE)="",VLOOKUP(all_lmics18[[who_choice_region]:[who_choice_region]],missing[],27,FALSE),VLOOKUP(all_lmics18[[Setting]:[Setting]],all_cause_mort[],23,FALSE))</f>
        <v>0.15347426</v>
      </c>
      <c r="AJ23">
        <f>IF(VLOOKUP(all_lmics18[[Setting]:[Setting]],all_cause_mort[],24,FALSE)="",VLOOKUP(all_lmics18[[who_choice_region]:[who_choice_region]],missing[],28,FALSE),VLOOKUP(all_lmics18[[Setting]:[Setting]],all_cause_mort[],24,FALSE))</f>
        <v>0.23074488000000001</v>
      </c>
      <c r="AK23">
        <f>IF(VLOOKUP(all_lmics18[[Setting]:[Setting]],all_cause_mort[],25,FALSE)="",VLOOKUP(all_lmics18[[who_choice_region]:[who_choice_region]],missing[],29,FALSE),VLOOKUP(all_lmics18[[Setting]:[Setting]],all_cause_mort[],25,FALSE))</f>
        <v>0.31541480737523098</v>
      </c>
      <c r="AL23">
        <f>VLOOKUP(all_lmics18[[worldbank_region]:[worldbank_region]],Table13[],2,FALSE)</f>
        <v>86.85998699999999</v>
      </c>
      <c r="AM23">
        <f>VLOOKUP(all_lmics18[[worldbank_region]:[worldbank_region]],Table13[],3,FALSE)</f>
        <v>86.85998699999999</v>
      </c>
      <c r="AN23">
        <f>VLOOKUP(all_lmics18[[worldbank_region]:[worldbank_region]],Table13[],4,FALSE)</f>
        <v>134.58884699999999</v>
      </c>
      <c r="AO23">
        <f>VLOOKUP(all_lmics18[[worldbank_region]:[worldbank_region]],Table13[],5,FALSE)</f>
        <v>134.58884699999999</v>
      </c>
      <c r="AP23">
        <f>VLOOKUP(all_lmics18[[worldbank_region]:[worldbank_region]],Table13[],6,FALSE)</f>
        <v>134.58884699999999</v>
      </c>
      <c r="AQ23">
        <f>VLOOKUP(all_lmics18[[worldbank_region]:[worldbank_region]],Table14[],2,FALSE)</f>
        <v>1.514642</v>
      </c>
      <c r="AR23">
        <f>VLOOKUP(all_lmics18[[worldbank_region]:[worldbank_region]],Table14[],3,FALSE)</f>
        <v>2.132142</v>
      </c>
      <c r="AS23">
        <f>VLOOKUP(all_lmics18[[worldbank_region]:[worldbank_region]],Table14[],4,FALSE)</f>
        <v>1.5364360000000001</v>
      </c>
      <c r="AT23">
        <f>VLOOKUP(all_lmics18[[worldbank_region]:[worldbank_region]],Table14[],5,FALSE)</f>
        <v>2.1539359999999999</v>
      </c>
      <c r="AU23">
        <f>VLOOKUP(all_lmics18[[worldbank_region]:[worldbank_region]],Table14[],6,FALSE)</f>
        <v>2.7241879999999998</v>
      </c>
      <c r="AV23">
        <f>IFERROR(VLOOKUP(all_lmics18[[Setting]:[Setting]],nFacSBA[],4,FALSE),VLOOKUP(all_lmics18[[who_choice_region]:[who_choice_region]],missing[],30,FALSE))</f>
        <v>9.5529925290293513E-2</v>
      </c>
      <c r="AW23">
        <f>VLOOKUP(all_lmics18[[worldbank_region]:[worldbank_region]],hbe[],2)</f>
        <v>0.3</v>
      </c>
      <c r="AX23">
        <f>VLOOKUP(all_lmics18[[worldbank_region]:[worldbank_region]],hbe[],5)</f>
        <v>0.875</v>
      </c>
      <c r="AY23">
        <f>VLOOKUP(all_lmics18[[worldbank_region]:[worldbank_region]],hbe[],8)</f>
        <v>0.15</v>
      </c>
    </row>
    <row r="24" spans="1:51" x14ac:dyDescent="0.35">
      <c r="A24" s="12" t="s">
        <v>83</v>
      </c>
      <c r="B24" s="13" t="s">
        <v>6</v>
      </c>
      <c r="C24" s="14" t="s">
        <v>7</v>
      </c>
      <c r="D24">
        <f>VLOOKUP(all_lmics18[[Setting]:[Setting]],populations[],9,FALSE)</f>
        <v>97553151</v>
      </c>
      <c r="E24">
        <f>VLOOKUP(all_lmics18[[Setting]:[Setting]],birthrate[],3,FALSE)</f>
        <v>2.6494E-2</v>
      </c>
      <c r="F24">
        <f>all_lmics18[[#This Row],[2017_population]]*all_lmics18[[#This Row],[2016_birthrate]]</f>
        <v>2584573.1825939999</v>
      </c>
      <c r="G24">
        <f>VLOOKUP(all_lmics18[[Setting]:[Setting]],birthdose[],4,FALSE)</f>
        <v>0.84</v>
      </c>
      <c r="H24">
        <f>VLOOKUP(all_lmics18[[Setting]:[Setting]],fullvax[],4,FALSE)</f>
        <v>0.94</v>
      </c>
      <c r="I24">
        <f>IFERROR(VLOOKUP(all_lmics18[[Setting]:[Setting]],prev[],3,FALSE),VLOOKUP(all_lmics18[[who_choice_region]:[who_choice_region]],missing[],2,FALSE))</f>
        <v>0.01</v>
      </c>
      <c r="J24">
        <f>IFERROR(VLOOKUP(all_lmics18[[Setting]:[Setting]],prev[],4,FALSE),VLOOKUP(all_lmics18[[who_choice_region]:[who_choice_region]],missing[],3,FALSE))</f>
        <v>8.9999999999999993E-3</v>
      </c>
      <c r="K24">
        <f>IFERROR(VLOOKUP(all_lmics18[[Setting]:[Setting]],prev[],5,FALSE),VLOOKUP(all_lmics18[[who_choice_region]:[who_choice_region]],missing[],4,FALSE))</f>
        <v>1.2E-2</v>
      </c>
      <c r="L24">
        <f>IFERROR(VLOOKUP(all_lmics18[[Setting]:[Setting]],prev[],7,FALSE),VLOOKUP(all_lmics18[[who_choice_region]:[who_choice_region]],missing[],5,FALSE))</f>
        <v>1.0204081632653062E-3</v>
      </c>
      <c r="M24">
        <f>IFERROR(VLOOKUP(all_lmics18[[Setting]:[Setting]],prev[],6,FALSE),0)</f>
        <v>97553151</v>
      </c>
      <c r="N24">
        <f>IFERROR(VLOOKUP(all_lmics18[[Setting]:[Setting]],SBA[],4,FALSE),VLOOKUP(all_lmics18[[who_choice_region]:[who_choice_region]],missing[],6,FALSE))</f>
        <v>0.91500000000000004</v>
      </c>
      <c r="O24">
        <f>IFERROR(VLOOKUP(all_lmics18[[Setting]:[Setting]], facility[], 3,FALSE),VLOOKUP(all_lmics18[[who_choice_region]:[who_choice_region]],missing[],7,FALSE))</f>
        <v>0.86699999999999999</v>
      </c>
      <c r="P24">
        <f>IF(VLOOKUP(all_lmics18[[Setting]:[Setting]],all_cause_mort[],4,FALSE)="",VLOOKUP(all_lmics18[[who_choice_region]:[who_choice_region]],missing[],8,FALSE),VLOOKUP(all_lmics18[[Setting]:[Setting]],all_cause_mort[],4,FALSE))</f>
        <v>1.5827734E-2</v>
      </c>
      <c r="Q24">
        <f>IF(VLOOKUP(all_lmics18[[Setting]:[Setting]],all_cause_mort[],5,FALSE)="",VLOOKUP(all_lmics18[[who_choice_region]:[who_choice_region]],missing[],9,FALSE),VLOOKUP(all_lmics18[[Setting]:[Setting]],all_cause_mort[],5,FALSE))</f>
        <v>1.1008951E-3</v>
      </c>
      <c r="R24">
        <f>IF(VLOOKUP(all_lmics18[[Setting]:[Setting]],all_cause_mort[],6,FALSE)="",VLOOKUP(all_lmics18[[who_choice_region]:[who_choice_region]],missing[],10,FALSE),VLOOKUP(all_lmics18[[Setting]:[Setting]],all_cause_mort[],6,FALSE))</f>
        <v>4.0243443999999999E-4</v>
      </c>
      <c r="S24">
        <f>IF(VLOOKUP(all_lmics18[[Setting]:[Setting]],all_cause_mort[],7,FALSE)="",VLOOKUP(all_lmics18[[who_choice_region]:[who_choice_region]],missing[],11,FALSE),VLOOKUP(all_lmics18[[Setting]:[Setting]],all_cause_mort[],7,FALSE))</f>
        <v>3.3751286000000002E-4</v>
      </c>
      <c r="T24">
        <f>IF(VLOOKUP(all_lmics18[[Setting]:[Setting]],all_cause_mort[],8,FALSE)="",VLOOKUP(all_lmics18[[who_choice_region]:[who_choice_region]],missing[],12,FALSE),VLOOKUP(all_lmics18[[Setting]:[Setting]],all_cause_mort[],8,FALSE))</f>
        <v>4.9003871000000002E-4</v>
      </c>
      <c r="U24">
        <f>IF(VLOOKUP(all_lmics18[[Setting]:[Setting]],all_cause_mort[],9,FALSE)="",VLOOKUP(all_lmics18[[who_choice_region]:[who_choice_region]],missing[],13,FALSE),VLOOKUP(all_lmics18[[Setting]:[Setting]],all_cause_mort[],9,FALSE))</f>
        <v>7.3588867999999997E-4</v>
      </c>
      <c r="V24">
        <f>IF(VLOOKUP(all_lmics18[[Setting]:[Setting]],all_cause_mort[],10,FALSE)="",VLOOKUP(all_lmics18[[who_choice_region]:[who_choice_region]],missing[],14,FALSE),VLOOKUP(all_lmics18[[Setting]:[Setting]],all_cause_mort[],10,FALSE))</f>
        <v>9.0866839999999998E-4</v>
      </c>
      <c r="W24">
        <f>IF(VLOOKUP(all_lmics18[[Setting]:[Setting]],all_cause_mort[],11,FALSE)="",VLOOKUP(all_lmics18[[who_choice_region]:[who_choice_region]],missing[],15,FALSE),VLOOKUP(all_lmics18[[Setting]:[Setting]],all_cause_mort[],11,FALSE))</f>
        <v>1.1986133E-3</v>
      </c>
      <c r="X24">
        <f>IF(VLOOKUP(all_lmics18[[Setting]:[Setting]],all_cause_mort[],12,FALSE)="",VLOOKUP(all_lmics18[[who_choice_region]:[who_choice_region]],missing[],16,FALSE),VLOOKUP(all_lmics18[[Setting]:[Setting]],all_cause_mort[],12,FALSE))</f>
        <v>1.4452664000000001E-3</v>
      </c>
      <c r="Y24">
        <f>IF(VLOOKUP(all_lmics18[[Setting]:[Setting]],all_cause_mort[],13,FALSE)="",VLOOKUP(all_lmics18[[who_choice_region]:[who_choice_region]],missing[],17,FALSE),VLOOKUP(all_lmics18[[Setting]:[Setting]],all_cause_mort[],13,FALSE))</f>
        <v>2.1677839999999999E-3</v>
      </c>
      <c r="Z24">
        <f>IF(VLOOKUP(all_lmics18[[Setting]:[Setting]],all_cause_mort[],14,FALSE)="",VLOOKUP(all_lmics18[[who_choice_region]:[who_choice_region]],missing[],18,FALSE),VLOOKUP(all_lmics18[[Setting]:[Setting]],all_cause_mort[],14,FALSE))</f>
        <v>4.5424814000000003E-3</v>
      </c>
      <c r="AA24">
        <f>IF(VLOOKUP(all_lmics18[[Setting]:[Setting]],all_cause_mort[],15,FALSE)="",VLOOKUP(all_lmics18[[who_choice_region]:[who_choice_region]],missing[],19,FALSE),VLOOKUP(all_lmics18[[Setting]:[Setting]],all_cause_mort[],15,FALSE))</f>
        <v>8.4206946000000005E-3</v>
      </c>
      <c r="AB24">
        <f>IF(VLOOKUP(all_lmics18[[Setting]:[Setting]],all_cause_mort[],16,FALSE)="",VLOOKUP(all_lmics18[[who_choice_region]:[who_choice_region]],missing[],20,FALSE),VLOOKUP(all_lmics18[[Setting]:[Setting]],all_cause_mort[],16,FALSE))</f>
        <v>1.1711541000000001E-2</v>
      </c>
      <c r="AC24">
        <f>IF(VLOOKUP(all_lmics18[[Setting]:[Setting]],all_cause_mort[],17,FALSE)="",VLOOKUP(all_lmics18[[who_choice_region]:[who_choice_region]],missing[],21,FALSE),VLOOKUP(all_lmics18[[Setting]:[Setting]],all_cause_mort[],17,FALSE))</f>
        <v>1.9153180999999998E-2</v>
      </c>
      <c r="AD24">
        <f>IF(VLOOKUP(all_lmics18[[Setting]:[Setting]],all_cause_mort[],18,FALSE)="",VLOOKUP(all_lmics18[[who_choice_region]:[who_choice_region]],missing[],22,FALSE),VLOOKUP(all_lmics18[[Setting]:[Setting]],all_cause_mort[],18,FALSE))</f>
        <v>3.0109420000000001E-2</v>
      </c>
      <c r="AE24">
        <f>IF(VLOOKUP(all_lmics18[[Setting]:[Setting]],all_cause_mort[],19,FALSE)="",VLOOKUP(all_lmics18[[who_choice_region]:[who_choice_region]],missing[],23,FALSE),VLOOKUP(all_lmics18[[Setting]:[Setting]],all_cause_mort[],19,FALSE))</f>
        <v>4.9159503E-2</v>
      </c>
      <c r="AF24">
        <f>IF(VLOOKUP(all_lmics18[[Setting]:[Setting]],all_cause_mort[],20,FALSE)="",VLOOKUP(all_lmics18[[who_choice_region]:[who_choice_region]],missing[],24,FALSE),VLOOKUP(all_lmics18[[Setting]:[Setting]],all_cause_mort[],20,FALSE))</f>
        <v>8.0843447999999998E-2</v>
      </c>
      <c r="AG24">
        <f>IF(VLOOKUP(all_lmics18[[Setting]:[Setting]],all_cause_mort[],21,FALSE)="",VLOOKUP(all_lmics18[[who_choice_region]:[who_choice_region]],missing[],25,FALSE),VLOOKUP(all_lmics18[[Setting]:[Setting]],all_cause_mort[],21,FALSE))</f>
        <v>0.12560410999999999</v>
      </c>
      <c r="AH24">
        <f>IF(VLOOKUP(all_lmics18[[Setting]:[Setting]],all_cause_mort[],22,FALSE)="",VLOOKUP(all_lmics18[[who_choice_region]:[who_choice_region]],missing[],26,FALSE),VLOOKUP(all_lmics18[[Setting]:[Setting]],all_cause_mort[],22,FALSE))</f>
        <v>0.18894306</v>
      </c>
      <c r="AI24">
        <f>IF(VLOOKUP(all_lmics18[[Setting]:[Setting]],all_cause_mort[],23,FALSE)="",VLOOKUP(all_lmics18[[who_choice_region]:[who_choice_region]],missing[],27,FALSE),VLOOKUP(all_lmics18[[Setting]:[Setting]],all_cause_mort[],23,FALSE))</f>
        <v>0.26514075999999998</v>
      </c>
      <c r="AJ24">
        <f>IF(VLOOKUP(all_lmics18[[Setting]:[Setting]],all_cause_mort[],24,FALSE)="",VLOOKUP(all_lmics18[[who_choice_region]:[who_choice_region]],missing[],28,FALSE),VLOOKUP(all_lmics18[[Setting]:[Setting]],all_cause_mort[],24,FALSE))</f>
        <v>0.37049583000000003</v>
      </c>
      <c r="AK24">
        <f>IF(VLOOKUP(all_lmics18[[Setting]:[Setting]],all_cause_mort[],25,FALSE)="",VLOOKUP(all_lmics18[[who_choice_region]:[who_choice_region]],missing[],29,FALSE),VLOOKUP(all_lmics18[[Setting]:[Setting]],all_cause_mort[],25,FALSE))</f>
        <v>0.52064037099583305</v>
      </c>
      <c r="AL24">
        <f>VLOOKUP(all_lmics18[[worldbank_region]:[worldbank_region]],Table13[],2,FALSE)</f>
        <v>57.906657999999993</v>
      </c>
      <c r="AM24">
        <f>VLOOKUP(all_lmics18[[worldbank_region]:[worldbank_region]],Table13[],3,FALSE)</f>
        <v>57.906657999999993</v>
      </c>
      <c r="AN24">
        <f>VLOOKUP(all_lmics18[[worldbank_region]:[worldbank_region]],Table13[],4,FALSE)</f>
        <v>105.63551799999999</v>
      </c>
      <c r="AO24">
        <f>VLOOKUP(all_lmics18[[worldbank_region]:[worldbank_region]],Table13[],5,FALSE)</f>
        <v>105.63551799999999</v>
      </c>
      <c r="AP24">
        <f>VLOOKUP(all_lmics18[[worldbank_region]:[worldbank_region]],Table13[],6,FALSE)</f>
        <v>105.63551799999999</v>
      </c>
      <c r="AQ24">
        <f>VLOOKUP(all_lmics18[[worldbank_region]:[worldbank_region]],Table14[],2,FALSE)</f>
        <v>1.5037449999999999</v>
      </c>
      <c r="AR24">
        <f>VLOOKUP(all_lmics18[[worldbank_region]:[worldbank_region]],Table14[],3,FALSE)</f>
        <v>2.121245</v>
      </c>
      <c r="AS24">
        <f>VLOOKUP(all_lmics18[[worldbank_region]:[worldbank_region]],Table14[],4,FALSE)</f>
        <v>1.9832129999999999</v>
      </c>
      <c r="AT24">
        <f>VLOOKUP(all_lmics18[[worldbank_region]:[worldbank_region]],Table14[],5,FALSE)</f>
        <v>2.6007129999999998</v>
      </c>
      <c r="AU24">
        <f>VLOOKUP(all_lmics18[[worldbank_region]:[worldbank_region]],Table14[],6,FALSE)</f>
        <v>3.1709649999999998</v>
      </c>
      <c r="AV24">
        <f>IFERROR(VLOOKUP(all_lmics18[[Setting]:[Setting]],nFacSBA[],4,FALSE),VLOOKUP(all_lmics18[[who_choice_region]:[who_choice_region]],missing[],30,FALSE))</f>
        <v>0.27595962702890781</v>
      </c>
      <c r="AW24">
        <f>VLOOKUP(all_lmics18[[worldbank_region]:[worldbank_region]],hbe[],2)</f>
        <v>0.3</v>
      </c>
      <c r="AX24">
        <f>VLOOKUP(all_lmics18[[worldbank_region]:[worldbank_region]],hbe[],5)</f>
        <v>0.875</v>
      </c>
      <c r="AY24">
        <f>VLOOKUP(all_lmics18[[worldbank_region]:[worldbank_region]],hbe[],8)</f>
        <v>0.15</v>
      </c>
    </row>
    <row r="25" spans="1:51" x14ac:dyDescent="0.35">
      <c r="A25" s="8" t="s">
        <v>84</v>
      </c>
      <c r="B25" s="10" t="s">
        <v>22</v>
      </c>
      <c r="C25" s="11" t="s">
        <v>383</v>
      </c>
      <c r="D25">
        <f>VLOOKUP(all_lmics18[[Setting]:[Setting]],populations[],9,FALSE)</f>
        <v>6377853</v>
      </c>
      <c r="E25">
        <f>VLOOKUP(all_lmics18[[Setting]:[Setting]],birthrate[],3,FALSE)</f>
        <v>1.8537999999999999E-2</v>
      </c>
      <c r="F25">
        <f>all_lmics18[[#This Row],[2017_population]]*all_lmics18[[#This Row],[2016_birthrate]]</f>
        <v>118232.638914</v>
      </c>
      <c r="G25">
        <f>VLOOKUP(all_lmics18[[Setting]:[Setting]],birthdose[],4,FALSE)</f>
        <v>0.8</v>
      </c>
      <c r="H25">
        <f>VLOOKUP(all_lmics18[[Setting]:[Setting]],fullvax[],4,FALSE)</f>
        <v>0.85</v>
      </c>
      <c r="I25">
        <f>IFERROR(VLOOKUP(all_lmics18[[Setting]:[Setting]],prev[],3,FALSE),VLOOKUP(all_lmics18[[who_choice_region]:[who_choice_region]],missing[],2,FALSE))</f>
        <v>0.01</v>
      </c>
      <c r="J25">
        <f>IFERROR(VLOOKUP(all_lmics18[[Setting]:[Setting]],prev[],4,FALSE),VLOOKUP(all_lmics18[[who_choice_region]:[who_choice_region]],missing[],3,FALSE))</f>
        <v>5.0000000000000001E-3</v>
      </c>
      <c r="K25">
        <f>IFERROR(VLOOKUP(all_lmics18[[Setting]:[Setting]],prev[],5,FALSE),VLOOKUP(all_lmics18[[who_choice_region]:[who_choice_region]],missing[],4,FALSE))</f>
        <v>1.2E-2</v>
      </c>
      <c r="L25">
        <f>IFERROR(VLOOKUP(all_lmics18[[Setting]:[Setting]],prev[],7,FALSE),VLOOKUP(all_lmics18[[who_choice_region]:[who_choice_region]],missing[],5,FALSE))</f>
        <v>1.0204081632653062E-3</v>
      </c>
      <c r="M25">
        <f>IFERROR(VLOOKUP(all_lmics18[[Setting]:[Setting]],prev[],6,FALSE),0)</f>
        <v>6377853</v>
      </c>
      <c r="N25">
        <f>IFERROR(VLOOKUP(all_lmics18[[Setting]:[Setting]],SBA[],4,FALSE),VLOOKUP(all_lmics18[[who_choice_region]:[who_choice_region]],missing[],6,FALSE))</f>
        <v>0.99900000000000011</v>
      </c>
      <c r="O25">
        <f>IFERROR(VLOOKUP(all_lmics18[[Setting]:[Setting]], facility[], 3,FALSE),VLOOKUP(all_lmics18[[who_choice_region]:[who_choice_region]],missing[],7,FALSE))</f>
        <v>0.97499999999999998</v>
      </c>
      <c r="P25">
        <f>IF(VLOOKUP(all_lmics18[[Setting]:[Setting]],all_cause_mort[],4,FALSE)="",VLOOKUP(all_lmics18[[who_choice_region]:[who_choice_region]],missing[],8,FALSE),VLOOKUP(all_lmics18[[Setting]:[Setting]],all_cause_mort[],4,FALSE))</f>
        <v>1.4769987E-2</v>
      </c>
      <c r="Q25">
        <f>IF(VLOOKUP(all_lmics18[[Setting]:[Setting]],all_cause_mort[],5,FALSE)="",VLOOKUP(all_lmics18[[who_choice_region]:[who_choice_region]],missing[],9,FALSE),VLOOKUP(all_lmics18[[Setting]:[Setting]],all_cause_mort[],5,FALSE))</f>
        <v>5.8871775999999999E-4</v>
      </c>
      <c r="R25">
        <f>IF(VLOOKUP(all_lmics18[[Setting]:[Setting]],all_cause_mort[],6,FALSE)="",VLOOKUP(all_lmics18[[who_choice_region]:[who_choice_region]],missing[],10,FALSE),VLOOKUP(all_lmics18[[Setting]:[Setting]],all_cause_mort[],6,FALSE))</f>
        <v>2.7378192000000002E-4</v>
      </c>
      <c r="S25">
        <f>IF(VLOOKUP(all_lmics18[[Setting]:[Setting]],all_cause_mort[],7,FALSE)="",VLOOKUP(all_lmics18[[who_choice_region]:[who_choice_region]],missing[],11,FALSE),VLOOKUP(all_lmics18[[Setting]:[Setting]],all_cause_mort[],7,FALSE))</f>
        <v>5.6684154999999997E-4</v>
      </c>
      <c r="T25">
        <f>IF(VLOOKUP(all_lmics18[[Setting]:[Setting]],all_cause_mort[],8,FALSE)="",VLOOKUP(all_lmics18[[who_choice_region]:[who_choice_region]],missing[],12,FALSE),VLOOKUP(all_lmics18[[Setting]:[Setting]],all_cause_mort[],8,FALSE))</f>
        <v>1.5519556E-3</v>
      </c>
      <c r="U25">
        <f>IF(VLOOKUP(all_lmics18[[Setting]:[Setting]],all_cause_mort[],9,FALSE)="",VLOOKUP(all_lmics18[[who_choice_region]:[who_choice_region]],missing[],13,FALSE),VLOOKUP(all_lmics18[[Setting]:[Setting]],all_cause_mort[],9,FALSE))</f>
        <v>2.5834923999999999E-3</v>
      </c>
      <c r="V25">
        <f>IF(VLOOKUP(all_lmics18[[Setting]:[Setting]],all_cause_mort[],10,FALSE)="",VLOOKUP(all_lmics18[[who_choice_region]:[who_choice_region]],missing[],14,FALSE),VLOOKUP(all_lmics18[[Setting]:[Setting]],all_cause_mort[],10,FALSE))</f>
        <v>3.2180299000000002E-3</v>
      </c>
      <c r="W25">
        <f>IF(VLOOKUP(all_lmics18[[Setting]:[Setting]],all_cause_mort[],11,FALSE)="",VLOOKUP(all_lmics18[[who_choice_region]:[who_choice_region]],missing[],15,FALSE),VLOOKUP(all_lmics18[[Setting]:[Setting]],all_cause_mort[],11,FALSE))</f>
        <v>3.3722996999999998E-3</v>
      </c>
      <c r="X25">
        <f>IF(VLOOKUP(all_lmics18[[Setting]:[Setting]],all_cause_mort[],12,FALSE)="",VLOOKUP(all_lmics18[[who_choice_region]:[who_choice_region]],missing[],16,FALSE),VLOOKUP(all_lmics18[[Setting]:[Setting]],all_cause_mort[],12,FALSE))</f>
        <v>3.5340059000000001E-3</v>
      </c>
      <c r="Y25">
        <f>IF(VLOOKUP(all_lmics18[[Setting]:[Setting]],all_cause_mort[],13,FALSE)="",VLOOKUP(all_lmics18[[who_choice_region]:[who_choice_region]],missing[],17,FALSE),VLOOKUP(all_lmics18[[Setting]:[Setting]],all_cause_mort[],13,FALSE))</f>
        <v>4.2194041E-3</v>
      </c>
      <c r="Z25">
        <f>IF(VLOOKUP(all_lmics18[[Setting]:[Setting]],all_cause_mort[],14,FALSE)="",VLOOKUP(all_lmics18[[who_choice_region]:[who_choice_region]],missing[],18,FALSE),VLOOKUP(all_lmics18[[Setting]:[Setting]],all_cause_mort[],14,FALSE))</f>
        <v>5.3977736999999996E-3</v>
      </c>
      <c r="AA25">
        <f>IF(VLOOKUP(all_lmics18[[Setting]:[Setting]],all_cause_mort[],15,FALSE)="",VLOOKUP(all_lmics18[[who_choice_region]:[who_choice_region]],missing[],19,FALSE),VLOOKUP(all_lmics18[[Setting]:[Setting]],all_cause_mort[],15,FALSE))</f>
        <v>7.1218803000000002E-3</v>
      </c>
      <c r="AB25">
        <f>IF(VLOOKUP(all_lmics18[[Setting]:[Setting]],all_cause_mort[],16,FALSE)="",VLOOKUP(all_lmics18[[who_choice_region]:[who_choice_region]],missing[],20,FALSE),VLOOKUP(all_lmics18[[Setting]:[Setting]],all_cause_mort[],16,FALSE))</f>
        <v>9.4442546000000002E-3</v>
      </c>
      <c r="AC25">
        <f>IF(VLOOKUP(all_lmics18[[Setting]:[Setting]],all_cause_mort[],17,FALSE)="",VLOOKUP(all_lmics18[[who_choice_region]:[who_choice_region]],missing[],21,FALSE),VLOOKUP(all_lmics18[[Setting]:[Setting]],all_cause_mort[],17,FALSE))</f>
        <v>1.2986638999999999E-2</v>
      </c>
      <c r="AD25">
        <f>IF(VLOOKUP(all_lmics18[[Setting]:[Setting]],all_cause_mort[],18,FALSE)="",VLOOKUP(all_lmics18[[who_choice_region]:[who_choice_region]],missing[],22,FALSE),VLOOKUP(all_lmics18[[Setting]:[Setting]],all_cause_mort[],18,FALSE))</f>
        <v>1.8722493E-2</v>
      </c>
      <c r="AE25">
        <f>IF(VLOOKUP(all_lmics18[[Setting]:[Setting]],all_cause_mort[],19,FALSE)="",VLOOKUP(all_lmics18[[who_choice_region]:[who_choice_region]],missing[],23,FALSE),VLOOKUP(all_lmics18[[Setting]:[Setting]],all_cause_mort[],19,FALSE))</f>
        <v>2.7692788999999999E-2</v>
      </c>
      <c r="AF25">
        <f>IF(VLOOKUP(all_lmics18[[Setting]:[Setting]],all_cause_mort[],20,FALSE)="",VLOOKUP(all_lmics18[[who_choice_region]:[who_choice_region]],missing[],24,FALSE),VLOOKUP(all_lmics18[[Setting]:[Setting]],all_cause_mort[],20,FALSE))</f>
        <v>4.4281424999999999E-2</v>
      </c>
      <c r="AG25">
        <f>IF(VLOOKUP(all_lmics18[[Setting]:[Setting]],all_cause_mort[],21,FALSE)="",VLOOKUP(all_lmics18[[who_choice_region]:[who_choice_region]],missing[],25,FALSE),VLOOKUP(all_lmics18[[Setting]:[Setting]],all_cause_mort[],21,FALSE))</f>
        <v>7.7043863000000004E-2</v>
      </c>
      <c r="AH25">
        <f>IF(VLOOKUP(all_lmics18[[Setting]:[Setting]],all_cause_mort[],22,FALSE)="",VLOOKUP(all_lmics18[[who_choice_region]:[who_choice_region]],missing[],26,FALSE),VLOOKUP(all_lmics18[[Setting]:[Setting]],all_cause_mort[],22,FALSE))</f>
        <v>0.13038569</v>
      </c>
      <c r="AI25">
        <f>IF(VLOOKUP(all_lmics18[[Setting]:[Setting]],all_cause_mort[],23,FALSE)="",VLOOKUP(all_lmics18[[who_choice_region]:[who_choice_region]],missing[],27,FALSE),VLOOKUP(all_lmics18[[Setting]:[Setting]],all_cause_mort[],23,FALSE))</f>
        <v>0.21015863000000001</v>
      </c>
      <c r="AJ25">
        <f>IF(VLOOKUP(all_lmics18[[Setting]:[Setting]],all_cause_mort[],24,FALSE)="",VLOOKUP(all_lmics18[[who_choice_region]:[who_choice_region]],missing[],28,FALSE),VLOOKUP(all_lmics18[[Setting]:[Setting]],all_cause_mort[],24,FALSE))</f>
        <v>0.32219820999999998</v>
      </c>
      <c r="AK25">
        <f>IF(VLOOKUP(all_lmics18[[Setting]:[Setting]],all_cause_mort[],25,FALSE)="",VLOOKUP(all_lmics18[[who_choice_region]:[who_choice_region]],missing[],29,FALSE),VLOOKUP(all_lmics18[[Setting]:[Setting]],all_cause_mort[],25,FALSE))</f>
        <v>0.46135073437579199</v>
      </c>
      <c r="AL25">
        <f>VLOOKUP(all_lmics18[[worldbank_region]:[worldbank_region]],Table13[],2,FALSE)</f>
        <v>86.85998699999999</v>
      </c>
      <c r="AM25">
        <f>VLOOKUP(all_lmics18[[worldbank_region]:[worldbank_region]],Table13[],3,FALSE)</f>
        <v>86.85998699999999</v>
      </c>
      <c r="AN25">
        <f>VLOOKUP(all_lmics18[[worldbank_region]:[worldbank_region]],Table13[],4,FALSE)</f>
        <v>134.58884699999999</v>
      </c>
      <c r="AO25">
        <f>VLOOKUP(all_lmics18[[worldbank_region]:[worldbank_region]],Table13[],5,FALSE)</f>
        <v>134.58884699999999</v>
      </c>
      <c r="AP25">
        <f>VLOOKUP(all_lmics18[[worldbank_region]:[worldbank_region]],Table13[],6,FALSE)</f>
        <v>134.58884699999999</v>
      </c>
      <c r="AQ25">
        <f>VLOOKUP(all_lmics18[[worldbank_region]:[worldbank_region]],Table14[],2,FALSE)</f>
        <v>1.514642</v>
      </c>
      <c r="AR25">
        <f>VLOOKUP(all_lmics18[[worldbank_region]:[worldbank_region]],Table14[],3,FALSE)</f>
        <v>2.132142</v>
      </c>
      <c r="AS25">
        <f>VLOOKUP(all_lmics18[[worldbank_region]:[worldbank_region]],Table14[],4,FALSE)</f>
        <v>1.5364360000000001</v>
      </c>
      <c r="AT25">
        <f>VLOOKUP(all_lmics18[[worldbank_region]:[worldbank_region]],Table14[],5,FALSE)</f>
        <v>2.1539359999999999</v>
      </c>
      <c r="AU25">
        <f>VLOOKUP(all_lmics18[[worldbank_region]:[worldbank_region]],Table14[],6,FALSE)</f>
        <v>2.7241879999999998</v>
      </c>
      <c r="AV25">
        <f>IFERROR(VLOOKUP(all_lmics18[[Setting]:[Setting]],nFacSBA[],4,FALSE),VLOOKUP(all_lmics18[[who_choice_region]:[who_choice_region]],missing[],30,FALSE))</f>
        <v>0.204083371647339</v>
      </c>
      <c r="AW25">
        <f>VLOOKUP(all_lmics18[[worldbank_region]:[worldbank_region]],hbe[],2)</f>
        <v>0.3</v>
      </c>
      <c r="AX25">
        <f>VLOOKUP(all_lmics18[[worldbank_region]:[worldbank_region]],hbe[],5)</f>
        <v>0.875</v>
      </c>
      <c r="AY25">
        <f>VLOOKUP(all_lmics18[[worldbank_region]:[worldbank_region]],hbe[],8)</f>
        <v>0.15</v>
      </c>
    </row>
    <row r="26" spans="1:51" x14ac:dyDescent="0.35">
      <c r="A26" s="12" t="s">
        <v>89</v>
      </c>
      <c r="B26" s="13" t="s">
        <v>57</v>
      </c>
      <c r="C26" s="14" t="s">
        <v>58</v>
      </c>
      <c r="D26">
        <f>VLOOKUP(all_lmics18[[Setting]:[Setting]],populations[],9,FALSE)</f>
        <v>905502</v>
      </c>
      <c r="E26">
        <f>VLOOKUP(all_lmics18[[Setting]:[Setting]],birthrate[],3,FALSE)</f>
        <v>1.9387000000000001E-2</v>
      </c>
      <c r="F26">
        <f>all_lmics18[[#This Row],[2017_population]]*all_lmics18[[#This Row],[2016_birthrate]]</f>
        <v>17554.967274000002</v>
      </c>
      <c r="G26">
        <f>VLOOKUP(all_lmics18[[Setting]:[Setting]],birthdose[],4,FALSE)</f>
        <v>0.9</v>
      </c>
      <c r="H26">
        <f>VLOOKUP(all_lmics18[[Setting]:[Setting]],fullvax[],4,FALSE)</f>
        <v>0.99</v>
      </c>
      <c r="I26">
        <f>IFERROR(VLOOKUP(all_lmics18[[Setting]:[Setting]],prev[],3,FALSE),VLOOKUP(all_lmics18[[who_choice_region]:[who_choice_region]],missing[],2,FALSE))</f>
        <v>0.02</v>
      </c>
      <c r="J26">
        <f>IFERROR(VLOOKUP(all_lmics18[[Setting]:[Setting]],prev[],4,FALSE),VLOOKUP(all_lmics18[[who_choice_region]:[who_choice_region]],missing[],3,FALSE))</f>
        <v>1.7999999999999999E-2</v>
      </c>
      <c r="K26">
        <f>IFERROR(VLOOKUP(all_lmics18[[Setting]:[Setting]],prev[],5,FALSE),VLOOKUP(all_lmics18[[who_choice_region]:[who_choice_region]],missing[],4,FALSE))</f>
        <v>2.3E-2</v>
      </c>
      <c r="L26">
        <f>IFERROR(VLOOKUP(all_lmics18[[Setting]:[Setting]],prev[],7,FALSE),VLOOKUP(all_lmics18[[who_choice_region]:[who_choice_region]],missing[],5,FALSE))</f>
        <v>1.5306122448979589E-3</v>
      </c>
      <c r="M26">
        <f>IFERROR(VLOOKUP(all_lmics18[[Setting]:[Setting]],prev[],6,FALSE),0)</f>
        <v>905502</v>
      </c>
      <c r="N26">
        <f>IFERROR(VLOOKUP(all_lmics18[[Setting]:[Setting]],SBA[],4,FALSE),VLOOKUP(all_lmics18[[who_choice_region]:[who_choice_region]],missing[],6,FALSE))</f>
        <v>0.99900000000000011</v>
      </c>
      <c r="O26">
        <f>IFERROR(VLOOKUP(all_lmics18[[Setting]:[Setting]], facility[], 3,FALSE),VLOOKUP(all_lmics18[[who_choice_region]:[who_choice_region]],missing[],7,FALSE))</f>
        <v>0.98699999999999999</v>
      </c>
      <c r="P26">
        <f>IF(VLOOKUP(all_lmics18[[Setting]:[Setting]],all_cause_mort[],4,FALSE)="",VLOOKUP(all_lmics18[[who_choice_region]:[who_choice_region]],missing[],8,FALSE),VLOOKUP(all_lmics18[[Setting]:[Setting]],all_cause_mort[],4,FALSE))</f>
        <v>2.0703859000000002E-2</v>
      </c>
      <c r="Q26">
        <f>IF(VLOOKUP(all_lmics18[[Setting]:[Setting]],all_cause_mort[],5,FALSE)="",VLOOKUP(all_lmics18[[who_choice_region]:[who_choice_region]],missing[],9,FALSE),VLOOKUP(all_lmics18[[Setting]:[Setting]],all_cause_mort[],5,FALSE))</f>
        <v>1.0995463E-3</v>
      </c>
      <c r="R26">
        <f>IF(VLOOKUP(all_lmics18[[Setting]:[Setting]],all_cause_mort[],6,FALSE)="",VLOOKUP(all_lmics18[[who_choice_region]:[who_choice_region]],missing[],10,FALSE),VLOOKUP(all_lmics18[[Setting]:[Setting]],all_cause_mort[],6,FALSE))</f>
        <v>7.2957983999999995E-4</v>
      </c>
      <c r="S26">
        <f>IF(VLOOKUP(all_lmics18[[Setting]:[Setting]],all_cause_mort[],7,FALSE)="",VLOOKUP(all_lmics18[[who_choice_region]:[who_choice_region]],missing[],11,FALSE),VLOOKUP(all_lmics18[[Setting]:[Setting]],all_cause_mort[],7,FALSE))</f>
        <v>6.7984078000000005E-4</v>
      </c>
      <c r="T26">
        <f>IF(VLOOKUP(all_lmics18[[Setting]:[Setting]],all_cause_mort[],8,FALSE)="",VLOOKUP(all_lmics18[[who_choice_region]:[who_choice_region]],missing[],12,FALSE),VLOOKUP(all_lmics18[[Setting]:[Setting]],all_cause_mort[],8,FALSE))</f>
        <v>1.5237788E-3</v>
      </c>
      <c r="U26">
        <f>IF(VLOOKUP(all_lmics18[[Setting]:[Setting]],all_cause_mort[],9,FALSE)="",VLOOKUP(all_lmics18[[who_choice_region]:[who_choice_region]],missing[],13,FALSE),VLOOKUP(all_lmics18[[Setting]:[Setting]],all_cause_mort[],9,FALSE))</f>
        <v>2.1675984999999999E-3</v>
      </c>
      <c r="V26">
        <f>IF(VLOOKUP(all_lmics18[[Setting]:[Setting]],all_cause_mort[],10,FALSE)="",VLOOKUP(all_lmics18[[who_choice_region]:[who_choice_region]],missing[],14,FALSE),VLOOKUP(all_lmics18[[Setting]:[Setting]],all_cause_mort[],10,FALSE))</f>
        <v>2.4056235000000001E-3</v>
      </c>
      <c r="W26">
        <f>IF(VLOOKUP(all_lmics18[[Setting]:[Setting]],all_cause_mort[],11,FALSE)="",VLOOKUP(all_lmics18[[who_choice_region]:[who_choice_region]],missing[],15,FALSE),VLOOKUP(all_lmics18[[Setting]:[Setting]],all_cause_mort[],11,FALSE))</f>
        <v>2.8231564E-3</v>
      </c>
      <c r="X26">
        <f>IF(VLOOKUP(all_lmics18[[Setting]:[Setting]],all_cause_mort[],12,FALSE)="",VLOOKUP(all_lmics18[[who_choice_region]:[who_choice_region]],missing[],16,FALSE),VLOOKUP(all_lmics18[[Setting]:[Setting]],all_cause_mort[],12,FALSE))</f>
        <v>3.6225836000000002E-3</v>
      </c>
      <c r="Y26">
        <f>IF(VLOOKUP(all_lmics18[[Setting]:[Setting]],all_cause_mort[],13,FALSE)="",VLOOKUP(all_lmics18[[who_choice_region]:[who_choice_region]],missing[],17,FALSE),VLOOKUP(all_lmics18[[Setting]:[Setting]],all_cause_mort[],13,FALSE))</f>
        <v>4.8950621999999996E-3</v>
      </c>
      <c r="Z26">
        <f>IF(VLOOKUP(all_lmics18[[Setting]:[Setting]],all_cause_mort[],14,FALSE)="",VLOOKUP(all_lmics18[[who_choice_region]:[who_choice_region]],missing[],18,FALSE),VLOOKUP(all_lmics18[[Setting]:[Setting]],all_cause_mort[],14,FALSE))</f>
        <v>6.9798292E-3</v>
      </c>
      <c r="AA26">
        <f>IF(VLOOKUP(all_lmics18[[Setting]:[Setting]],all_cause_mort[],15,FALSE)="",VLOOKUP(all_lmics18[[who_choice_region]:[who_choice_region]],missing[],19,FALSE),VLOOKUP(all_lmics18[[Setting]:[Setting]],all_cause_mort[],15,FALSE))</f>
        <v>1.0152255000000001E-2</v>
      </c>
      <c r="AB26">
        <f>IF(VLOOKUP(all_lmics18[[Setting]:[Setting]],all_cause_mort[],16,FALSE)="",VLOOKUP(all_lmics18[[who_choice_region]:[who_choice_region]],missing[],20,FALSE),VLOOKUP(all_lmics18[[Setting]:[Setting]],all_cause_mort[],16,FALSE))</f>
        <v>1.4905674000000001E-2</v>
      </c>
      <c r="AC26">
        <f>IF(VLOOKUP(all_lmics18[[Setting]:[Setting]],all_cause_mort[],17,FALSE)="",VLOOKUP(all_lmics18[[who_choice_region]:[who_choice_region]],missing[],21,FALSE),VLOOKUP(all_lmics18[[Setting]:[Setting]],all_cause_mort[],17,FALSE))</f>
        <v>2.3626244000000001E-2</v>
      </c>
      <c r="AD26">
        <f>IF(VLOOKUP(all_lmics18[[Setting]:[Setting]],all_cause_mort[],18,FALSE)="",VLOOKUP(all_lmics18[[who_choice_region]:[who_choice_region]],missing[],22,FALSE),VLOOKUP(all_lmics18[[Setting]:[Setting]],all_cause_mort[],18,FALSE))</f>
        <v>3.7879847000000001E-2</v>
      </c>
      <c r="AE26">
        <f>IF(VLOOKUP(all_lmics18[[Setting]:[Setting]],all_cause_mort[],19,FALSE)="",VLOOKUP(all_lmics18[[who_choice_region]:[who_choice_region]],missing[],23,FALSE),VLOOKUP(all_lmics18[[Setting]:[Setting]],all_cause_mort[],19,FALSE))</f>
        <v>5.9864582E-2</v>
      </c>
      <c r="AF26">
        <f>IF(VLOOKUP(all_lmics18[[Setting]:[Setting]],all_cause_mort[],20,FALSE)="",VLOOKUP(all_lmics18[[who_choice_region]:[who_choice_region]],missing[],24,FALSE),VLOOKUP(all_lmics18[[Setting]:[Setting]],all_cause_mort[],20,FALSE))</f>
        <v>9.4230981000000005E-2</v>
      </c>
      <c r="AG26">
        <f>IF(VLOOKUP(all_lmics18[[Setting]:[Setting]],all_cause_mort[],21,FALSE)="",VLOOKUP(all_lmics18[[who_choice_region]:[who_choice_region]],missing[],25,FALSE),VLOOKUP(all_lmics18[[Setting]:[Setting]],all_cause_mort[],21,FALSE))</f>
        <v>0.14965116000000001</v>
      </c>
      <c r="AH26">
        <f>IF(VLOOKUP(all_lmics18[[Setting]:[Setting]],all_cause_mort[],22,FALSE)="",VLOOKUP(all_lmics18[[who_choice_region]:[who_choice_region]],missing[],26,FALSE),VLOOKUP(all_lmics18[[Setting]:[Setting]],all_cause_mort[],22,FALSE))</f>
        <v>0.23385951999999999</v>
      </c>
      <c r="AI26">
        <f>IF(VLOOKUP(all_lmics18[[Setting]:[Setting]],all_cause_mort[],23,FALSE)="",VLOOKUP(all_lmics18[[who_choice_region]:[who_choice_region]],missing[],27,FALSE),VLOOKUP(all_lmics18[[Setting]:[Setting]],all_cause_mort[],23,FALSE))</f>
        <v>0.34345299000000001</v>
      </c>
      <c r="AJ26">
        <f>IF(VLOOKUP(all_lmics18[[Setting]:[Setting]],all_cause_mort[],24,FALSE)="",VLOOKUP(all_lmics18[[who_choice_region]:[who_choice_region]],missing[],28,FALSE),VLOOKUP(all_lmics18[[Setting]:[Setting]],all_cause_mort[],24,FALSE))</f>
        <v>0.48201548</v>
      </c>
      <c r="AK26">
        <f>IF(VLOOKUP(all_lmics18[[Setting]:[Setting]],all_cause_mort[],25,FALSE)="",VLOOKUP(all_lmics18[[who_choice_region]:[who_choice_region]],missing[],29,FALSE),VLOOKUP(all_lmics18[[Setting]:[Setting]],all_cause_mort[],25,FALSE))</f>
        <v>0.62447274985139101</v>
      </c>
      <c r="AL26">
        <f>VLOOKUP(all_lmics18[[worldbank_region]:[worldbank_region]],Table13[],2,FALSE)</f>
        <v>73.064384999999987</v>
      </c>
      <c r="AM26">
        <f>VLOOKUP(all_lmics18[[worldbank_region]:[worldbank_region]],Table13[],3,FALSE)</f>
        <v>73.064384999999987</v>
      </c>
      <c r="AN26">
        <f>VLOOKUP(all_lmics18[[worldbank_region]:[worldbank_region]],Table13[],4,FALSE)</f>
        <v>120.79324499999998</v>
      </c>
      <c r="AO26">
        <f>VLOOKUP(all_lmics18[[worldbank_region]:[worldbank_region]],Table13[],5,FALSE)</f>
        <v>120.79324499999998</v>
      </c>
      <c r="AP26">
        <f>VLOOKUP(all_lmics18[[worldbank_region]:[worldbank_region]],Table13[],6,FALSE)</f>
        <v>120.79324499999998</v>
      </c>
      <c r="AQ26">
        <f>VLOOKUP(all_lmics18[[worldbank_region]:[worldbank_region]],Table14[],2,FALSE)</f>
        <v>1.34029</v>
      </c>
      <c r="AR26">
        <f>VLOOKUP(all_lmics18[[worldbank_region]:[worldbank_region]],Table14[],3,FALSE)</f>
        <v>1.9577900000000001</v>
      </c>
      <c r="AS26">
        <f>VLOOKUP(all_lmics18[[worldbank_region]:[worldbank_region]],Table14[],4,FALSE)</f>
        <v>1.9723159999999997</v>
      </c>
      <c r="AT26">
        <f>VLOOKUP(all_lmics18[[worldbank_region]:[worldbank_region]],Table14[],5,FALSE)</f>
        <v>2.5898159999999999</v>
      </c>
      <c r="AU26">
        <f>VLOOKUP(all_lmics18[[worldbank_region]:[worldbank_region]],Table14[],6,FALSE)</f>
        <v>3.1600679999999999</v>
      </c>
      <c r="AV26">
        <f>IFERROR(VLOOKUP(all_lmics18[[Setting]:[Setting]],nFacSBA[],4,FALSE),VLOOKUP(all_lmics18[[who_choice_region]:[who_choice_region]],missing[],30,FALSE))</f>
        <v>0.15985670213371023</v>
      </c>
      <c r="AW26">
        <f>VLOOKUP(all_lmics18[[worldbank_region]:[worldbank_region]],hbe[],2)</f>
        <v>0.3</v>
      </c>
      <c r="AX26">
        <f>VLOOKUP(all_lmics18[[worldbank_region]:[worldbank_region]],hbe[],5)</f>
        <v>0.875</v>
      </c>
      <c r="AY26">
        <f>VLOOKUP(all_lmics18[[worldbank_region]:[worldbank_region]],hbe[],8)</f>
        <v>0.15</v>
      </c>
    </row>
    <row r="27" spans="1:51" x14ac:dyDescent="0.35">
      <c r="A27" s="8" t="s">
        <v>94</v>
      </c>
      <c r="B27" s="10" t="s">
        <v>10</v>
      </c>
      <c r="C27" s="11" t="s">
        <v>11</v>
      </c>
      <c r="D27">
        <f>VLOOKUP(all_lmics18[[Setting]:[Setting]],populations[],9,FALSE)</f>
        <v>3717100</v>
      </c>
      <c r="E27">
        <f>VLOOKUP(all_lmics18[[Setting]:[Setting]],birthrate[],3,FALSE)</f>
        <v>1.3499000000000001E-2</v>
      </c>
      <c r="F27">
        <f>all_lmics18[[#This Row],[2017_population]]*all_lmics18[[#This Row],[2016_birthrate]]</f>
        <v>50177.132900000004</v>
      </c>
      <c r="G27">
        <f>VLOOKUP(all_lmics18[[Setting]:[Setting]],birthdose[],4,FALSE)</f>
        <v>0.94</v>
      </c>
      <c r="H27">
        <f>VLOOKUP(all_lmics18[[Setting]:[Setting]],fullvax[],4,FALSE)</f>
        <v>0.91</v>
      </c>
      <c r="I27">
        <f>IFERROR(VLOOKUP(all_lmics18[[Setting]:[Setting]],prev[],3,FALSE),VLOOKUP(all_lmics18[[who_choice_region]:[who_choice_region]],missing[],2,FALSE))</f>
        <v>2.5000000000000001E-2</v>
      </c>
      <c r="J27">
        <f>IFERROR(VLOOKUP(all_lmics18[[Setting]:[Setting]],prev[],4,FALSE),VLOOKUP(all_lmics18[[who_choice_region]:[who_choice_region]],missing[],3,FALSE))</f>
        <v>1.9E-2</v>
      </c>
      <c r="K27">
        <f>IFERROR(VLOOKUP(all_lmics18[[Setting]:[Setting]],prev[],5,FALSE),VLOOKUP(all_lmics18[[who_choice_region]:[who_choice_region]],missing[],4,FALSE))</f>
        <v>3.5999999999999997E-2</v>
      </c>
      <c r="L27">
        <f>IFERROR(VLOOKUP(all_lmics18[[Setting]:[Setting]],prev[],7,FALSE),VLOOKUP(all_lmics18[[who_choice_region]:[who_choice_region]],missing[],5,FALSE))</f>
        <v>5.6122448979591816E-3</v>
      </c>
      <c r="M27">
        <f>IFERROR(VLOOKUP(all_lmics18[[Setting]:[Setting]],prev[],6,FALSE),0)</f>
        <v>3717100</v>
      </c>
      <c r="N27">
        <f>IFERROR(VLOOKUP(all_lmics18[[Setting]:[Setting]],SBA[],4,FALSE),VLOOKUP(all_lmics18[[who_choice_region]:[who_choice_region]],missing[],6,FALSE))</f>
        <v>0.99900000000000011</v>
      </c>
      <c r="O27">
        <f>IFERROR(VLOOKUP(all_lmics18[[Setting]:[Setting]], facility[], 3,FALSE),VLOOKUP(all_lmics18[[who_choice_region]:[who_choice_region]],missing[],7,FALSE))</f>
        <v>0.998</v>
      </c>
      <c r="P27">
        <f>IF(VLOOKUP(all_lmics18[[Setting]:[Setting]],all_cause_mort[],4,FALSE)="",VLOOKUP(all_lmics18[[who_choice_region]:[who_choice_region]],missing[],8,FALSE),VLOOKUP(all_lmics18[[Setting]:[Setting]],all_cause_mort[],4,FALSE))</f>
        <v>9.4546308000000006E-3</v>
      </c>
      <c r="Q27">
        <f>IF(VLOOKUP(all_lmics18[[Setting]:[Setting]],all_cause_mort[],5,FALSE)="",VLOOKUP(all_lmics18[[who_choice_region]:[who_choice_region]],missing[],9,FALSE),VLOOKUP(all_lmics18[[Setting]:[Setting]],all_cause_mort[],5,FALSE))</f>
        <v>1.9807228E-4</v>
      </c>
      <c r="R27">
        <f>IF(VLOOKUP(all_lmics18[[Setting]:[Setting]],all_cause_mort[],6,FALSE)="",VLOOKUP(all_lmics18[[who_choice_region]:[who_choice_region]],missing[],10,FALSE),VLOOKUP(all_lmics18[[Setting]:[Setting]],all_cause_mort[],6,FALSE))</f>
        <v>2.0746067999999999E-4</v>
      </c>
      <c r="S27">
        <f>IF(VLOOKUP(all_lmics18[[Setting]:[Setting]],all_cause_mort[],7,FALSE)="",VLOOKUP(all_lmics18[[who_choice_region]:[who_choice_region]],missing[],11,FALSE),VLOOKUP(all_lmics18[[Setting]:[Setting]],all_cause_mort[],7,FALSE))</f>
        <v>2.4017242000000001E-4</v>
      </c>
      <c r="T27">
        <f>IF(VLOOKUP(all_lmics18[[Setting]:[Setting]],all_cause_mort[],8,FALSE)="",VLOOKUP(all_lmics18[[who_choice_region]:[who_choice_region]],missing[],12,FALSE),VLOOKUP(all_lmics18[[Setting]:[Setting]],all_cause_mort[],8,FALSE))</f>
        <v>4.5800474E-4</v>
      </c>
      <c r="U27">
        <f>IF(VLOOKUP(all_lmics18[[Setting]:[Setting]],all_cause_mort[],9,FALSE)="",VLOOKUP(all_lmics18[[who_choice_region]:[who_choice_region]],missing[],13,FALSE),VLOOKUP(all_lmics18[[Setting]:[Setting]],all_cause_mort[],9,FALSE))</f>
        <v>7.6180599E-4</v>
      </c>
      <c r="V27">
        <f>IF(VLOOKUP(all_lmics18[[Setting]:[Setting]],all_cause_mort[],10,FALSE)="",VLOOKUP(all_lmics18[[who_choice_region]:[who_choice_region]],missing[],14,FALSE),VLOOKUP(all_lmics18[[Setting]:[Setting]],all_cause_mort[],10,FALSE))</f>
        <v>9.4038273999999999E-4</v>
      </c>
      <c r="W27">
        <f>IF(VLOOKUP(all_lmics18[[Setting]:[Setting]],all_cause_mort[],11,FALSE)="",VLOOKUP(all_lmics18[[who_choice_region]:[who_choice_region]],missing[],15,FALSE),VLOOKUP(all_lmics18[[Setting]:[Setting]],all_cause_mort[],11,FALSE))</f>
        <v>1.4049372000000001E-3</v>
      </c>
      <c r="X27">
        <f>IF(VLOOKUP(all_lmics18[[Setting]:[Setting]],all_cause_mort[],12,FALSE)="",VLOOKUP(all_lmics18[[who_choice_region]:[who_choice_region]],missing[],16,FALSE),VLOOKUP(all_lmics18[[Setting]:[Setting]],all_cause_mort[],12,FALSE))</f>
        <v>1.9982443999999999E-3</v>
      </c>
      <c r="Y27">
        <f>IF(VLOOKUP(all_lmics18[[Setting]:[Setting]],all_cause_mort[],13,FALSE)="",VLOOKUP(all_lmics18[[who_choice_region]:[who_choice_region]],missing[],17,FALSE),VLOOKUP(all_lmics18[[Setting]:[Setting]],all_cause_mort[],13,FALSE))</f>
        <v>3.099475E-3</v>
      </c>
      <c r="Z27">
        <f>IF(VLOOKUP(all_lmics18[[Setting]:[Setting]],all_cause_mort[],14,FALSE)="",VLOOKUP(all_lmics18[[who_choice_region]:[who_choice_region]],missing[],18,FALSE),VLOOKUP(all_lmics18[[Setting]:[Setting]],all_cause_mort[],14,FALSE))</f>
        <v>5.0938577000000001E-3</v>
      </c>
      <c r="AA27">
        <f>IF(VLOOKUP(all_lmics18[[Setting]:[Setting]],all_cause_mort[],15,FALSE)="",VLOOKUP(all_lmics18[[who_choice_region]:[who_choice_region]],missing[],19,FALSE),VLOOKUP(all_lmics18[[Setting]:[Setting]],all_cause_mort[],15,FALSE))</f>
        <v>7.5443478999999997E-3</v>
      </c>
      <c r="AB27">
        <f>IF(VLOOKUP(all_lmics18[[Setting]:[Setting]],all_cause_mort[],16,FALSE)="",VLOOKUP(all_lmics18[[who_choice_region]:[who_choice_region]],missing[],20,FALSE),VLOOKUP(all_lmics18[[Setting]:[Setting]],all_cause_mort[],16,FALSE))</f>
        <v>1.1202004E-2</v>
      </c>
      <c r="AC27">
        <f>IF(VLOOKUP(all_lmics18[[Setting]:[Setting]],all_cause_mort[],17,FALSE)="",VLOOKUP(all_lmics18[[who_choice_region]:[who_choice_region]],missing[],21,FALSE),VLOOKUP(all_lmics18[[Setting]:[Setting]],all_cause_mort[],17,FALSE))</f>
        <v>1.6347832999999999E-2</v>
      </c>
      <c r="AD27">
        <f>IF(VLOOKUP(all_lmics18[[Setting]:[Setting]],all_cause_mort[],18,FALSE)="",VLOOKUP(all_lmics18[[who_choice_region]:[who_choice_region]],missing[],22,FALSE),VLOOKUP(all_lmics18[[Setting]:[Setting]],all_cause_mort[],18,FALSE))</f>
        <v>2.3644893E-2</v>
      </c>
      <c r="AE27">
        <f>IF(VLOOKUP(all_lmics18[[Setting]:[Setting]],all_cause_mort[],19,FALSE)="",VLOOKUP(all_lmics18[[who_choice_region]:[who_choice_region]],missing[],23,FALSE),VLOOKUP(all_lmics18[[Setting]:[Setting]],all_cause_mort[],19,FALSE))</f>
        <v>3.9309016000000002E-2</v>
      </c>
      <c r="AF27">
        <f>IF(VLOOKUP(all_lmics18[[Setting]:[Setting]],all_cause_mort[],20,FALSE)="",VLOOKUP(all_lmics18[[who_choice_region]:[who_choice_region]],missing[],24,FALSE),VLOOKUP(all_lmics18[[Setting]:[Setting]],all_cause_mort[],20,FALSE))</f>
        <v>6.6808330999999999E-2</v>
      </c>
      <c r="AG27">
        <f>IF(VLOOKUP(all_lmics18[[Setting]:[Setting]],all_cause_mort[],21,FALSE)="",VLOOKUP(all_lmics18[[who_choice_region]:[who_choice_region]],missing[],25,FALSE),VLOOKUP(all_lmics18[[Setting]:[Setting]],all_cause_mort[],21,FALSE))</f>
        <v>0.10964259</v>
      </c>
      <c r="AH27">
        <f>IF(VLOOKUP(all_lmics18[[Setting]:[Setting]],all_cause_mort[],22,FALSE)="",VLOOKUP(all_lmics18[[who_choice_region]:[who_choice_region]],missing[],26,FALSE),VLOOKUP(all_lmics18[[Setting]:[Setting]],all_cause_mort[],22,FALSE))</f>
        <v>0.17324039999999999</v>
      </c>
      <c r="AI27">
        <f>IF(VLOOKUP(all_lmics18[[Setting]:[Setting]],all_cause_mort[],23,FALSE)="",VLOOKUP(all_lmics18[[who_choice_region]:[who_choice_region]],missing[],27,FALSE),VLOOKUP(all_lmics18[[Setting]:[Setting]],all_cause_mort[],23,FALSE))</f>
        <v>0.26773670999999999</v>
      </c>
      <c r="AJ27">
        <f>IF(VLOOKUP(all_lmics18[[Setting]:[Setting]],all_cause_mort[],24,FALSE)="",VLOOKUP(all_lmics18[[who_choice_region]:[who_choice_region]],missing[],28,FALSE),VLOOKUP(all_lmics18[[Setting]:[Setting]],all_cause_mort[],24,FALSE))</f>
        <v>0.38496724999999998</v>
      </c>
      <c r="AK27">
        <f>IF(VLOOKUP(all_lmics18[[Setting]:[Setting]],all_cause_mort[],25,FALSE)="",VLOOKUP(all_lmics18[[who_choice_region]:[who_choice_region]],missing[],29,FALSE),VLOOKUP(all_lmics18[[Setting]:[Setting]],all_cause_mort[],25,FALSE))</f>
        <v>0.52787808634480704</v>
      </c>
      <c r="AL27">
        <f>VLOOKUP(all_lmics18[[worldbank_region]:[worldbank_region]],Table13[],2,FALSE)</f>
        <v>44.525141999999995</v>
      </c>
      <c r="AM27">
        <f>VLOOKUP(all_lmics18[[worldbank_region]:[worldbank_region]],Table13[],3,FALSE)</f>
        <v>44.525141999999995</v>
      </c>
      <c r="AN27">
        <f>VLOOKUP(all_lmics18[[worldbank_region]:[worldbank_region]],Table13[],4,FALSE)</f>
        <v>92.254001999999986</v>
      </c>
      <c r="AO27">
        <f>VLOOKUP(all_lmics18[[worldbank_region]:[worldbank_region]],Table13[],5,FALSE)</f>
        <v>92.254001999999986</v>
      </c>
      <c r="AP27">
        <f>VLOOKUP(all_lmics18[[worldbank_region]:[worldbank_region]],Table13[],6,FALSE)</f>
        <v>92.254001999999986</v>
      </c>
      <c r="AQ27">
        <f>VLOOKUP(all_lmics18[[worldbank_region]:[worldbank_region]],Table14[],2,FALSE)</f>
        <v>6.4182919999999992</v>
      </c>
      <c r="AR27">
        <f>VLOOKUP(all_lmics18[[worldbank_region]:[worldbank_region]],Table14[],3,FALSE)</f>
        <v>7.0357919999999998</v>
      </c>
      <c r="AS27">
        <f>VLOOKUP(all_lmics18[[worldbank_region]:[worldbank_region]],Table14[],4,FALSE)</f>
        <v>10.482872999999998</v>
      </c>
      <c r="AT27">
        <f>VLOOKUP(all_lmics18[[worldbank_region]:[worldbank_region]],Table14[],5,FALSE)</f>
        <v>11.100372999999999</v>
      </c>
      <c r="AU27">
        <f>VLOOKUP(all_lmics18[[worldbank_region]:[worldbank_region]],Table14[],6,FALSE)</f>
        <v>11.670624999999999</v>
      </c>
      <c r="AV27">
        <f>IFERROR(VLOOKUP(all_lmics18[[Setting]:[Setting]],nFacSBA[],4,FALSE),VLOOKUP(all_lmics18[[who_choice_region]:[who_choice_region]],missing[],30,FALSE))</f>
        <v>0.53357812104952496</v>
      </c>
      <c r="AW27">
        <f>VLOOKUP(all_lmics18[[worldbank_region]:[worldbank_region]],hbe[],2)</f>
        <v>0.3</v>
      </c>
      <c r="AX27">
        <f>VLOOKUP(all_lmics18[[worldbank_region]:[worldbank_region]],hbe[],5)</f>
        <v>0.875</v>
      </c>
      <c r="AY27">
        <f>VLOOKUP(all_lmics18[[worldbank_region]:[worldbank_region]],hbe[],8)</f>
        <v>0.15</v>
      </c>
    </row>
    <row r="28" spans="1:51" x14ac:dyDescent="0.35">
      <c r="A28" s="8" t="s">
        <v>98</v>
      </c>
      <c r="B28" s="10" t="s">
        <v>22</v>
      </c>
      <c r="C28" s="11" t="s">
        <v>383</v>
      </c>
      <c r="D28">
        <f>VLOOKUP(all_lmics18[[Setting]:[Setting]],populations[],9,FALSE)</f>
        <v>107825</v>
      </c>
      <c r="E28">
        <f>VLOOKUP(all_lmics18[[Setting]:[Setting]],birthrate[],3,FALSE)</f>
        <v>1.8682999999999998E-2</v>
      </c>
      <c r="F28">
        <f>all_lmics18[[#This Row],[2017_population]]*all_lmics18[[#This Row],[2016_birthrate]]</f>
        <v>2014.4944749999997</v>
      </c>
      <c r="G28">
        <f>VLOOKUP(all_lmics18[[Setting]:[Setting]],birthdose[],4,FALSE)</f>
        <v>0.78</v>
      </c>
      <c r="H28">
        <f>VLOOKUP(all_lmics18[[Setting]:[Setting]],fullvax[],4,FALSE)</f>
        <v>0.96</v>
      </c>
      <c r="I28">
        <f>IFERROR(VLOOKUP(all_lmics18[[Setting]:[Setting]],prev[],3,FALSE),VLOOKUP(all_lmics18[[who_choice_region]:[who_choice_region]],missing[],2,FALSE))</f>
        <v>4.1444892127893984E-3</v>
      </c>
      <c r="J28">
        <f>IFERROR(VLOOKUP(all_lmics18[[Setting]:[Setting]],prev[],4,FALSE),VLOOKUP(all_lmics18[[who_choice_region]:[who_choice_region]],missing[],3,FALSE))</f>
        <v>2.6055266579680684E-3</v>
      </c>
      <c r="K28">
        <f>IFERROR(VLOOKUP(all_lmics18[[Setting]:[Setting]],prev[],5,FALSE),VLOOKUP(all_lmics18[[who_choice_region]:[who_choice_region]],missing[],4,FALSE))</f>
        <v>7.7002555713058798E-3</v>
      </c>
      <c r="L28">
        <f>IFERROR(VLOOKUP(all_lmics18[[Setting]:[Setting]],prev[],7,FALSE),VLOOKUP(all_lmics18[[who_choice_region]:[who_choice_region]],missing[],5,FALSE))</f>
        <v>1.8146552860433664E-3</v>
      </c>
      <c r="M28">
        <f>IFERROR(VLOOKUP(all_lmics18[[Setting]:[Setting]],prev[],6,FALSE),0)</f>
        <v>0</v>
      </c>
      <c r="N28">
        <f>IFERROR(VLOOKUP(all_lmics18[[Setting]:[Setting]],SBA[],4,FALSE),VLOOKUP(all_lmics18[[who_choice_region]:[who_choice_region]],missing[],6,FALSE))</f>
        <v>0.99299999999999999</v>
      </c>
      <c r="O28">
        <f>IFERROR(VLOOKUP(all_lmics18[[Setting]:[Setting]], facility[], 3,FALSE),VLOOKUP(all_lmics18[[who_choice_region]:[who_choice_region]],missing[],7,FALSE))</f>
        <v>0.97897758427523118</v>
      </c>
      <c r="P28">
        <f>IF(VLOOKUP(all_lmics18[[Setting]:[Setting]],all_cause_mort[],4,FALSE)="",VLOOKUP(all_lmics18[[who_choice_region]:[who_choice_region]],missing[],8,FALSE),VLOOKUP(all_lmics18[[Setting]:[Setting]],all_cause_mort[],4,FALSE))</f>
        <v>1.5205241E-2</v>
      </c>
      <c r="Q28">
        <f>IF(VLOOKUP(all_lmics18[[Setting]:[Setting]],all_cause_mort[],5,FALSE)="",VLOOKUP(all_lmics18[[who_choice_region]:[who_choice_region]],missing[],9,FALSE),VLOOKUP(all_lmics18[[Setting]:[Setting]],all_cause_mort[],5,FALSE))</f>
        <v>3.6768591000000002E-4</v>
      </c>
      <c r="R28">
        <f>IF(VLOOKUP(all_lmics18[[Setting]:[Setting]],all_cause_mort[],6,FALSE)="",VLOOKUP(all_lmics18[[who_choice_region]:[who_choice_region]],missing[],10,FALSE),VLOOKUP(all_lmics18[[Setting]:[Setting]],all_cause_mort[],6,FALSE))</f>
        <v>3.8862499999999997E-4</v>
      </c>
      <c r="S28">
        <f>IF(VLOOKUP(all_lmics18[[Setting]:[Setting]],all_cause_mort[],7,FALSE)="",VLOOKUP(all_lmics18[[who_choice_region]:[who_choice_region]],missing[],11,FALSE),VLOOKUP(all_lmics18[[Setting]:[Setting]],all_cause_mort[],7,FALSE))</f>
        <v>3.6863312E-4</v>
      </c>
      <c r="T28">
        <f>IF(VLOOKUP(all_lmics18[[Setting]:[Setting]],all_cause_mort[],8,FALSE)="",VLOOKUP(all_lmics18[[who_choice_region]:[who_choice_region]],missing[],12,FALSE),VLOOKUP(all_lmics18[[Setting]:[Setting]],all_cause_mort[],8,FALSE))</f>
        <v>8.6650633000000005E-4</v>
      </c>
      <c r="U28">
        <f>IF(VLOOKUP(all_lmics18[[Setting]:[Setting]],all_cause_mort[],9,FALSE)="",VLOOKUP(all_lmics18[[who_choice_region]:[who_choice_region]],missing[],13,FALSE),VLOOKUP(all_lmics18[[Setting]:[Setting]],all_cause_mort[],9,FALSE))</f>
        <v>1.1788629E-3</v>
      </c>
      <c r="V28">
        <f>IF(VLOOKUP(all_lmics18[[Setting]:[Setting]],all_cause_mort[],10,FALSE)="",VLOOKUP(all_lmics18[[who_choice_region]:[who_choice_region]],missing[],14,FALSE),VLOOKUP(all_lmics18[[Setting]:[Setting]],all_cause_mort[],10,FALSE))</f>
        <v>1.2651289E-3</v>
      </c>
      <c r="W28">
        <f>IF(VLOOKUP(all_lmics18[[Setting]:[Setting]],all_cause_mort[],11,FALSE)="",VLOOKUP(all_lmics18[[who_choice_region]:[who_choice_region]],missing[],15,FALSE),VLOOKUP(all_lmics18[[Setting]:[Setting]],all_cause_mort[],11,FALSE))</f>
        <v>1.5145988999999999E-3</v>
      </c>
      <c r="X28">
        <f>IF(VLOOKUP(all_lmics18[[Setting]:[Setting]],all_cause_mort[],12,FALSE)="",VLOOKUP(all_lmics18[[who_choice_region]:[who_choice_region]],missing[],16,FALSE),VLOOKUP(all_lmics18[[Setting]:[Setting]],all_cause_mort[],12,FALSE))</f>
        <v>2.0437974000000001E-3</v>
      </c>
      <c r="Y28">
        <f>IF(VLOOKUP(all_lmics18[[Setting]:[Setting]],all_cause_mort[],13,FALSE)="",VLOOKUP(all_lmics18[[who_choice_region]:[who_choice_region]],missing[],17,FALSE),VLOOKUP(all_lmics18[[Setting]:[Setting]],all_cause_mort[],13,FALSE))</f>
        <v>2.9697972000000002E-3</v>
      </c>
      <c r="Z28">
        <f>IF(VLOOKUP(all_lmics18[[Setting]:[Setting]],all_cause_mort[],14,FALSE)="",VLOOKUP(all_lmics18[[who_choice_region]:[who_choice_region]],missing[],18,FALSE),VLOOKUP(all_lmics18[[Setting]:[Setting]],all_cause_mort[],14,FALSE))</f>
        <v>4.5809277999999997E-3</v>
      </c>
      <c r="AA28">
        <f>IF(VLOOKUP(all_lmics18[[Setting]:[Setting]],all_cause_mort[],15,FALSE)="",VLOOKUP(all_lmics18[[who_choice_region]:[who_choice_region]],missing[],19,FALSE),VLOOKUP(all_lmics18[[Setting]:[Setting]],all_cause_mort[],15,FALSE))</f>
        <v>7.0823346999999998E-3</v>
      </c>
      <c r="AB28">
        <f>IF(VLOOKUP(all_lmics18[[Setting]:[Setting]],all_cause_mort[],16,FALSE)="",VLOOKUP(all_lmics18[[who_choice_region]:[who_choice_region]],missing[],20,FALSE),VLOOKUP(all_lmics18[[Setting]:[Setting]],all_cause_mort[],16,FALSE))</f>
        <v>1.0943992E-2</v>
      </c>
      <c r="AC28">
        <f>IF(VLOOKUP(all_lmics18[[Setting]:[Setting]],all_cause_mort[],17,FALSE)="",VLOOKUP(all_lmics18[[who_choice_region]:[who_choice_region]],missing[],21,FALSE),VLOOKUP(all_lmics18[[Setting]:[Setting]],all_cause_mort[],17,FALSE))</f>
        <v>1.7214912999999998E-2</v>
      </c>
      <c r="AD28">
        <f>IF(VLOOKUP(all_lmics18[[Setting]:[Setting]],all_cause_mort[],18,FALSE)="",VLOOKUP(all_lmics18[[who_choice_region]:[who_choice_region]],missing[],22,FALSE),VLOOKUP(all_lmics18[[Setting]:[Setting]],all_cause_mort[],18,FALSE))</f>
        <v>2.7010934E-2</v>
      </c>
      <c r="AE28">
        <f>IF(VLOOKUP(all_lmics18[[Setting]:[Setting]],all_cause_mort[],19,FALSE)="",VLOOKUP(all_lmics18[[who_choice_region]:[who_choice_region]],missing[],23,FALSE),VLOOKUP(all_lmics18[[Setting]:[Setting]],all_cause_mort[],19,FALSE))</f>
        <v>4.2469729999999997E-2</v>
      </c>
      <c r="AF28">
        <f>IF(VLOOKUP(all_lmics18[[Setting]:[Setting]],all_cause_mort[],20,FALSE)="",VLOOKUP(all_lmics18[[who_choice_region]:[who_choice_region]],missing[],24,FALSE),VLOOKUP(all_lmics18[[Setting]:[Setting]],all_cause_mort[],20,FALSE))</f>
        <v>6.8931205999999995E-2</v>
      </c>
      <c r="AG28">
        <f>IF(VLOOKUP(all_lmics18[[Setting]:[Setting]],all_cause_mort[],21,FALSE)="",VLOOKUP(all_lmics18[[who_choice_region]:[who_choice_region]],missing[],25,FALSE),VLOOKUP(all_lmics18[[Setting]:[Setting]],all_cause_mort[],21,FALSE))</f>
        <v>0.11208694</v>
      </c>
      <c r="AH28">
        <f>IF(VLOOKUP(all_lmics18[[Setting]:[Setting]],all_cause_mort[],22,FALSE)="",VLOOKUP(all_lmics18[[who_choice_region]:[who_choice_region]],missing[],26,FALSE),VLOOKUP(all_lmics18[[Setting]:[Setting]],all_cause_mort[],22,FALSE))</f>
        <v>0.17842305</v>
      </c>
      <c r="AI28">
        <f>IF(VLOOKUP(all_lmics18[[Setting]:[Setting]],all_cause_mort[],23,FALSE)="",VLOOKUP(all_lmics18[[who_choice_region]:[who_choice_region]],missing[],27,FALSE),VLOOKUP(all_lmics18[[Setting]:[Setting]],all_cause_mort[],23,FALSE))</f>
        <v>0.26956862999999998</v>
      </c>
      <c r="AJ28">
        <f>IF(VLOOKUP(all_lmics18[[Setting]:[Setting]],all_cause_mort[],24,FALSE)="",VLOOKUP(all_lmics18[[who_choice_region]:[who_choice_region]],missing[],28,FALSE),VLOOKUP(all_lmics18[[Setting]:[Setting]],all_cause_mort[],24,FALSE))</f>
        <v>0.39084704999999997</v>
      </c>
      <c r="AK28">
        <f>IF(VLOOKUP(all_lmics18[[Setting]:[Setting]],all_cause_mort[],25,FALSE)="",VLOOKUP(all_lmics18[[who_choice_region]:[who_choice_region]],missing[],29,FALSE),VLOOKUP(all_lmics18[[Setting]:[Setting]],all_cause_mort[],25,FALSE))</f>
        <v>0.53690880233525295</v>
      </c>
      <c r="AL28">
        <f>VLOOKUP(all_lmics18[[worldbank_region]:[worldbank_region]],Table13[],2,FALSE)</f>
        <v>86.85998699999999</v>
      </c>
      <c r="AM28">
        <f>VLOOKUP(all_lmics18[[worldbank_region]:[worldbank_region]],Table13[],3,FALSE)</f>
        <v>86.85998699999999</v>
      </c>
      <c r="AN28">
        <f>VLOOKUP(all_lmics18[[worldbank_region]:[worldbank_region]],Table13[],4,FALSE)</f>
        <v>134.58884699999999</v>
      </c>
      <c r="AO28">
        <f>VLOOKUP(all_lmics18[[worldbank_region]:[worldbank_region]],Table13[],5,FALSE)</f>
        <v>134.58884699999999</v>
      </c>
      <c r="AP28">
        <f>VLOOKUP(all_lmics18[[worldbank_region]:[worldbank_region]],Table13[],6,FALSE)</f>
        <v>134.58884699999999</v>
      </c>
      <c r="AQ28">
        <f>VLOOKUP(all_lmics18[[worldbank_region]:[worldbank_region]],Table14[],2,FALSE)</f>
        <v>1.514642</v>
      </c>
      <c r="AR28">
        <f>VLOOKUP(all_lmics18[[worldbank_region]:[worldbank_region]],Table14[],3,FALSE)</f>
        <v>2.132142</v>
      </c>
      <c r="AS28">
        <f>VLOOKUP(all_lmics18[[worldbank_region]:[worldbank_region]],Table14[],4,FALSE)</f>
        <v>1.5364360000000001</v>
      </c>
      <c r="AT28">
        <f>VLOOKUP(all_lmics18[[worldbank_region]:[worldbank_region]],Table14[],5,FALSE)</f>
        <v>2.1539359999999999</v>
      </c>
      <c r="AU28">
        <f>VLOOKUP(all_lmics18[[worldbank_region]:[worldbank_region]],Table14[],6,FALSE)</f>
        <v>2.7241879999999998</v>
      </c>
      <c r="AV28">
        <f>IFERROR(VLOOKUP(all_lmics18[[Setting]:[Setting]],nFacSBA[],4,FALSE),VLOOKUP(all_lmics18[[who_choice_region]:[who_choice_region]],missing[],30,FALSE))</f>
        <v>0.204083371647339</v>
      </c>
      <c r="AW28">
        <f>VLOOKUP(all_lmics18[[worldbank_region]:[worldbank_region]],hbe[],2)</f>
        <v>0.3</v>
      </c>
      <c r="AX28">
        <f>VLOOKUP(all_lmics18[[worldbank_region]:[worldbank_region]],hbe[],5)</f>
        <v>0.875</v>
      </c>
      <c r="AY28">
        <f>VLOOKUP(all_lmics18[[worldbank_region]:[worldbank_region]],hbe[],8)</f>
        <v>0.15</v>
      </c>
    </row>
    <row r="29" spans="1:51" x14ac:dyDescent="0.35">
      <c r="A29" s="12" t="s">
        <v>99</v>
      </c>
      <c r="B29" s="13" t="s">
        <v>46</v>
      </c>
      <c r="C29" s="14" t="s">
        <v>383</v>
      </c>
      <c r="D29">
        <f>VLOOKUP(all_lmics18[[Setting]:[Setting]],populations[],9,FALSE)</f>
        <v>16913503</v>
      </c>
      <c r="E29">
        <f>VLOOKUP(all_lmics18[[Setting]:[Setting]],birthrate[],3,FALSE)</f>
        <v>2.5273E-2</v>
      </c>
      <c r="F29">
        <f>all_lmics18[[#This Row],[2017_population]]*all_lmics18[[#This Row],[2016_birthrate]]</f>
        <v>427454.96131899999</v>
      </c>
      <c r="G29">
        <f>VLOOKUP(all_lmics18[[Setting]:[Setting]],birthdose[],4,FALSE)</f>
        <v>0.45</v>
      </c>
      <c r="H29">
        <f>VLOOKUP(all_lmics18[[Setting]:[Setting]],fullvax[],4,FALSE)</f>
        <v>0.82</v>
      </c>
      <c r="I29">
        <f>IFERROR(VLOOKUP(all_lmics18[[Setting]:[Setting]],prev[],3,FALSE),VLOOKUP(all_lmics18[[who_choice_region]:[who_choice_region]],missing[],2,FALSE))</f>
        <v>6.0000000000000001E-3</v>
      </c>
      <c r="J29">
        <f>IFERROR(VLOOKUP(all_lmics18[[Setting]:[Setting]],prev[],4,FALSE),VLOOKUP(all_lmics18[[who_choice_region]:[who_choice_region]],missing[],3,FALSE))</f>
        <v>4.0000000000000001E-3</v>
      </c>
      <c r="K29">
        <f>IFERROR(VLOOKUP(all_lmics18[[Setting]:[Setting]],prev[],5,FALSE),VLOOKUP(all_lmics18[[who_choice_region]:[who_choice_region]],missing[],4,FALSE))</f>
        <v>7.0000000000000001E-3</v>
      </c>
      <c r="L29">
        <f>IFERROR(VLOOKUP(all_lmics18[[Setting]:[Setting]],prev[],7,FALSE),VLOOKUP(all_lmics18[[who_choice_region]:[who_choice_region]],missing[],5,FALSE))</f>
        <v>5.1020408163265311E-4</v>
      </c>
      <c r="M29">
        <f>IFERROR(VLOOKUP(all_lmics18[[Setting]:[Setting]],prev[],6,FALSE),0)</f>
        <v>16913503</v>
      </c>
      <c r="N29">
        <f>IFERROR(VLOOKUP(all_lmics18[[Setting]:[Setting]],SBA[],4,FALSE),VLOOKUP(all_lmics18[[who_choice_region]:[who_choice_region]],missing[],6,FALSE))</f>
        <v>0.65500000000000003</v>
      </c>
      <c r="O29">
        <f>IFERROR(VLOOKUP(all_lmics18[[Setting]:[Setting]], facility[], 3,FALSE),VLOOKUP(all_lmics18[[who_choice_region]:[who_choice_region]],missing[],7,FALSE))</f>
        <v>0.65</v>
      </c>
      <c r="P29">
        <f>IF(VLOOKUP(all_lmics18[[Setting]:[Setting]],all_cause_mort[],4,FALSE)="",VLOOKUP(all_lmics18[[who_choice_region]:[who_choice_region]],missing[],8,FALSE),VLOOKUP(all_lmics18[[Setting]:[Setting]],all_cause_mort[],4,FALSE))</f>
        <v>2.1100568E-2</v>
      </c>
      <c r="Q29">
        <f>IF(VLOOKUP(all_lmics18[[Setting]:[Setting]],all_cause_mort[],5,FALSE)="",VLOOKUP(all_lmics18[[who_choice_region]:[who_choice_region]],missing[],9,FALSE),VLOOKUP(all_lmics18[[Setting]:[Setting]],all_cause_mort[],5,FALSE))</f>
        <v>1.3732325E-3</v>
      </c>
      <c r="R29">
        <f>IF(VLOOKUP(all_lmics18[[Setting]:[Setting]],all_cause_mort[],6,FALSE)="",VLOOKUP(all_lmics18[[who_choice_region]:[who_choice_region]],missing[],10,FALSE),VLOOKUP(all_lmics18[[Setting]:[Setting]],all_cause_mort[],6,FALSE))</f>
        <v>3.6281135E-4</v>
      </c>
      <c r="S29">
        <f>IF(VLOOKUP(all_lmics18[[Setting]:[Setting]],all_cause_mort[],7,FALSE)="",VLOOKUP(all_lmics18[[who_choice_region]:[who_choice_region]],missing[],11,FALSE),VLOOKUP(all_lmics18[[Setting]:[Setting]],all_cause_mort[],7,FALSE))</f>
        <v>5.2198914000000003E-4</v>
      </c>
      <c r="T29">
        <f>IF(VLOOKUP(all_lmics18[[Setting]:[Setting]],all_cause_mort[],8,FALSE)="",VLOOKUP(all_lmics18[[who_choice_region]:[who_choice_region]],missing[],12,FALSE),VLOOKUP(all_lmics18[[Setting]:[Setting]],all_cause_mort[],8,FALSE))</f>
        <v>1.1124119000000001E-3</v>
      </c>
      <c r="U29">
        <f>IF(VLOOKUP(all_lmics18[[Setting]:[Setting]],all_cause_mort[],9,FALSE)="",VLOOKUP(all_lmics18[[who_choice_region]:[who_choice_region]],missing[],13,FALSE),VLOOKUP(all_lmics18[[Setting]:[Setting]],all_cause_mort[],9,FALSE))</f>
        <v>1.9088193000000001E-3</v>
      </c>
      <c r="V29">
        <f>IF(VLOOKUP(all_lmics18[[Setting]:[Setting]],all_cause_mort[],10,FALSE)="",VLOOKUP(all_lmics18[[who_choice_region]:[who_choice_region]],missing[],14,FALSE),VLOOKUP(all_lmics18[[Setting]:[Setting]],all_cause_mort[],10,FALSE))</f>
        <v>2.538434E-3</v>
      </c>
      <c r="W29">
        <f>IF(VLOOKUP(all_lmics18[[Setting]:[Setting]],all_cause_mort[],11,FALSE)="",VLOOKUP(all_lmics18[[who_choice_region]:[who_choice_region]],missing[],15,FALSE),VLOOKUP(all_lmics18[[Setting]:[Setting]],all_cause_mort[],11,FALSE))</f>
        <v>2.9316845000000001E-3</v>
      </c>
      <c r="X29">
        <f>IF(VLOOKUP(all_lmics18[[Setting]:[Setting]],all_cause_mort[],12,FALSE)="",VLOOKUP(all_lmics18[[who_choice_region]:[who_choice_region]],missing[],16,FALSE),VLOOKUP(all_lmics18[[Setting]:[Setting]],all_cause_mort[],12,FALSE))</f>
        <v>3.2341980999999998E-3</v>
      </c>
      <c r="Y29">
        <f>IF(VLOOKUP(all_lmics18[[Setting]:[Setting]],all_cause_mort[],13,FALSE)="",VLOOKUP(all_lmics18[[who_choice_region]:[who_choice_region]],missing[],17,FALSE),VLOOKUP(all_lmics18[[Setting]:[Setting]],all_cause_mort[],13,FALSE))</f>
        <v>3.6759391000000001E-3</v>
      </c>
      <c r="Z29">
        <f>IF(VLOOKUP(all_lmics18[[Setting]:[Setting]],all_cause_mort[],14,FALSE)="",VLOOKUP(all_lmics18[[who_choice_region]:[who_choice_region]],missing[],18,FALSE),VLOOKUP(all_lmics18[[Setting]:[Setting]],all_cause_mort[],14,FALSE))</f>
        <v>4.4906216000000004E-3</v>
      </c>
      <c r="AA29">
        <f>IF(VLOOKUP(all_lmics18[[Setting]:[Setting]],all_cause_mort[],15,FALSE)="",VLOOKUP(all_lmics18[[who_choice_region]:[who_choice_region]],missing[],19,FALSE),VLOOKUP(all_lmics18[[Setting]:[Setting]],all_cause_mort[],15,FALSE))</f>
        <v>5.9246328999999999E-3</v>
      </c>
      <c r="AB29">
        <f>IF(VLOOKUP(all_lmics18[[Setting]:[Setting]],all_cause_mort[],16,FALSE)="",VLOOKUP(all_lmics18[[who_choice_region]:[who_choice_region]],missing[],20,FALSE),VLOOKUP(all_lmics18[[Setting]:[Setting]],all_cause_mort[],16,FALSE))</f>
        <v>8.2837807999999995E-3</v>
      </c>
      <c r="AC29">
        <f>IF(VLOOKUP(all_lmics18[[Setting]:[Setting]],all_cause_mort[],17,FALSE)="",VLOOKUP(all_lmics18[[who_choice_region]:[who_choice_region]],missing[],21,FALSE),VLOOKUP(all_lmics18[[Setting]:[Setting]],all_cause_mort[],17,FALSE))</f>
        <v>1.212647E-2</v>
      </c>
      <c r="AD29">
        <f>IF(VLOOKUP(all_lmics18[[Setting]:[Setting]],all_cause_mort[],18,FALSE)="",VLOOKUP(all_lmics18[[who_choice_region]:[who_choice_region]],missing[],22,FALSE),VLOOKUP(all_lmics18[[Setting]:[Setting]],all_cause_mort[],18,FALSE))</f>
        <v>1.6524727999999999E-2</v>
      </c>
      <c r="AE29">
        <f>IF(VLOOKUP(all_lmics18[[Setting]:[Setting]],all_cause_mort[],19,FALSE)="",VLOOKUP(all_lmics18[[who_choice_region]:[who_choice_region]],missing[],23,FALSE),VLOOKUP(all_lmics18[[Setting]:[Setting]],all_cause_mort[],19,FALSE))</f>
        <v>2.4212213E-2</v>
      </c>
      <c r="AF29">
        <f>IF(VLOOKUP(all_lmics18[[Setting]:[Setting]],all_cause_mort[],20,FALSE)="",VLOOKUP(all_lmics18[[who_choice_region]:[who_choice_region]],missing[],24,FALSE),VLOOKUP(all_lmics18[[Setting]:[Setting]],all_cause_mort[],20,FALSE))</f>
        <v>4.2012334999999998E-2</v>
      </c>
      <c r="AG29">
        <f>IF(VLOOKUP(all_lmics18[[Setting]:[Setting]],all_cause_mort[],21,FALSE)="",VLOOKUP(all_lmics18[[who_choice_region]:[who_choice_region]],missing[],25,FALSE),VLOOKUP(all_lmics18[[Setting]:[Setting]],all_cause_mort[],21,FALSE))</f>
        <v>7.3881663E-2</v>
      </c>
      <c r="AH29">
        <f>IF(VLOOKUP(all_lmics18[[Setting]:[Setting]],all_cause_mort[],22,FALSE)="",VLOOKUP(all_lmics18[[who_choice_region]:[who_choice_region]],missing[],26,FALSE),VLOOKUP(all_lmics18[[Setting]:[Setting]],all_cause_mort[],22,FALSE))</f>
        <v>0.12279305</v>
      </c>
      <c r="AI29">
        <f>IF(VLOOKUP(all_lmics18[[Setting]:[Setting]],all_cause_mort[],23,FALSE)="",VLOOKUP(all_lmics18[[who_choice_region]:[who_choice_region]],missing[],27,FALSE),VLOOKUP(all_lmics18[[Setting]:[Setting]],all_cause_mort[],23,FALSE))</f>
        <v>0.19308275</v>
      </c>
      <c r="AJ29">
        <f>IF(VLOOKUP(all_lmics18[[Setting]:[Setting]],all_cause_mort[],24,FALSE)="",VLOOKUP(all_lmics18[[who_choice_region]:[who_choice_region]],missing[],28,FALSE),VLOOKUP(all_lmics18[[Setting]:[Setting]],all_cause_mort[],24,FALSE))</f>
        <v>0.28359353999999998</v>
      </c>
      <c r="AK29">
        <f>IF(VLOOKUP(all_lmics18[[Setting]:[Setting]],all_cause_mort[],25,FALSE)="",VLOOKUP(all_lmics18[[who_choice_region]:[who_choice_region]],missing[],29,FALSE),VLOOKUP(all_lmics18[[Setting]:[Setting]],all_cause_mort[],25,FALSE))</f>
        <v>0.399514749385396</v>
      </c>
      <c r="AL29">
        <f>VLOOKUP(all_lmics18[[worldbank_region]:[worldbank_region]],Table13[],2,FALSE)</f>
        <v>86.85998699999999</v>
      </c>
      <c r="AM29">
        <f>VLOOKUP(all_lmics18[[worldbank_region]:[worldbank_region]],Table13[],3,FALSE)</f>
        <v>86.85998699999999</v>
      </c>
      <c r="AN29">
        <f>VLOOKUP(all_lmics18[[worldbank_region]:[worldbank_region]],Table13[],4,FALSE)</f>
        <v>134.58884699999999</v>
      </c>
      <c r="AO29">
        <f>VLOOKUP(all_lmics18[[worldbank_region]:[worldbank_region]],Table13[],5,FALSE)</f>
        <v>134.58884699999999</v>
      </c>
      <c r="AP29">
        <f>VLOOKUP(all_lmics18[[worldbank_region]:[worldbank_region]],Table13[],6,FALSE)</f>
        <v>134.58884699999999</v>
      </c>
      <c r="AQ29">
        <f>VLOOKUP(all_lmics18[[worldbank_region]:[worldbank_region]],Table14[],2,FALSE)</f>
        <v>1.514642</v>
      </c>
      <c r="AR29">
        <f>VLOOKUP(all_lmics18[[worldbank_region]:[worldbank_region]],Table14[],3,FALSE)</f>
        <v>2.132142</v>
      </c>
      <c r="AS29">
        <f>VLOOKUP(all_lmics18[[worldbank_region]:[worldbank_region]],Table14[],4,FALSE)</f>
        <v>1.5364360000000001</v>
      </c>
      <c r="AT29">
        <f>VLOOKUP(all_lmics18[[worldbank_region]:[worldbank_region]],Table14[],5,FALSE)</f>
        <v>2.1539359999999999</v>
      </c>
      <c r="AU29">
        <f>VLOOKUP(all_lmics18[[worldbank_region]:[worldbank_region]],Table14[],6,FALSE)</f>
        <v>2.7241879999999998</v>
      </c>
      <c r="AV29">
        <f>IFERROR(VLOOKUP(all_lmics18[[Setting]:[Setting]],nFacSBA[],4,FALSE),VLOOKUP(all_lmics18[[who_choice_region]:[who_choice_region]],missing[],30,FALSE))</f>
        <v>1.0107783587950853E-2</v>
      </c>
      <c r="AW29">
        <f>VLOOKUP(all_lmics18[[worldbank_region]:[worldbank_region]],hbe[],2)</f>
        <v>0.3</v>
      </c>
      <c r="AX29">
        <f>VLOOKUP(all_lmics18[[worldbank_region]:[worldbank_region]],hbe[],5)</f>
        <v>0.875</v>
      </c>
      <c r="AY29">
        <f>VLOOKUP(all_lmics18[[worldbank_region]:[worldbank_region]],hbe[],8)</f>
        <v>0.15</v>
      </c>
    </row>
    <row r="30" spans="1:51" x14ac:dyDescent="0.35">
      <c r="A30" s="8" t="s">
        <v>104</v>
      </c>
      <c r="B30" s="10" t="s">
        <v>22</v>
      </c>
      <c r="C30" s="11" t="s">
        <v>383</v>
      </c>
      <c r="D30">
        <f>VLOOKUP(all_lmics18[[Setting]:[Setting]],populations[],9,FALSE)</f>
        <v>9265067</v>
      </c>
      <c r="E30">
        <f>VLOOKUP(all_lmics18[[Setting]:[Setting]],birthrate[],3,FALSE)</f>
        <v>2.1714999999999998E-2</v>
      </c>
      <c r="F30">
        <f>all_lmics18[[#This Row],[2017_population]]*all_lmics18[[#This Row],[2016_birthrate]]</f>
        <v>201190.929905</v>
      </c>
      <c r="G30">
        <f>VLOOKUP(all_lmics18[[Setting]:[Setting]],birthdose[],4,FALSE)</f>
        <v>0.8</v>
      </c>
      <c r="H30">
        <f>VLOOKUP(all_lmics18[[Setting]:[Setting]],fullvax[],4,FALSE)</f>
        <v>0.97</v>
      </c>
      <c r="I30">
        <f>IFERROR(VLOOKUP(all_lmics18[[Setting]:[Setting]],prev[],3,FALSE),VLOOKUP(all_lmics18[[who_choice_region]:[who_choice_region]],missing[],2,FALSE))</f>
        <v>4.1444892127893984E-3</v>
      </c>
      <c r="J30">
        <f>IFERROR(VLOOKUP(all_lmics18[[Setting]:[Setting]],prev[],4,FALSE),VLOOKUP(all_lmics18[[who_choice_region]:[who_choice_region]],missing[],3,FALSE))</f>
        <v>2.6055266579680684E-3</v>
      </c>
      <c r="K30">
        <f>IFERROR(VLOOKUP(all_lmics18[[Setting]:[Setting]],prev[],5,FALSE),VLOOKUP(all_lmics18[[who_choice_region]:[who_choice_region]],missing[],4,FALSE))</f>
        <v>7.7002555713058798E-3</v>
      </c>
      <c r="L30">
        <f>IFERROR(VLOOKUP(all_lmics18[[Setting]:[Setting]],prev[],7,FALSE),VLOOKUP(all_lmics18[[who_choice_region]:[who_choice_region]],missing[],5,FALSE))</f>
        <v>1.8146552860433664E-3</v>
      </c>
      <c r="M30">
        <f>IFERROR(VLOOKUP(all_lmics18[[Setting]:[Setting]],prev[],6,FALSE),0)</f>
        <v>0</v>
      </c>
      <c r="N30">
        <f>IFERROR(VLOOKUP(all_lmics18[[Setting]:[Setting]],SBA[],4,FALSE),VLOOKUP(all_lmics18[[who_choice_region]:[who_choice_region]],missing[],6,FALSE))</f>
        <v>0.82799999999999996</v>
      </c>
      <c r="O30">
        <f>IFERROR(VLOOKUP(all_lmics18[[Setting]:[Setting]], facility[], 3,FALSE),VLOOKUP(all_lmics18[[who_choice_region]:[who_choice_region]],missing[],7,FALSE))</f>
        <v>0.82700000000000007</v>
      </c>
      <c r="P30">
        <f>IF(VLOOKUP(all_lmics18[[Setting]:[Setting]],all_cause_mort[],4,FALSE)="",VLOOKUP(all_lmics18[[who_choice_region]:[who_choice_region]],missing[],8,FALSE),VLOOKUP(all_lmics18[[Setting]:[Setting]],all_cause_mort[],4,FALSE))</f>
        <v>1.5248711999999999E-2</v>
      </c>
      <c r="Q30">
        <f>IF(VLOOKUP(all_lmics18[[Setting]:[Setting]],all_cause_mort[],5,FALSE)="",VLOOKUP(all_lmics18[[who_choice_region]:[who_choice_region]],missing[],9,FALSE),VLOOKUP(all_lmics18[[Setting]:[Setting]],all_cause_mort[],5,FALSE))</f>
        <v>1.5983788E-3</v>
      </c>
      <c r="R30">
        <f>IF(VLOOKUP(all_lmics18[[Setting]:[Setting]],all_cause_mort[],6,FALSE)="",VLOOKUP(all_lmics18[[who_choice_region]:[who_choice_region]],missing[],10,FALSE),VLOOKUP(all_lmics18[[Setting]:[Setting]],all_cause_mort[],6,FALSE))</f>
        <v>8.6078973000000005E-4</v>
      </c>
      <c r="S30">
        <f>IF(VLOOKUP(all_lmics18[[Setting]:[Setting]],all_cause_mort[],7,FALSE)="",VLOOKUP(all_lmics18[[who_choice_region]:[who_choice_region]],missing[],11,FALSE),VLOOKUP(all_lmics18[[Setting]:[Setting]],all_cause_mort[],7,FALSE))</f>
        <v>6.9583274000000004E-4</v>
      </c>
      <c r="T30">
        <f>IF(VLOOKUP(all_lmics18[[Setting]:[Setting]],all_cause_mort[],8,FALSE)="",VLOOKUP(all_lmics18[[who_choice_region]:[who_choice_region]],missing[],12,FALSE),VLOOKUP(all_lmics18[[Setting]:[Setting]],all_cause_mort[],8,FALSE))</f>
        <v>1.0000727000000001E-3</v>
      </c>
      <c r="U30">
        <f>IF(VLOOKUP(all_lmics18[[Setting]:[Setting]],all_cause_mort[],9,FALSE)="",VLOOKUP(all_lmics18[[who_choice_region]:[who_choice_region]],missing[],13,FALSE),VLOOKUP(all_lmics18[[Setting]:[Setting]],all_cause_mort[],9,FALSE))</f>
        <v>1.4643028000000001E-3</v>
      </c>
      <c r="V30">
        <f>IF(VLOOKUP(all_lmics18[[Setting]:[Setting]],all_cause_mort[],10,FALSE)="",VLOOKUP(all_lmics18[[who_choice_region]:[who_choice_region]],missing[],14,FALSE),VLOOKUP(all_lmics18[[Setting]:[Setting]],all_cause_mort[],10,FALSE))</f>
        <v>1.9364807E-3</v>
      </c>
      <c r="W30">
        <f>IF(VLOOKUP(all_lmics18[[Setting]:[Setting]],all_cause_mort[],11,FALSE)="",VLOOKUP(all_lmics18[[who_choice_region]:[who_choice_region]],missing[],15,FALSE),VLOOKUP(all_lmics18[[Setting]:[Setting]],all_cause_mort[],11,FALSE))</f>
        <v>2.3865165000000002E-3</v>
      </c>
      <c r="X30">
        <f>IF(VLOOKUP(all_lmics18[[Setting]:[Setting]],all_cause_mort[],12,FALSE)="",VLOOKUP(all_lmics18[[who_choice_region]:[who_choice_region]],missing[],16,FALSE),VLOOKUP(all_lmics18[[Setting]:[Setting]],all_cause_mort[],12,FALSE))</f>
        <v>2.8518337E-3</v>
      </c>
      <c r="Y30">
        <f>IF(VLOOKUP(all_lmics18[[Setting]:[Setting]],all_cause_mort[],13,FALSE)="",VLOOKUP(all_lmics18[[who_choice_region]:[who_choice_region]],missing[],17,FALSE),VLOOKUP(all_lmics18[[Setting]:[Setting]],all_cause_mort[],13,FALSE))</f>
        <v>3.4294767000000001E-3</v>
      </c>
      <c r="Z30">
        <f>IF(VLOOKUP(all_lmics18[[Setting]:[Setting]],all_cause_mort[],14,FALSE)="",VLOOKUP(all_lmics18[[who_choice_region]:[who_choice_region]],missing[],18,FALSE),VLOOKUP(all_lmics18[[Setting]:[Setting]],all_cause_mort[],14,FALSE))</f>
        <v>4.2675767999999998E-3</v>
      </c>
      <c r="AA30">
        <f>IF(VLOOKUP(all_lmics18[[Setting]:[Setting]],all_cause_mort[],15,FALSE)="",VLOOKUP(all_lmics18[[who_choice_region]:[who_choice_region]],missing[],19,FALSE),VLOOKUP(all_lmics18[[Setting]:[Setting]],all_cause_mort[],15,FALSE))</f>
        <v>5.5948941E-3</v>
      </c>
      <c r="AB30">
        <f>IF(VLOOKUP(all_lmics18[[Setting]:[Setting]],all_cause_mort[],16,FALSE)="",VLOOKUP(all_lmics18[[who_choice_region]:[who_choice_region]],missing[],20,FALSE),VLOOKUP(all_lmics18[[Setting]:[Setting]],all_cause_mort[],16,FALSE))</f>
        <v>7.7627447E-3</v>
      </c>
      <c r="AC30">
        <f>IF(VLOOKUP(all_lmics18[[Setting]:[Setting]],all_cause_mort[],17,FALSE)="",VLOOKUP(all_lmics18[[who_choice_region]:[who_choice_region]],missing[],21,FALSE),VLOOKUP(all_lmics18[[Setting]:[Setting]],all_cause_mort[],17,FALSE))</f>
        <v>1.1327210000000001E-2</v>
      </c>
      <c r="AD30">
        <f>IF(VLOOKUP(all_lmics18[[Setting]:[Setting]],all_cause_mort[],18,FALSE)="",VLOOKUP(all_lmics18[[who_choice_region]:[who_choice_region]],missing[],22,FALSE),VLOOKUP(all_lmics18[[Setting]:[Setting]],all_cause_mort[],18,FALSE))</f>
        <v>1.7178609000000001E-2</v>
      </c>
      <c r="AE30">
        <f>IF(VLOOKUP(all_lmics18[[Setting]:[Setting]],all_cause_mort[],19,FALSE)="",VLOOKUP(all_lmics18[[who_choice_region]:[who_choice_region]],missing[],23,FALSE),VLOOKUP(all_lmics18[[Setting]:[Setting]],all_cause_mort[],19,FALSE))</f>
        <v>2.6728814E-2</v>
      </c>
      <c r="AF30">
        <f>IF(VLOOKUP(all_lmics18[[Setting]:[Setting]],all_cause_mort[],20,FALSE)="",VLOOKUP(all_lmics18[[who_choice_region]:[who_choice_region]],missing[],24,FALSE),VLOOKUP(all_lmics18[[Setting]:[Setting]],all_cause_mort[],20,FALSE))</f>
        <v>4.2176354999999999E-2</v>
      </c>
      <c r="AG30">
        <f>IF(VLOOKUP(all_lmics18[[Setting]:[Setting]],all_cause_mort[],21,FALSE)="",VLOOKUP(all_lmics18[[who_choice_region]:[who_choice_region]],missing[],25,FALSE),VLOOKUP(all_lmics18[[Setting]:[Setting]],all_cause_mort[],21,FALSE))</f>
        <v>6.6839543000000001E-2</v>
      </c>
      <c r="AH30">
        <f>IF(VLOOKUP(all_lmics18[[Setting]:[Setting]],all_cause_mort[],22,FALSE)="",VLOOKUP(all_lmics18[[who_choice_region]:[who_choice_region]],missing[],26,FALSE),VLOOKUP(all_lmics18[[Setting]:[Setting]],all_cause_mort[],22,FALSE))</f>
        <v>0.10552781</v>
      </c>
      <c r="AI30">
        <f>IF(VLOOKUP(all_lmics18[[Setting]:[Setting]],all_cause_mort[],23,FALSE)="",VLOOKUP(all_lmics18[[who_choice_region]:[who_choice_region]],missing[],27,FALSE),VLOOKUP(all_lmics18[[Setting]:[Setting]],all_cause_mort[],23,FALSE))</f>
        <v>0.16492175000000001</v>
      </c>
      <c r="AJ30">
        <f>IF(VLOOKUP(all_lmics18[[Setting]:[Setting]],all_cause_mort[],24,FALSE)="",VLOOKUP(all_lmics18[[who_choice_region]:[who_choice_region]],missing[],28,FALSE),VLOOKUP(all_lmics18[[Setting]:[Setting]],all_cause_mort[],24,FALSE))</f>
        <v>0.25998114999999999</v>
      </c>
      <c r="AK30">
        <f>IF(VLOOKUP(all_lmics18[[Setting]:[Setting]],all_cause_mort[],25,FALSE)="",VLOOKUP(all_lmics18[[who_choice_region]:[who_choice_region]],missing[],29,FALSE),VLOOKUP(all_lmics18[[Setting]:[Setting]],all_cause_mort[],25,FALSE))</f>
        <v>0.395842106184012</v>
      </c>
      <c r="AL30">
        <f>VLOOKUP(all_lmics18[[worldbank_region]:[worldbank_region]],Table13[],2,FALSE)</f>
        <v>86.85998699999999</v>
      </c>
      <c r="AM30">
        <f>VLOOKUP(all_lmics18[[worldbank_region]:[worldbank_region]],Table13[],3,FALSE)</f>
        <v>86.85998699999999</v>
      </c>
      <c r="AN30">
        <f>VLOOKUP(all_lmics18[[worldbank_region]:[worldbank_region]],Table13[],4,FALSE)</f>
        <v>134.58884699999999</v>
      </c>
      <c r="AO30">
        <f>VLOOKUP(all_lmics18[[worldbank_region]:[worldbank_region]],Table13[],5,FALSE)</f>
        <v>134.58884699999999</v>
      </c>
      <c r="AP30">
        <f>VLOOKUP(all_lmics18[[worldbank_region]:[worldbank_region]],Table13[],6,FALSE)</f>
        <v>134.58884699999999</v>
      </c>
      <c r="AQ30">
        <f>VLOOKUP(all_lmics18[[worldbank_region]:[worldbank_region]],Table14[],2,FALSE)</f>
        <v>1.514642</v>
      </c>
      <c r="AR30">
        <f>VLOOKUP(all_lmics18[[worldbank_region]:[worldbank_region]],Table14[],3,FALSE)</f>
        <v>2.132142</v>
      </c>
      <c r="AS30">
        <f>VLOOKUP(all_lmics18[[worldbank_region]:[worldbank_region]],Table14[],4,FALSE)</f>
        <v>1.5364360000000001</v>
      </c>
      <c r="AT30">
        <f>VLOOKUP(all_lmics18[[worldbank_region]:[worldbank_region]],Table14[],5,FALSE)</f>
        <v>2.1539359999999999</v>
      </c>
      <c r="AU30">
        <f>VLOOKUP(all_lmics18[[worldbank_region]:[worldbank_region]],Table14[],6,FALSE)</f>
        <v>2.7241879999999998</v>
      </c>
      <c r="AV30">
        <f>IFERROR(VLOOKUP(all_lmics18[[Setting]:[Setting]],nFacSBA[],4,FALSE),VLOOKUP(all_lmics18[[who_choice_region]:[who_choice_region]],missing[],30,FALSE))</f>
        <v>1.4353312406054645E-2</v>
      </c>
      <c r="AW30">
        <f>VLOOKUP(all_lmics18[[worldbank_region]:[worldbank_region]],hbe[],2)</f>
        <v>0.3</v>
      </c>
      <c r="AX30">
        <f>VLOOKUP(all_lmics18[[worldbank_region]:[worldbank_region]],hbe[],5)</f>
        <v>0.875</v>
      </c>
      <c r="AY30">
        <f>VLOOKUP(all_lmics18[[worldbank_region]:[worldbank_region]],hbe[],8)</f>
        <v>0.15</v>
      </c>
    </row>
    <row r="31" spans="1:51" x14ac:dyDescent="0.35">
      <c r="A31" s="12" t="s">
        <v>107</v>
      </c>
      <c r="B31" s="13" t="s">
        <v>36</v>
      </c>
      <c r="C31" s="14" t="s">
        <v>37</v>
      </c>
      <c r="D31">
        <f>VLOOKUP(all_lmics18[[Setting]:[Setting]],populations[],9,FALSE)</f>
        <v>1339180127</v>
      </c>
      <c r="E31">
        <f>VLOOKUP(all_lmics18[[Setting]:[Setting]],birthrate[],3,FALSE)</f>
        <v>1.9013000000000002E-2</v>
      </c>
      <c r="F31">
        <f>all_lmics18[[#This Row],[2017_population]]*all_lmics18[[#This Row],[2016_birthrate]]</f>
        <v>25461831.754651003</v>
      </c>
      <c r="G31">
        <f>VLOOKUP(all_lmics18[[Setting]:[Setting]],birthdose[],4,FALSE)</f>
        <v>0.53</v>
      </c>
      <c r="H31">
        <f>VLOOKUP(all_lmics18[[Setting]:[Setting]],fullvax[],4,FALSE)</f>
        <v>0.88</v>
      </c>
      <c r="I31">
        <f>IFERROR(VLOOKUP(all_lmics18[[Setting]:[Setting]],prev[],3,FALSE),VLOOKUP(all_lmics18[[who_choice_region]:[who_choice_region]],missing[],2,FALSE))</f>
        <v>2.5000000000000001E-2</v>
      </c>
      <c r="J31">
        <f>IFERROR(VLOOKUP(all_lmics18[[Setting]:[Setting]],prev[],4,FALSE),VLOOKUP(all_lmics18[[who_choice_region]:[who_choice_region]],missing[],3,FALSE))</f>
        <v>2.1999999999999999E-2</v>
      </c>
      <c r="K31">
        <f>IFERROR(VLOOKUP(all_lmics18[[Setting]:[Setting]],prev[],5,FALSE),VLOOKUP(all_lmics18[[who_choice_region]:[who_choice_region]],missing[],4,FALSE))</f>
        <v>2.7E-2</v>
      </c>
      <c r="L31">
        <f>IFERROR(VLOOKUP(all_lmics18[[Setting]:[Setting]],prev[],7,FALSE),VLOOKUP(all_lmics18[[who_choice_region]:[who_choice_region]],missing[],5,FALSE))</f>
        <v>1.0204081632653053E-3</v>
      </c>
      <c r="M31">
        <f>IFERROR(VLOOKUP(all_lmics18[[Setting]:[Setting]],prev[],6,FALSE),0)</f>
        <v>1339180127</v>
      </c>
      <c r="N31">
        <f>IFERROR(VLOOKUP(all_lmics18[[Setting]:[Setting]],SBA[],4,FALSE),VLOOKUP(all_lmics18[[who_choice_region]:[who_choice_region]],missing[],6,FALSE))</f>
        <v>0.85699999999999998</v>
      </c>
      <c r="O31">
        <f>IFERROR(VLOOKUP(all_lmics18[[Setting]:[Setting]], facility[], 3,FALSE),VLOOKUP(all_lmics18[[who_choice_region]:[who_choice_region]],missing[],7,FALSE))</f>
        <v>0.78900000000000003</v>
      </c>
      <c r="P31">
        <f>IF(VLOOKUP(all_lmics18[[Setting]:[Setting]],all_cause_mort[],4,FALSE)="",VLOOKUP(all_lmics18[[who_choice_region]:[who_choice_region]],missing[],8,FALSE),VLOOKUP(all_lmics18[[Setting]:[Setting]],all_cause_mort[],4,FALSE))</f>
        <v>3.2905592999999997E-2</v>
      </c>
      <c r="Q31">
        <f>IF(VLOOKUP(all_lmics18[[Setting]:[Setting]],all_cause_mort[],5,FALSE)="",VLOOKUP(all_lmics18[[who_choice_region]:[who_choice_region]],missing[],9,FALSE),VLOOKUP(all_lmics18[[Setting]:[Setting]],all_cause_mort[],5,FALSE))</f>
        <v>1.9216846000000001E-3</v>
      </c>
      <c r="R31">
        <f>IF(VLOOKUP(all_lmics18[[Setting]:[Setting]],all_cause_mort[],6,FALSE)="",VLOOKUP(all_lmics18[[who_choice_region]:[who_choice_region]],missing[],10,FALSE),VLOOKUP(all_lmics18[[Setting]:[Setting]],all_cause_mort[],6,FALSE))</f>
        <v>7.1663227000000004E-4</v>
      </c>
      <c r="S31">
        <f>IF(VLOOKUP(all_lmics18[[Setting]:[Setting]],all_cause_mort[],7,FALSE)="",VLOOKUP(all_lmics18[[who_choice_region]:[who_choice_region]],missing[],11,FALSE),VLOOKUP(all_lmics18[[Setting]:[Setting]],all_cause_mort[],7,FALSE))</f>
        <v>6.0249078000000004E-4</v>
      </c>
      <c r="T31">
        <f>IF(VLOOKUP(all_lmics18[[Setting]:[Setting]],all_cause_mort[],8,FALSE)="",VLOOKUP(all_lmics18[[who_choice_region]:[who_choice_region]],missing[],12,FALSE),VLOOKUP(all_lmics18[[Setting]:[Setting]],all_cause_mort[],8,FALSE))</f>
        <v>9.4851435000000003E-4</v>
      </c>
      <c r="U31">
        <f>IF(VLOOKUP(all_lmics18[[Setting]:[Setting]],all_cause_mort[],9,FALSE)="",VLOOKUP(all_lmics18[[who_choice_region]:[who_choice_region]],missing[],13,FALSE),VLOOKUP(all_lmics18[[Setting]:[Setting]],all_cause_mort[],9,FALSE))</f>
        <v>1.377755E-3</v>
      </c>
      <c r="V31">
        <f>IF(VLOOKUP(all_lmics18[[Setting]:[Setting]],all_cause_mort[],10,FALSE)="",VLOOKUP(all_lmics18[[who_choice_region]:[who_choice_region]],missing[],14,FALSE),VLOOKUP(all_lmics18[[Setting]:[Setting]],all_cause_mort[],10,FALSE))</f>
        <v>1.5585326E-3</v>
      </c>
      <c r="W31">
        <f>IF(VLOOKUP(all_lmics18[[Setting]:[Setting]],all_cause_mort[],11,FALSE)="",VLOOKUP(all_lmics18[[who_choice_region]:[who_choice_region]],missing[],15,FALSE),VLOOKUP(all_lmics18[[Setting]:[Setting]],all_cause_mort[],11,FALSE))</f>
        <v>1.9909837999999998E-3</v>
      </c>
      <c r="X31">
        <f>IF(VLOOKUP(all_lmics18[[Setting]:[Setting]],all_cause_mort[],12,FALSE)="",VLOOKUP(all_lmics18[[who_choice_region]:[who_choice_region]],missing[],16,FALSE),VLOOKUP(all_lmics18[[Setting]:[Setting]],all_cause_mort[],12,FALSE))</f>
        <v>2.7617183999999999E-3</v>
      </c>
      <c r="Y31">
        <f>IF(VLOOKUP(all_lmics18[[Setting]:[Setting]],all_cause_mort[],13,FALSE)="",VLOOKUP(all_lmics18[[who_choice_region]:[who_choice_region]],missing[],17,FALSE),VLOOKUP(all_lmics18[[Setting]:[Setting]],all_cause_mort[],13,FALSE))</f>
        <v>3.7217993000000001E-3</v>
      </c>
      <c r="Z31">
        <f>IF(VLOOKUP(all_lmics18[[Setting]:[Setting]],all_cause_mort[],14,FALSE)="",VLOOKUP(all_lmics18[[who_choice_region]:[who_choice_region]],missing[],18,FALSE),VLOOKUP(all_lmics18[[Setting]:[Setting]],all_cause_mort[],14,FALSE))</f>
        <v>5.3647935999999998E-3</v>
      </c>
      <c r="AA31">
        <f>IF(VLOOKUP(all_lmics18[[Setting]:[Setting]],all_cause_mort[],15,FALSE)="",VLOOKUP(all_lmics18[[who_choice_region]:[who_choice_region]],missing[],19,FALSE),VLOOKUP(all_lmics18[[Setting]:[Setting]],all_cause_mort[],15,FALSE))</f>
        <v>8.6497681E-3</v>
      </c>
      <c r="AB31">
        <f>IF(VLOOKUP(all_lmics18[[Setting]:[Setting]],all_cause_mort[],16,FALSE)="",VLOOKUP(all_lmics18[[who_choice_region]:[who_choice_region]],missing[],20,FALSE),VLOOKUP(all_lmics18[[Setting]:[Setting]],all_cause_mort[],16,FALSE))</f>
        <v>1.2982907E-2</v>
      </c>
      <c r="AC31">
        <f>IF(VLOOKUP(all_lmics18[[Setting]:[Setting]],all_cause_mort[],17,FALSE)="",VLOOKUP(all_lmics18[[who_choice_region]:[who_choice_region]],missing[],21,FALSE),VLOOKUP(all_lmics18[[Setting]:[Setting]],all_cause_mort[],17,FALSE))</f>
        <v>1.9453697999999998E-2</v>
      </c>
      <c r="AD31">
        <f>IF(VLOOKUP(all_lmics18[[Setting]:[Setting]],all_cause_mort[],18,FALSE)="",VLOOKUP(all_lmics18[[who_choice_region]:[who_choice_region]],missing[],22,FALSE),VLOOKUP(all_lmics18[[Setting]:[Setting]],all_cause_mort[],18,FALSE))</f>
        <v>2.9876994E-2</v>
      </c>
      <c r="AE31">
        <f>IF(VLOOKUP(all_lmics18[[Setting]:[Setting]],all_cause_mort[],19,FALSE)="",VLOOKUP(all_lmics18[[who_choice_region]:[who_choice_region]],missing[],23,FALSE),VLOOKUP(all_lmics18[[Setting]:[Setting]],all_cause_mort[],19,FALSE))</f>
        <v>4.7802754000000003E-2</v>
      </c>
      <c r="AF31">
        <f>IF(VLOOKUP(all_lmics18[[Setting]:[Setting]],all_cause_mort[],20,FALSE)="",VLOOKUP(all_lmics18[[who_choice_region]:[who_choice_region]],missing[],24,FALSE),VLOOKUP(all_lmics18[[Setting]:[Setting]],all_cause_mort[],20,FALSE))</f>
        <v>7.1392497999999999E-2</v>
      </c>
      <c r="AG31">
        <f>IF(VLOOKUP(all_lmics18[[Setting]:[Setting]],all_cause_mort[],21,FALSE)="",VLOOKUP(all_lmics18[[who_choice_region]:[who_choice_region]],missing[],25,FALSE),VLOOKUP(all_lmics18[[Setting]:[Setting]],all_cause_mort[],21,FALSE))</f>
        <v>0.11121219</v>
      </c>
      <c r="AH31">
        <f>IF(VLOOKUP(all_lmics18[[Setting]:[Setting]],all_cause_mort[],22,FALSE)="",VLOOKUP(all_lmics18[[who_choice_region]:[who_choice_region]],missing[],26,FALSE),VLOOKUP(all_lmics18[[Setting]:[Setting]],all_cause_mort[],22,FALSE))</f>
        <v>0.16845549000000001</v>
      </c>
      <c r="AI31">
        <f>IF(VLOOKUP(all_lmics18[[Setting]:[Setting]],all_cause_mort[],23,FALSE)="",VLOOKUP(all_lmics18[[who_choice_region]:[who_choice_region]],missing[],27,FALSE),VLOOKUP(all_lmics18[[Setting]:[Setting]],all_cause_mort[],23,FALSE))</f>
        <v>0.24760963</v>
      </c>
      <c r="AJ31">
        <f>IF(VLOOKUP(all_lmics18[[Setting]:[Setting]],all_cause_mort[],24,FALSE)="",VLOOKUP(all_lmics18[[who_choice_region]:[who_choice_region]],missing[],28,FALSE),VLOOKUP(all_lmics18[[Setting]:[Setting]],all_cause_mort[],24,FALSE))</f>
        <v>0.2313066</v>
      </c>
      <c r="AK31">
        <f>IF(VLOOKUP(all_lmics18[[Setting]:[Setting]],all_cause_mort[],25,FALSE)="",VLOOKUP(all_lmics18[[who_choice_region]:[who_choice_region]],missing[],29,FALSE),VLOOKUP(all_lmics18[[Setting]:[Setting]],all_cause_mort[],25,FALSE))</f>
        <v>0.32729534516632602</v>
      </c>
      <c r="AL31">
        <f>VLOOKUP(all_lmics18[[worldbank_region]:[worldbank_region]],Table13[],2,FALSE)</f>
        <v>57.361807999999996</v>
      </c>
      <c r="AM31">
        <f>VLOOKUP(all_lmics18[[worldbank_region]:[worldbank_region]],Table13[],3,FALSE)</f>
        <v>57.361807999999996</v>
      </c>
      <c r="AN31">
        <f>VLOOKUP(all_lmics18[[worldbank_region]:[worldbank_region]],Table13[],4,FALSE)</f>
        <v>105.09066799999999</v>
      </c>
      <c r="AO31">
        <f>VLOOKUP(all_lmics18[[worldbank_region]:[worldbank_region]],Table13[],5,FALSE)</f>
        <v>105.09066799999999</v>
      </c>
      <c r="AP31">
        <f>VLOOKUP(all_lmics18[[worldbank_region]:[worldbank_region]],Table13[],6,FALSE)</f>
        <v>105.09066799999999</v>
      </c>
      <c r="AQ31">
        <f>VLOOKUP(all_lmics18[[worldbank_region]:[worldbank_region]],Table14[],2,FALSE)</f>
        <v>0.95889500000000005</v>
      </c>
      <c r="AR31">
        <f>VLOOKUP(all_lmics18[[worldbank_region]:[worldbank_region]],Table14[],3,FALSE)</f>
        <v>1.5763950000000002</v>
      </c>
      <c r="AS31">
        <f>VLOOKUP(all_lmics18[[worldbank_region]:[worldbank_region]],Table14[],4,FALSE)</f>
        <v>33.028765999999997</v>
      </c>
      <c r="AT31">
        <f>VLOOKUP(all_lmics18[[worldbank_region]:[worldbank_region]],Table14[],5,FALSE)</f>
        <v>33.646265999999997</v>
      </c>
      <c r="AU31">
        <f>VLOOKUP(all_lmics18[[worldbank_region]:[worldbank_region]],Table14[],6,FALSE)</f>
        <v>34.216518000000001</v>
      </c>
      <c r="AV31">
        <f>IFERROR(VLOOKUP(all_lmics18[[Setting]:[Setting]],nFacSBA[],4,FALSE),VLOOKUP(all_lmics18[[who_choice_region]:[who_choice_region]],missing[],30,FALSE))</f>
        <v>0.14134516548394116</v>
      </c>
      <c r="AW31">
        <f>VLOOKUP(all_lmics18[[worldbank_region]:[worldbank_region]],hbe[],2)</f>
        <v>0.3</v>
      </c>
      <c r="AX31">
        <f>VLOOKUP(all_lmics18[[worldbank_region]:[worldbank_region]],hbe[],5)</f>
        <v>0.875</v>
      </c>
      <c r="AY31">
        <f>VLOOKUP(all_lmics18[[worldbank_region]:[worldbank_region]],hbe[],8)</f>
        <v>0.15</v>
      </c>
    </row>
    <row r="32" spans="1:51" x14ac:dyDescent="0.35">
      <c r="A32" s="8" t="s">
        <v>108</v>
      </c>
      <c r="B32" s="10" t="s">
        <v>109</v>
      </c>
      <c r="C32" s="11" t="s">
        <v>58</v>
      </c>
      <c r="D32">
        <f>VLOOKUP(all_lmics18[[Setting]:[Setting]],populations[],9,FALSE)</f>
        <v>263991379</v>
      </c>
      <c r="E32">
        <f>VLOOKUP(all_lmics18[[Setting]:[Setting]],birthrate[],3,FALSE)</f>
        <v>1.8985999999999999E-2</v>
      </c>
      <c r="F32">
        <f>all_lmics18[[#This Row],[2017_population]]*all_lmics18[[#This Row],[2016_birthrate]]</f>
        <v>5012140.3216939997</v>
      </c>
      <c r="G32">
        <f>VLOOKUP(all_lmics18[[Setting]:[Setting]],birthdose[],4,FALSE)</f>
        <v>0.32</v>
      </c>
      <c r="H32">
        <f>VLOOKUP(all_lmics18[[Setting]:[Setting]],fullvax[],4,FALSE)</f>
        <v>0.79</v>
      </c>
      <c r="I32">
        <f>IFERROR(VLOOKUP(all_lmics18[[Setting]:[Setting]],prev[],3,FALSE),VLOOKUP(all_lmics18[[who_choice_region]:[who_choice_region]],missing[],2,FALSE))</f>
        <v>6.8000000000000005E-2</v>
      </c>
      <c r="J32">
        <f>IFERROR(VLOOKUP(all_lmics18[[Setting]:[Setting]],prev[],4,FALSE),VLOOKUP(all_lmics18[[who_choice_region]:[who_choice_region]],missing[],3,FALSE))</f>
        <v>6.3E-2</v>
      </c>
      <c r="K32">
        <f>IFERROR(VLOOKUP(all_lmics18[[Setting]:[Setting]],prev[],5,FALSE),VLOOKUP(all_lmics18[[who_choice_region]:[who_choice_region]],missing[],4,FALSE))</f>
        <v>8.2000000000000003E-2</v>
      </c>
      <c r="L32">
        <f>IFERROR(VLOOKUP(all_lmics18[[Setting]:[Setting]],prev[],7,FALSE),VLOOKUP(all_lmics18[[who_choice_region]:[who_choice_region]],missing[],5,FALSE))</f>
        <v>7.1428571428571426E-3</v>
      </c>
      <c r="M32">
        <f>IFERROR(VLOOKUP(all_lmics18[[Setting]:[Setting]],prev[],6,FALSE),0)</f>
        <v>263991379</v>
      </c>
      <c r="N32">
        <f>IFERROR(VLOOKUP(all_lmics18[[Setting]:[Setting]],SBA[],4,FALSE),VLOOKUP(all_lmics18[[who_choice_region]:[who_choice_region]],missing[],6,FALSE))</f>
        <v>0.92599999999999993</v>
      </c>
      <c r="O32">
        <f>IFERROR(VLOOKUP(all_lmics18[[Setting]:[Setting]], facility[], 3,FALSE),VLOOKUP(all_lmics18[[who_choice_region]:[who_choice_region]],missing[],7,FALSE))</f>
        <v>0.79700000000000004</v>
      </c>
      <c r="P32">
        <f>IF(VLOOKUP(all_lmics18[[Setting]:[Setting]],all_cause_mort[],4,FALSE)="",VLOOKUP(all_lmics18[[who_choice_region]:[who_choice_region]],missing[],8,FALSE),VLOOKUP(all_lmics18[[Setting]:[Setting]],all_cause_mort[],4,FALSE))</f>
        <v>1.9250153999999998E-2</v>
      </c>
      <c r="Q32">
        <f>IF(VLOOKUP(all_lmics18[[Setting]:[Setting]],all_cause_mort[],5,FALSE)="",VLOOKUP(all_lmics18[[who_choice_region]:[who_choice_region]],missing[],9,FALSE),VLOOKUP(all_lmics18[[Setting]:[Setting]],all_cause_mort[],5,FALSE))</f>
        <v>1.527931E-3</v>
      </c>
      <c r="R32">
        <f>IF(VLOOKUP(all_lmics18[[Setting]:[Setting]],all_cause_mort[],6,FALSE)="",VLOOKUP(all_lmics18[[who_choice_region]:[who_choice_region]],missing[],10,FALSE),VLOOKUP(all_lmics18[[Setting]:[Setting]],all_cause_mort[],6,FALSE))</f>
        <v>5.0708619999999998E-4</v>
      </c>
      <c r="S32">
        <f>IF(VLOOKUP(all_lmics18[[Setting]:[Setting]],all_cause_mort[],7,FALSE)="",VLOOKUP(all_lmics18[[who_choice_region]:[who_choice_region]],missing[],11,FALSE),VLOOKUP(all_lmics18[[Setting]:[Setting]],all_cause_mort[],7,FALSE))</f>
        <v>4.4802216000000003E-4</v>
      </c>
      <c r="T32">
        <f>IF(VLOOKUP(all_lmics18[[Setting]:[Setting]],all_cause_mort[],8,FALSE)="",VLOOKUP(all_lmics18[[who_choice_region]:[who_choice_region]],missing[],12,FALSE),VLOOKUP(all_lmics18[[Setting]:[Setting]],all_cause_mort[],8,FALSE))</f>
        <v>9.4035660000000004E-4</v>
      </c>
      <c r="U32">
        <f>IF(VLOOKUP(all_lmics18[[Setting]:[Setting]],all_cause_mort[],9,FALSE)="",VLOOKUP(all_lmics18[[who_choice_region]:[who_choice_region]],missing[],13,FALSE),VLOOKUP(all_lmics18[[Setting]:[Setting]],all_cause_mort[],9,FALSE))</f>
        <v>1.2366110000000001E-3</v>
      </c>
      <c r="V32">
        <f>IF(VLOOKUP(all_lmics18[[Setting]:[Setting]],all_cause_mort[],10,FALSE)="",VLOOKUP(all_lmics18[[who_choice_region]:[who_choice_region]],missing[],14,FALSE),VLOOKUP(all_lmics18[[Setting]:[Setting]],all_cause_mort[],10,FALSE))</f>
        <v>1.3107454E-3</v>
      </c>
      <c r="W32">
        <f>IF(VLOOKUP(all_lmics18[[Setting]:[Setting]],all_cause_mort[],11,FALSE)="",VLOOKUP(all_lmics18[[who_choice_region]:[who_choice_region]],missing[],15,FALSE),VLOOKUP(all_lmics18[[Setting]:[Setting]],all_cause_mort[],11,FALSE))</f>
        <v>1.5600405999999999E-3</v>
      </c>
      <c r="X32">
        <f>IF(VLOOKUP(all_lmics18[[Setting]:[Setting]],all_cause_mort[],12,FALSE)="",VLOOKUP(all_lmics18[[who_choice_region]:[who_choice_region]],missing[],16,FALSE),VLOOKUP(all_lmics18[[Setting]:[Setting]],all_cause_mort[],12,FALSE))</f>
        <v>2.1014083E-3</v>
      </c>
      <c r="Y32">
        <f>IF(VLOOKUP(all_lmics18[[Setting]:[Setting]],all_cause_mort[],13,FALSE)="",VLOOKUP(all_lmics18[[who_choice_region]:[who_choice_region]],missing[],17,FALSE),VLOOKUP(all_lmics18[[Setting]:[Setting]],all_cause_mort[],13,FALSE))</f>
        <v>3.0209855000000001E-3</v>
      </c>
      <c r="Z32">
        <f>IF(VLOOKUP(all_lmics18[[Setting]:[Setting]],all_cause_mort[],14,FALSE)="",VLOOKUP(all_lmics18[[who_choice_region]:[who_choice_region]],missing[],18,FALSE),VLOOKUP(all_lmics18[[Setting]:[Setting]],all_cause_mort[],14,FALSE))</f>
        <v>4.6459068999999999E-3</v>
      </c>
      <c r="AA32">
        <f>IF(VLOOKUP(all_lmics18[[Setting]:[Setting]],all_cause_mort[],15,FALSE)="",VLOOKUP(all_lmics18[[who_choice_region]:[who_choice_region]],missing[],19,FALSE),VLOOKUP(all_lmics18[[Setting]:[Setting]],all_cause_mort[],15,FALSE))</f>
        <v>7.2270846999999997E-3</v>
      </c>
      <c r="AB32">
        <f>IF(VLOOKUP(all_lmics18[[Setting]:[Setting]],all_cause_mort[],16,FALSE)="",VLOOKUP(all_lmics18[[who_choice_region]:[who_choice_region]],missing[],20,FALSE),VLOOKUP(all_lmics18[[Setting]:[Setting]],all_cause_mort[],16,FALSE))</f>
        <v>1.1329814000000001E-2</v>
      </c>
      <c r="AC32">
        <f>IF(VLOOKUP(all_lmics18[[Setting]:[Setting]],all_cause_mort[],17,FALSE)="",VLOOKUP(all_lmics18[[who_choice_region]:[who_choice_region]],missing[],21,FALSE),VLOOKUP(all_lmics18[[Setting]:[Setting]],all_cause_mort[],17,FALSE))</f>
        <v>1.7717789000000001E-2</v>
      </c>
      <c r="AD32">
        <f>IF(VLOOKUP(all_lmics18[[Setting]:[Setting]],all_cause_mort[],18,FALSE)="",VLOOKUP(all_lmics18[[who_choice_region]:[who_choice_region]],missing[],22,FALSE),VLOOKUP(all_lmics18[[Setting]:[Setting]],all_cause_mort[],18,FALSE))</f>
        <v>2.7471451000000001E-2</v>
      </c>
      <c r="AE32">
        <f>IF(VLOOKUP(all_lmics18[[Setting]:[Setting]],all_cause_mort[],19,FALSE)="",VLOOKUP(all_lmics18[[who_choice_region]:[who_choice_region]],missing[],23,FALSE),VLOOKUP(all_lmics18[[Setting]:[Setting]],all_cause_mort[],19,FALSE))</f>
        <v>4.3598999999999999E-2</v>
      </c>
      <c r="AF32">
        <f>IF(VLOOKUP(all_lmics18[[Setting]:[Setting]],all_cause_mort[],20,FALSE)="",VLOOKUP(all_lmics18[[who_choice_region]:[who_choice_region]],missing[],24,FALSE),VLOOKUP(all_lmics18[[Setting]:[Setting]],all_cause_mort[],20,FALSE))</f>
        <v>7.1703180000000005E-2</v>
      </c>
      <c r="AG32">
        <f>IF(VLOOKUP(all_lmics18[[Setting]:[Setting]],all_cause_mort[],21,FALSE)="",VLOOKUP(all_lmics18[[who_choice_region]:[who_choice_region]],missing[],25,FALSE),VLOOKUP(all_lmics18[[Setting]:[Setting]],all_cause_mort[],21,FALSE))</f>
        <v>0.11576444</v>
      </c>
      <c r="AH32">
        <f>IF(VLOOKUP(all_lmics18[[Setting]:[Setting]],all_cause_mort[],22,FALSE)="",VLOOKUP(all_lmics18[[who_choice_region]:[who_choice_region]],missing[],26,FALSE),VLOOKUP(all_lmics18[[Setting]:[Setting]],all_cause_mort[],22,FALSE))</f>
        <v>0.18385713000000001</v>
      </c>
      <c r="AI32">
        <f>IF(VLOOKUP(all_lmics18[[Setting]:[Setting]],all_cause_mort[],23,FALSE)="",VLOOKUP(all_lmics18[[who_choice_region]:[who_choice_region]],missing[],27,FALSE),VLOOKUP(all_lmics18[[Setting]:[Setting]],all_cause_mort[],23,FALSE))</f>
        <v>0.27377820000000003</v>
      </c>
      <c r="AJ32">
        <f>IF(VLOOKUP(all_lmics18[[Setting]:[Setting]],all_cause_mort[],24,FALSE)="",VLOOKUP(all_lmics18[[who_choice_region]:[who_choice_region]],missing[],28,FALSE),VLOOKUP(all_lmics18[[Setting]:[Setting]],all_cause_mort[],24,FALSE))</f>
        <v>0.38935618999999999</v>
      </c>
      <c r="AK32">
        <f>IF(VLOOKUP(all_lmics18[[Setting]:[Setting]],all_cause_mort[],25,FALSE)="",VLOOKUP(all_lmics18[[who_choice_region]:[who_choice_region]],missing[],29,FALSE),VLOOKUP(all_lmics18[[Setting]:[Setting]],all_cause_mort[],25,FALSE))</f>
        <v>0.52602760940072402</v>
      </c>
      <c r="AL32">
        <f>VLOOKUP(all_lmics18[[worldbank_region]:[worldbank_region]],Table13[],2,FALSE)</f>
        <v>73.064384999999987</v>
      </c>
      <c r="AM32">
        <f>VLOOKUP(all_lmics18[[worldbank_region]:[worldbank_region]],Table13[],3,FALSE)</f>
        <v>73.064384999999987</v>
      </c>
      <c r="AN32">
        <f>VLOOKUP(all_lmics18[[worldbank_region]:[worldbank_region]],Table13[],4,FALSE)</f>
        <v>120.79324499999998</v>
      </c>
      <c r="AO32">
        <f>VLOOKUP(all_lmics18[[worldbank_region]:[worldbank_region]],Table13[],5,FALSE)</f>
        <v>120.79324499999998</v>
      </c>
      <c r="AP32">
        <f>VLOOKUP(all_lmics18[[worldbank_region]:[worldbank_region]],Table13[],6,FALSE)</f>
        <v>120.79324499999998</v>
      </c>
      <c r="AQ32">
        <f>VLOOKUP(all_lmics18[[worldbank_region]:[worldbank_region]],Table14[],2,FALSE)</f>
        <v>1.34029</v>
      </c>
      <c r="AR32">
        <f>VLOOKUP(all_lmics18[[worldbank_region]:[worldbank_region]],Table14[],3,FALSE)</f>
        <v>1.9577900000000001</v>
      </c>
      <c r="AS32">
        <f>VLOOKUP(all_lmics18[[worldbank_region]:[worldbank_region]],Table14[],4,FALSE)</f>
        <v>1.9723159999999997</v>
      </c>
      <c r="AT32">
        <f>VLOOKUP(all_lmics18[[worldbank_region]:[worldbank_region]],Table14[],5,FALSE)</f>
        <v>2.5898159999999999</v>
      </c>
      <c r="AU32">
        <f>VLOOKUP(all_lmics18[[worldbank_region]:[worldbank_region]],Table14[],6,FALSE)</f>
        <v>3.1600679999999999</v>
      </c>
      <c r="AV32">
        <f>IFERROR(VLOOKUP(all_lmics18[[Setting]:[Setting]],nFacSBA[],4,FALSE),VLOOKUP(all_lmics18[[who_choice_region]:[who_choice_region]],missing[],30,FALSE))</f>
        <v>0.55791576682649657</v>
      </c>
      <c r="AW32">
        <f>VLOOKUP(all_lmics18[[worldbank_region]:[worldbank_region]],hbe[],2)</f>
        <v>0.3</v>
      </c>
      <c r="AX32">
        <f>VLOOKUP(all_lmics18[[worldbank_region]:[worldbank_region]],hbe[],5)</f>
        <v>0.875</v>
      </c>
      <c r="AY32">
        <f>VLOOKUP(all_lmics18[[worldbank_region]:[worldbank_region]],hbe[],8)</f>
        <v>0.15</v>
      </c>
    </row>
    <row r="33" spans="1:51" x14ac:dyDescent="0.35">
      <c r="A33" s="12" t="s">
        <v>110</v>
      </c>
      <c r="B33" s="13" t="s">
        <v>33</v>
      </c>
      <c r="C33" s="14" t="s">
        <v>7</v>
      </c>
      <c r="D33">
        <f>VLOOKUP(all_lmics18[[Setting]:[Setting]],populations[],9,FALSE)</f>
        <v>81162788</v>
      </c>
      <c r="E33">
        <f>VLOOKUP(all_lmics18[[Setting]:[Setting]],birthrate[],3,FALSE)</f>
        <v>1.6544E-2</v>
      </c>
      <c r="F33">
        <f>all_lmics18[[#This Row],[2017_population]]*all_lmics18[[#This Row],[2016_birthrate]]</f>
        <v>1342757.1646719999</v>
      </c>
      <c r="G33">
        <f>VLOOKUP(all_lmics18[[Setting]:[Setting]],birthdose[],4,FALSE)</f>
        <v>0.95</v>
      </c>
      <c r="H33">
        <f>VLOOKUP(all_lmics18[[Setting]:[Setting]],fullvax[],4,FALSE)</f>
        <v>0.99</v>
      </c>
      <c r="I33">
        <f>IFERROR(VLOOKUP(all_lmics18[[Setting]:[Setting]],prev[],3,FALSE),VLOOKUP(all_lmics18[[who_choice_region]:[who_choice_region]],missing[],2,FALSE))</f>
        <v>1.7000000000000001E-2</v>
      </c>
      <c r="J33">
        <f>IFERROR(VLOOKUP(all_lmics18[[Setting]:[Setting]],prev[],4,FALSE),VLOOKUP(all_lmics18[[who_choice_region]:[who_choice_region]],missing[],3,FALSE))</f>
        <v>1.6E-2</v>
      </c>
      <c r="K33">
        <f>IFERROR(VLOOKUP(all_lmics18[[Setting]:[Setting]],prev[],5,FALSE),VLOOKUP(all_lmics18[[who_choice_region]:[who_choice_region]],missing[],4,FALSE))</f>
        <v>1.9E-2</v>
      </c>
      <c r="L33">
        <f>IFERROR(VLOOKUP(all_lmics18[[Setting]:[Setting]],prev[],7,FALSE),VLOOKUP(all_lmics18[[who_choice_region]:[who_choice_region]],missing[],5,FALSE))</f>
        <v>1.0204081632653053E-3</v>
      </c>
      <c r="M33">
        <f>IFERROR(VLOOKUP(all_lmics18[[Setting]:[Setting]],prev[],6,FALSE),0)</f>
        <v>81162788</v>
      </c>
      <c r="N33">
        <f>IFERROR(VLOOKUP(all_lmics18[[Setting]:[Setting]],SBA[],4,FALSE),VLOOKUP(all_lmics18[[who_choice_region]:[who_choice_region]],missing[],6,FALSE))</f>
        <v>0.99</v>
      </c>
      <c r="O33">
        <f>IFERROR(VLOOKUP(all_lmics18[[Setting]:[Setting]], facility[], 3,FALSE),VLOOKUP(all_lmics18[[who_choice_region]:[who_choice_region]],missing[],7,FALSE))</f>
        <v>0.95340000000000003</v>
      </c>
      <c r="P33">
        <f>IF(VLOOKUP(all_lmics18[[Setting]:[Setting]],all_cause_mort[],4,FALSE)="",VLOOKUP(all_lmics18[[who_choice_region]:[who_choice_region]],missing[],8,FALSE),VLOOKUP(all_lmics18[[Setting]:[Setting]],all_cause_mort[],4,FALSE))</f>
        <v>1.2969764999999999E-2</v>
      </c>
      <c r="Q33">
        <f>IF(VLOOKUP(all_lmics18[[Setting]:[Setting]],all_cause_mort[],5,FALSE)="",VLOOKUP(all_lmics18[[who_choice_region]:[who_choice_region]],missing[],9,FALSE),VLOOKUP(all_lmics18[[Setting]:[Setting]],all_cause_mort[],5,FALSE))</f>
        <v>5.3251361000000003E-4</v>
      </c>
      <c r="R33">
        <f>IF(VLOOKUP(all_lmics18[[Setting]:[Setting]],all_cause_mort[],6,FALSE)="",VLOOKUP(all_lmics18[[who_choice_region]:[who_choice_region]],missing[],10,FALSE),VLOOKUP(all_lmics18[[Setting]:[Setting]],all_cause_mort[],6,FALSE))</f>
        <v>1.7599754000000001E-4</v>
      </c>
      <c r="S33">
        <f>IF(VLOOKUP(all_lmics18[[Setting]:[Setting]],all_cause_mort[],7,FALSE)="",VLOOKUP(all_lmics18[[who_choice_region]:[who_choice_region]],missing[],11,FALSE),VLOOKUP(all_lmics18[[Setting]:[Setting]],all_cause_mort[],7,FALSE))</f>
        <v>1.9603451000000001E-4</v>
      </c>
      <c r="T33">
        <f>IF(VLOOKUP(all_lmics18[[Setting]:[Setting]],all_cause_mort[],8,FALSE)="",VLOOKUP(all_lmics18[[who_choice_region]:[who_choice_region]],missing[],12,FALSE),VLOOKUP(all_lmics18[[Setting]:[Setting]],all_cause_mort[],8,FALSE))</f>
        <v>4.2712262000000001E-4</v>
      </c>
      <c r="U33">
        <f>IF(VLOOKUP(all_lmics18[[Setting]:[Setting]],all_cause_mort[],9,FALSE)="",VLOOKUP(all_lmics18[[who_choice_region]:[who_choice_region]],missing[],13,FALSE),VLOOKUP(all_lmics18[[Setting]:[Setting]],all_cause_mort[],9,FALSE))</f>
        <v>7.6081673999999996E-4</v>
      </c>
      <c r="V33">
        <f>IF(VLOOKUP(all_lmics18[[Setting]:[Setting]],all_cause_mort[],10,FALSE)="",VLOOKUP(all_lmics18[[who_choice_region]:[who_choice_region]],missing[],14,FALSE),VLOOKUP(all_lmics18[[Setting]:[Setting]],all_cause_mort[],10,FALSE))</f>
        <v>5.9267396000000001E-4</v>
      </c>
      <c r="W33">
        <f>IF(VLOOKUP(all_lmics18[[Setting]:[Setting]],all_cause_mort[],11,FALSE)="",VLOOKUP(all_lmics18[[who_choice_region]:[who_choice_region]],missing[],15,FALSE),VLOOKUP(all_lmics18[[Setting]:[Setting]],all_cause_mort[],11,FALSE))</f>
        <v>6.4608730000000004E-4</v>
      </c>
      <c r="X33">
        <f>IF(VLOOKUP(all_lmics18[[Setting]:[Setting]],all_cause_mort[],12,FALSE)="",VLOOKUP(all_lmics18[[who_choice_region]:[who_choice_region]],missing[],16,FALSE),VLOOKUP(all_lmics18[[Setting]:[Setting]],all_cause_mort[],12,FALSE))</f>
        <v>7.0703029999999998E-4</v>
      </c>
      <c r="Y33">
        <f>IF(VLOOKUP(all_lmics18[[Setting]:[Setting]],all_cause_mort[],13,FALSE)="",VLOOKUP(all_lmics18[[who_choice_region]:[who_choice_region]],missing[],17,FALSE),VLOOKUP(all_lmics18[[Setting]:[Setting]],all_cause_mort[],13,FALSE))</f>
        <v>1.0421781E-3</v>
      </c>
      <c r="Z33">
        <f>IF(VLOOKUP(all_lmics18[[Setting]:[Setting]],all_cause_mort[],14,FALSE)="",VLOOKUP(all_lmics18[[who_choice_region]:[who_choice_region]],missing[],18,FALSE),VLOOKUP(all_lmics18[[Setting]:[Setting]],all_cause_mort[],14,FALSE))</f>
        <v>1.7465911000000001E-3</v>
      </c>
      <c r="AA33">
        <f>IF(VLOOKUP(all_lmics18[[Setting]:[Setting]],all_cause_mort[],15,FALSE)="",VLOOKUP(all_lmics18[[who_choice_region]:[who_choice_region]],missing[],19,FALSE),VLOOKUP(all_lmics18[[Setting]:[Setting]],all_cause_mort[],15,FALSE))</f>
        <v>3.2633736000000002E-3</v>
      </c>
      <c r="AB33">
        <f>IF(VLOOKUP(all_lmics18[[Setting]:[Setting]],all_cause_mort[],16,FALSE)="",VLOOKUP(all_lmics18[[who_choice_region]:[who_choice_region]],missing[],20,FALSE),VLOOKUP(all_lmics18[[Setting]:[Setting]],all_cause_mort[],16,FALSE))</f>
        <v>4.8517519000000004E-3</v>
      </c>
      <c r="AC33">
        <f>IF(VLOOKUP(all_lmics18[[Setting]:[Setting]],all_cause_mort[],17,FALSE)="",VLOOKUP(all_lmics18[[who_choice_region]:[who_choice_region]],missing[],21,FALSE),VLOOKUP(all_lmics18[[Setting]:[Setting]],all_cause_mort[],17,FALSE))</f>
        <v>9.0514676999999995E-3</v>
      </c>
      <c r="AD33">
        <f>IF(VLOOKUP(all_lmics18[[Setting]:[Setting]],all_cause_mort[],18,FALSE)="",VLOOKUP(all_lmics18[[who_choice_region]:[who_choice_region]],missing[],22,FALSE),VLOOKUP(all_lmics18[[Setting]:[Setting]],all_cause_mort[],18,FALSE))</f>
        <v>1.6774185E-2</v>
      </c>
      <c r="AE33">
        <f>IF(VLOOKUP(all_lmics18[[Setting]:[Setting]],all_cause_mort[],19,FALSE)="",VLOOKUP(all_lmics18[[who_choice_region]:[who_choice_region]],missing[],23,FALSE),VLOOKUP(all_lmics18[[Setting]:[Setting]],all_cause_mort[],19,FALSE))</f>
        <v>3.4748749000000002E-2</v>
      </c>
      <c r="AF33">
        <f>IF(VLOOKUP(all_lmics18[[Setting]:[Setting]],all_cause_mort[],20,FALSE)="",VLOOKUP(all_lmics18[[who_choice_region]:[who_choice_region]],missing[],24,FALSE),VLOOKUP(all_lmics18[[Setting]:[Setting]],all_cause_mort[],20,FALSE))</f>
        <v>7.5644959999999997E-2</v>
      </c>
      <c r="AG33">
        <f>IF(VLOOKUP(all_lmics18[[Setting]:[Setting]],all_cause_mort[],21,FALSE)="",VLOOKUP(all_lmics18[[who_choice_region]:[who_choice_region]],missing[],25,FALSE),VLOOKUP(all_lmics18[[Setting]:[Setting]],all_cause_mort[],21,FALSE))</f>
        <v>0.12058642999999999</v>
      </c>
      <c r="AH33">
        <f>IF(VLOOKUP(all_lmics18[[Setting]:[Setting]],all_cause_mort[],22,FALSE)="",VLOOKUP(all_lmics18[[who_choice_region]:[who_choice_region]],missing[],26,FALSE),VLOOKUP(all_lmics18[[Setting]:[Setting]],all_cause_mort[],22,FALSE))</f>
        <v>0.19038331</v>
      </c>
      <c r="AI33">
        <f>IF(VLOOKUP(all_lmics18[[Setting]:[Setting]],all_cause_mort[],23,FALSE)="",VLOOKUP(all_lmics18[[who_choice_region]:[who_choice_region]],missing[],27,FALSE),VLOOKUP(all_lmics18[[Setting]:[Setting]],all_cause_mort[],23,FALSE))</f>
        <v>0.29429443</v>
      </c>
      <c r="AJ33">
        <f>IF(VLOOKUP(all_lmics18[[Setting]:[Setting]],all_cause_mort[],24,FALSE)="",VLOOKUP(all_lmics18[[who_choice_region]:[who_choice_region]],missing[],28,FALSE),VLOOKUP(all_lmics18[[Setting]:[Setting]],all_cause_mort[],24,FALSE))</f>
        <v>0.42652795999999998</v>
      </c>
      <c r="AK33">
        <f>IF(VLOOKUP(all_lmics18[[Setting]:[Setting]],all_cause_mort[],25,FALSE)="",VLOOKUP(all_lmics18[[who_choice_region]:[who_choice_region]],missing[],29,FALSE),VLOOKUP(all_lmics18[[Setting]:[Setting]],all_cause_mort[],25,FALSE))</f>
        <v>0.57712136250504797</v>
      </c>
      <c r="AL33">
        <f>VLOOKUP(all_lmics18[[worldbank_region]:[worldbank_region]],Table13[],2,FALSE)</f>
        <v>57.906657999999993</v>
      </c>
      <c r="AM33">
        <f>VLOOKUP(all_lmics18[[worldbank_region]:[worldbank_region]],Table13[],3,FALSE)</f>
        <v>57.906657999999993</v>
      </c>
      <c r="AN33">
        <f>VLOOKUP(all_lmics18[[worldbank_region]:[worldbank_region]],Table13[],4,FALSE)</f>
        <v>105.63551799999999</v>
      </c>
      <c r="AO33">
        <f>VLOOKUP(all_lmics18[[worldbank_region]:[worldbank_region]],Table13[],5,FALSE)</f>
        <v>105.63551799999999</v>
      </c>
      <c r="AP33">
        <f>VLOOKUP(all_lmics18[[worldbank_region]:[worldbank_region]],Table13[],6,FALSE)</f>
        <v>105.63551799999999</v>
      </c>
      <c r="AQ33">
        <f>VLOOKUP(all_lmics18[[worldbank_region]:[worldbank_region]],Table14[],2,FALSE)</f>
        <v>1.5037449999999999</v>
      </c>
      <c r="AR33">
        <f>VLOOKUP(all_lmics18[[worldbank_region]:[worldbank_region]],Table14[],3,FALSE)</f>
        <v>2.121245</v>
      </c>
      <c r="AS33">
        <f>VLOOKUP(all_lmics18[[worldbank_region]:[worldbank_region]],Table14[],4,FALSE)</f>
        <v>1.9832129999999999</v>
      </c>
      <c r="AT33">
        <f>VLOOKUP(all_lmics18[[worldbank_region]:[worldbank_region]],Table14[],5,FALSE)</f>
        <v>2.6007129999999998</v>
      </c>
      <c r="AU33">
        <f>VLOOKUP(all_lmics18[[worldbank_region]:[worldbank_region]],Table14[],6,FALSE)</f>
        <v>3.1709649999999998</v>
      </c>
      <c r="AV33">
        <f>IFERROR(VLOOKUP(all_lmics18[[Setting]:[Setting]],nFacSBA[],4,FALSE),VLOOKUP(all_lmics18[[who_choice_region]:[who_choice_region]],missing[],30,FALSE))</f>
        <v>0.38783437593130843</v>
      </c>
      <c r="AW33">
        <f>VLOOKUP(all_lmics18[[worldbank_region]:[worldbank_region]],hbe[],2)</f>
        <v>0.3</v>
      </c>
      <c r="AX33">
        <f>VLOOKUP(all_lmics18[[worldbank_region]:[worldbank_region]],hbe[],5)</f>
        <v>0.875</v>
      </c>
      <c r="AY33">
        <f>VLOOKUP(all_lmics18[[worldbank_region]:[worldbank_region]],hbe[],8)</f>
        <v>0.15</v>
      </c>
    </row>
    <row r="34" spans="1:51" x14ac:dyDescent="0.35">
      <c r="A34" s="8" t="s">
        <v>111</v>
      </c>
      <c r="B34" s="10" t="s">
        <v>6</v>
      </c>
      <c r="C34" s="11" t="s">
        <v>7</v>
      </c>
      <c r="D34">
        <f>VLOOKUP(all_lmics18[[Setting]:[Setting]],populations[],9,FALSE)</f>
        <v>38274618</v>
      </c>
      <c r="E34">
        <f>VLOOKUP(all_lmics18[[Setting]:[Setting]],birthrate[],3,FALSE)</f>
        <v>3.3207E-2</v>
      </c>
      <c r="F34">
        <f>all_lmics18[[#This Row],[2017_population]]*all_lmics18[[#This Row],[2016_birthrate]]</f>
        <v>1270985.2399260001</v>
      </c>
      <c r="G34">
        <f>VLOOKUP(all_lmics18[[Setting]:[Setting]],birthdose[],4,FALSE)</f>
        <v>0.47</v>
      </c>
      <c r="H34">
        <f>VLOOKUP(all_lmics18[[Setting]:[Setting]],fullvax[],4,FALSE)</f>
        <v>0.63</v>
      </c>
      <c r="I34">
        <f>IFERROR(VLOOKUP(all_lmics18[[Setting]:[Setting]],prev[],3,FALSE),VLOOKUP(all_lmics18[[who_choice_region]:[who_choice_region]],missing[],2,FALSE))</f>
        <v>3.5000000000000003E-2</v>
      </c>
      <c r="J34">
        <f>IFERROR(VLOOKUP(all_lmics18[[Setting]:[Setting]],prev[],4,FALSE),VLOOKUP(all_lmics18[[who_choice_region]:[who_choice_region]],missing[],3,FALSE))</f>
        <v>3.2000000000000001E-2</v>
      </c>
      <c r="K34">
        <f>IFERROR(VLOOKUP(all_lmics18[[Setting]:[Setting]],prev[],5,FALSE),VLOOKUP(all_lmics18[[who_choice_region]:[who_choice_region]],missing[],4,FALSE))</f>
        <v>3.9E-2</v>
      </c>
      <c r="L34">
        <f>IFERROR(VLOOKUP(all_lmics18[[Setting]:[Setting]],prev[],7,FALSE),VLOOKUP(all_lmics18[[who_choice_region]:[who_choice_region]],missing[],5,FALSE))</f>
        <v>2.0408163265306107E-3</v>
      </c>
      <c r="M34">
        <f>IFERROR(VLOOKUP(all_lmics18[[Setting]:[Setting]],prev[],6,FALSE),0)</f>
        <v>38274618</v>
      </c>
      <c r="N34">
        <f>IFERROR(VLOOKUP(all_lmics18[[Setting]:[Setting]],SBA[],4,FALSE),VLOOKUP(all_lmics18[[who_choice_region]:[who_choice_region]],missing[],6,FALSE))</f>
        <v>0.70400000000000007</v>
      </c>
      <c r="O34">
        <f>IFERROR(VLOOKUP(all_lmics18[[Setting]:[Setting]], facility[], 3,FALSE),VLOOKUP(all_lmics18[[who_choice_region]:[who_choice_region]],missing[],7,FALSE))</f>
        <v>0.7659999999999999</v>
      </c>
      <c r="P34">
        <f>IF(VLOOKUP(all_lmics18[[Setting]:[Setting]],all_cause_mort[],4,FALSE)="",VLOOKUP(all_lmics18[[who_choice_region]:[who_choice_region]],missing[],8,FALSE),VLOOKUP(all_lmics18[[Setting]:[Setting]],all_cause_mort[],4,FALSE))</f>
        <v>2.4635428000000001E-2</v>
      </c>
      <c r="Q34">
        <f>IF(VLOOKUP(all_lmics18[[Setting]:[Setting]],all_cause_mort[],5,FALSE)="",VLOOKUP(all_lmics18[[who_choice_region]:[who_choice_region]],missing[],9,FALSE),VLOOKUP(all_lmics18[[Setting]:[Setting]],all_cause_mort[],5,FALSE))</f>
        <v>1.0828681000000001E-3</v>
      </c>
      <c r="R34">
        <f>IF(VLOOKUP(all_lmics18[[Setting]:[Setting]],all_cause_mort[],6,FALSE)="",VLOOKUP(all_lmics18[[who_choice_region]:[who_choice_region]],missing[],10,FALSE),VLOOKUP(all_lmics18[[Setting]:[Setting]],all_cause_mort[],6,FALSE))</f>
        <v>6.7936641999999999E-4</v>
      </c>
      <c r="S34">
        <f>IF(VLOOKUP(all_lmics18[[Setting]:[Setting]],all_cause_mort[],7,FALSE)="",VLOOKUP(all_lmics18[[who_choice_region]:[who_choice_region]],missing[],11,FALSE),VLOOKUP(all_lmics18[[Setting]:[Setting]],all_cause_mort[],7,FALSE))</f>
        <v>5.6635400999999999E-4</v>
      </c>
      <c r="T34">
        <f>IF(VLOOKUP(all_lmics18[[Setting]:[Setting]],all_cause_mort[],8,FALSE)="",VLOOKUP(all_lmics18[[who_choice_region]:[who_choice_region]],missing[],12,FALSE),VLOOKUP(all_lmics18[[Setting]:[Setting]],all_cause_mort[],8,FALSE))</f>
        <v>1.0027320999999999E-3</v>
      </c>
      <c r="U34">
        <f>IF(VLOOKUP(all_lmics18[[Setting]:[Setting]],all_cause_mort[],9,FALSE)="",VLOOKUP(all_lmics18[[who_choice_region]:[who_choice_region]],missing[],13,FALSE),VLOOKUP(all_lmics18[[Setting]:[Setting]],all_cause_mort[],9,FALSE))</f>
        <v>1.4199783E-3</v>
      </c>
      <c r="V34">
        <f>IF(VLOOKUP(all_lmics18[[Setting]:[Setting]],all_cause_mort[],10,FALSE)="",VLOOKUP(all_lmics18[[who_choice_region]:[who_choice_region]],missing[],14,FALSE),VLOOKUP(all_lmics18[[Setting]:[Setting]],all_cause_mort[],10,FALSE))</f>
        <v>1.5299426000000001E-3</v>
      </c>
      <c r="W34">
        <f>IF(VLOOKUP(all_lmics18[[Setting]:[Setting]],all_cause_mort[],11,FALSE)="",VLOOKUP(all_lmics18[[who_choice_region]:[who_choice_region]],missing[],15,FALSE),VLOOKUP(all_lmics18[[Setting]:[Setting]],all_cause_mort[],11,FALSE))</f>
        <v>1.755356E-3</v>
      </c>
      <c r="X34">
        <f>IF(VLOOKUP(all_lmics18[[Setting]:[Setting]],all_cause_mort[],12,FALSE)="",VLOOKUP(all_lmics18[[who_choice_region]:[who_choice_region]],missing[],16,FALSE),VLOOKUP(all_lmics18[[Setting]:[Setting]],all_cause_mort[],12,FALSE))</f>
        <v>2.2153839999999999E-3</v>
      </c>
      <c r="Y34">
        <f>IF(VLOOKUP(all_lmics18[[Setting]:[Setting]],all_cause_mort[],13,FALSE)="",VLOOKUP(all_lmics18[[who_choice_region]:[who_choice_region]],missing[],17,FALSE),VLOOKUP(all_lmics18[[Setting]:[Setting]],all_cause_mort[],13,FALSE))</f>
        <v>3.1134178000000001E-3</v>
      </c>
      <c r="Z34">
        <f>IF(VLOOKUP(all_lmics18[[Setting]:[Setting]],all_cause_mort[],14,FALSE)="",VLOOKUP(all_lmics18[[who_choice_region]:[who_choice_region]],missing[],18,FALSE),VLOOKUP(all_lmics18[[Setting]:[Setting]],all_cause_mort[],14,FALSE))</f>
        <v>4.7443064000000004E-3</v>
      </c>
      <c r="AA34">
        <f>IF(VLOOKUP(all_lmics18[[Setting]:[Setting]],all_cause_mort[],15,FALSE)="",VLOOKUP(all_lmics18[[who_choice_region]:[who_choice_region]],missing[],19,FALSE),VLOOKUP(all_lmics18[[Setting]:[Setting]],all_cause_mort[],15,FALSE))</f>
        <v>7.2865326000000003E-3</v>
      </c>
      <c r="AB34">
        <f>IF(VLOOKUP(all_lmics18[[Setting]:[Setting]],all_cause_mort[],16,FALSE)="",VLOOKUP(all_lmics18[[who_choice_region]:[who_choice_region]],missing[],20,FALSE),VLOOKUP(all_lmics18[[Setting]:[Setting]],all_cause_mort[],16,FALSE))</f>
        <v>1.1370742E-2</v>
      </c>
      <c r="AC34">
        <f>IF(VLOOKUP(all_lmics18[[Setting]:[Setting]],all_cause_mort[],17,FALSE)="",VLOOKUP(all_lmics18[[who_choice_region]:[who_choice_region]],missing[],21,FALSE),VLOOKUP(all_lmics18[[Setting]:[Setting]],all_cause_mort[],17,FALSE))</f>
        <v>1.7938559999999999E-2</v>
      </c>
      <c r="AD34">
        <f>IF(VLOOKUP(all_lmics18[[Setting]:[Setting]],all_cause_mort[],18,FALSE)="",VLOOKUP(all_lmics18[[who_choice_region]:[who_choice_region]],missing[],22,FALSE),VLOOKUP(all_lmics18[[Setting]:[Setting]],all_cause_mort[],18,FALSE))</f>
        <v>2.9109152999999999E-2</v>
      </c>
      <c r="AE34">
        <f>IF(VLOOKUP(all_lmics18[[Setting]:[Setting]],all_cause_mort[],19,FALSE)="",VLOOKUP(all_lmics18[[who_choice_region]:[who_choice_region]],missing[],23,FALSE),VLOOKUP(all_lmics18[[Setting]:[Setting]],all_cause_mort[],19,FALSE))</f>
        <v>4.8005051999999999E-2</v>
      </c>
      <c r="AF34">
        <f>IF(VLOOKUP(all_lmics18[[Setting]:[Setting]],all_cause_mort[],20,FALSE)="",VLOOKUP(all_lmics18[[who_choice_region]:[who_choice_region]],missing[],24,FALSE),VLOOKUP(all_lmics18[[Setting]:[Setting]],all_cause_mort[],20,FALSE))</f>
        <v>7.8693476999999998E-2</v>
      </c>
      <c r="AG34">
        <f>IF(VLOOKUP(all_lmics18[[Setting]:[Setting]],all_cause_mort[],21,FALSE)="",VLOOKUP(all_lmics18[[who_choice_region]:[who_choice_region]],missing[],25,FALSE),VLOOKUP(all_lmics18[[Setting]:[Setting]],all_cause_mort[],21,FALSE))</f>
        <v>0.1295413</v>
      </c>
      <c r="AH34">
        <f>IF(VLOOKUP(all_lmics18[[Setting]:[Setting]],all_cause_mort[],22,FALSE)="",VLOOKUP(all_lmics18[[who_choice_region]:[who_choice_region]],missing[],26,FALSE),VLOOKUP(all_lmics18[[Setting]:[Setting]],all_cause_mort[],22,FALSE))</f>
        <v>0.20400732999999999</v>
      </c>
      <c r="AI34">
        <f>IF(VLOOKUP(all_lmics18[[Setting]:[Setting]],all_cause_mort[],23,FALSE)="",VLOOKUP(all_lmics18[[who_choice_region]:[who_choice_region]],missing[],27,FALSE),VLOOKUP(all_lmics18[[Setting]:[Setting]],all_cause_mort[],23,FALSE))</f>
        <v>0.30477734000000001</v>
      </c>
      <c r="AJ34">
        <f>IF(VLOOKUP(all_lmics18[[Setting]:[Setting]],all_cause_mort[],24,FALSE)="",VLOOKUP(all_lmics18[[who_choice_region]:[who_choice_region]],missing[],28,FALSE),VLOOKUP(all_lmics18[[Setting]:[Setting]],all_cause_mort[],24,FALSE))</f>
        <v>0.42581627999999999</v>
      </c>
      <c r="AK34">
        <f>IF(VLOOKUP(all_lmics18[[Setting]:[Setting]],all_cause_mort[],25,FALSE)="",VLOOKUP(all_lmics18[[who_choice_region]:[who_choice_region]],missing[],29,FALSE),VLOOKUP(all_lmics18[[Setting]:[Setting]],all_cause_mort[],25,FALSE))</f>
        <v>0.51775340171751205</v>
      </c>
      <c r="AL34">
        <f>VLOOKUP(all_lmics18[[worldbank_region]:[worldbank_region]],Table13[],2,FALSE)</f>
        <v>57.906657999999993</v>
      </c>
      <c r="AM34">
        <f>VLOOKUP(all_lmics18[[worldbank_region]:[worldbank_region]],Table13[],3,FALSE)</f>
        <v>57.906657999999993</v>
      </c>
      <c r="AN34">
        <f>VLOOKUP(all_lmics18[[worldbank_region]:[worldbank_region]],Table13[],4,FALSE)</f>
        <v>105.63551799999999</v>
      </c>
      <c r="AO34">
        <f>VLOOKUP(all_lmics18[[worldbank_region]:[worldbank_region]],Table13[],5,FALSE)</f>
        <v>105.63551799999999</v>
      </c>
      <c r="AP34">
        <f>VLOOKUP(all_lmics18[[worldbank_region]:[worldbank_region]],Table13[],6,FALSE)</f>
        <v>105.63551799999999</v>
      </c>
      <c r="AQ34">
        <f>VLOOKUP(all_lmics18[[worldbank_region]:[worldbank_region]],Table14[],2,FALSE)</f>
        <v>1.5037449999999999</v>
      </c>
      <c r="AR34">
        <f>VLOOKUP(all_lmics18[[worldbank_region]:[worldbank_region]],Table14[],3,FALSE)</f>
        <v>2.121245</v>
      </c>
      <c r="AS34">
        <f>VLOOKUP(all_lmics18[[worldbank_region]:[worldbank_region]],Table14[],4,FALSE)</f>
        <v>1.9832129999999999</v>
      </c>
      <c r="AT34">
        <f>VLOOKUP(all_lmics18[[worldbank_region]:[worldbank_region]],Table14[],5,FALSE)</f>
        <v>2.6007129999999998</v>
      </c>
      <c r="AU34">
        <f>VLOOKUP(all_lmics18[[worldbank_region]:[worldbank_region]],Table14[],6,FALSE)</f>
        <v>3.1709649999999998</v>
      </c>
      <c r="AV34">
        <f>IFERROR(VLOOKUP(all_lmics18[[Setting]:[Setting]],nFacSBA[],4,FALSE),VLOOKUP(all_lmics18[[who_choice_region]:[who_choice_region]],missing[],30,FALSE))</f>
        <v>0.6201799551647541</v>
      </c>
      <c r="AW34">
        <f>VLOOKUP(all_lmics18[[worldbank_region]:[worldbank_region]],hbe[],2)</f>
        <v>0.3</v>
      </c>
      <c r="AX34">
        <f>VLOOKUP(all_lmics18[[worldbank_region]:[worldbank_region]],hbe[],5)</f>
        <v>0.875</v>
      </c>
      <c r="AY34">
        <f>VLOOKUP(all_lmics18[[worldbank_region]:[worldbank_region]],hbe[],8)</f>
        <v>0.15</v>
      </c>
    </row>
    <row r="35" spans="1:51" x14ac:dyDescent="0.35">
      <c r="A35" s="12" t="s">
        <v>118</v>
      </c>
      <c r="B35" s="13" t="s">
        <v>40</v>
      </c>
      <c r="C35" s="14" t="s">
        <v>11</v>
      </c>
      <c r="D35">
        <f>VLOOKUP(all_lmics18[[Setting]:[Setting]],populations[],9,FALSE)</f>
        <v>18037646</v>
      </c>
      <c r="E35">
        <f>VLOOKUP(all_lmics18[[Setting]:[Setting]],birthrate[],3,FALSE)</f>
        <v>2.2519999999999998E-2</v>
      </c>
      <c r="F35">
        <f>all_lmics18[[#This Row],[2017_population]]*all_lmics18[[#This Row],[2016_birthrate]]</f>
        <v>406207.78791999997</v>
      </c>
      <c r="G35">
        <f>VLOOKUP(all_lmics18[[Setting]:[Setting]],birthdose[],4,FALSE)</f>
        <v>0.9</v>
      </c>
      <c r="H35">
        <f>VLOOKUP(all_lmics18[[Setting]:[Setting]],fullvax[],4,FALSE)</f>
        <v>0.99</v>
      </c>
      <c r="I35">
        <f>IFERROR(VLOOKUP(all_lmics18[[Setting]:[Setting]],prev[],3,FALSE),VLOOKUP(all_lmics18[[who_choice_region]:[who_choice_region]],missing[],2,FALSE))</f>
        <v>2.7E-2</v>
      </c>
      <c r="J35">
        <f>IFERROR(VLOOKUP(all_lmics18[[Setting]:[Setting]],prev[],4,FALSE),VLOOKUP(all_lmics18[[who_choice_region]:[who_choice_region]],missing[],3,FALSE))</f>
        <v>1.9E-2</v>
      </c>
      <c r="K35">
        <f>IFERROR(VLOOKUP(all_lmics18[[Setting]:[Setting]],prev[],5,FALSE),VLOOKUP(all_lmics18[[who_choice_region]:[who_choice_region]],missing[],4,FALSE))</f>
        <v>3.5999999999999997E-2</v>
      </c>
      <c r="L35">
        <f>IFERROR(VLOOKUP(all_lmics18[[Setting]:[Setting]],prev[],7,FALSE),VLOOKUP(all_lmics18[[who_choice_region]:[who_choice_region]],missing[],5,FALSE))</f>
        <v>4.5918367346938762E-3</v>
      </c>
      <c r="M35">
        <f>IFERROR(VLOOKUP(all_lmics18[[Setting]:[Setting]],prev[],6,FALSE),0)</f>
        <v>18037646</v>
      </c>
      <c r="N35">
        <f>IFERROR(VLOOKUP(all_lmics18[[Setting]:[Setting]],SBA[],4,FALSE),VLOOKUP(all_lmics18[[who_choice_region]:[who_choice_region]],missing[],6,FALSE))</f>
        <v>0.99400000000000011</v>
      </c>
      <c r="O35">
        <f>IFERROR(VLOOKUP(all_lmics18[[Setting]:[Setting]], facility[], 3,FALSE),VLOOKUP(all_lmics18[[who_choice_region]:[who_choice_region]],missing[],7,FALSE))</f>
        <v>0.99299999999999999</v>
      </c>
      <c r="P35">
        <f>IF(VLOOKUP(all_lmics18[[Setting]:[Setting]],all_cause_mort[],4,FALSE)="",VLOOKUP(all_lmics18[[who_choice_region]:[who_choice_region]],missing[],8,FALSE),VLOOKUP(all_lmics18[[Setting]:[Setting]],all_cause_mort[],4,FALSE))</f>
        <v>7.7288879999999997E-3</v>
      </c>
      <c r="Q35">
        <f>IF(VLOOKUP(all_lmics18[[Setting]:[Setting]],all_cause_mort[],5,FALSE)="",VLOOKUP(all_lmics18[[who_choice_region]:[who_choice_region]],missing[],9,FALSE),VLOOKUP(all_lmics18[[Setting]:[Setting]],all_cause_mort[],5,FALSE))</f>
        <v>5.5953120999999997E-4</v>
      </c>
      <c r="R35">
        <f>IF(VLOOKUP(all_lmics18[[Setting]:[Setting]],all_cause_mort[],6,FALSE)="",VLOOKUP(all_lmics18[[who_choice_region]:[who_choice_region]],missing[],10,FALSE),VLOOKUP(all_lmics18[[Setting]:[Setting]],all_cause_mort[],6,FALSE))</f>
        <v>2.7372688999999998E-4</v>
      </c>
      <c r="S35">
        <f>IF(VLOOKUP(all_lmics18[[Setting]:[Setting]],all_cause_mort[],7,FALSE)="",VLOOKUP(all_lmics18[[who_choice_region]:[who_choice_region]],missing[],11,FALSE),VLOOKUP(all_lmics18[[Setting]:[Setting]],all_cause_mort[],7,FALSE))</f>
        <v>2.9309212999999997E-4</v>
      </c>
      <c r="T35">
        <f>IF(VLOOKUP(all_lmics18[[Setting]:[Setting]],all_cause_mort[],8,FALSE)="",VLOOKUP(all_lmics18[[who_choice_region]:[who_choice_region]],missing[],12,FALSE),VLOOKUP(all_lmics18[[Setting]:[Setting]],all_cause_mort[],8,FALSE))</f>
        <v>5.9136889000000002E-4</v>
      </c>
      <c r="U35">
        <f>IF(VLOOKUP(all_lmics18[[Setting]:[Setting]],all_cause_mort[],9,FALSE)="",VLOOKUP(all_lmics18[[who_choice_region]:[who_choice_region]],missing[],13,FALSE),VLOOKUP(all_lmics18[[Setting]:[Setting]],all_cause_mort[],9,FALSE))</f>
        <v>8.6980911000000003E-4</v>
      </c>
      <c r="V35">
        <f>IF(VLOOKUP(all_lmics18[[Setting]:[Setting]],all_cause_mort[],10,FALSE)="",VLOOKUP(all_lmics18[[who_choice_region]:[who_choice_region]],missing[],14,FALSE),VLOOKUP(all_lmics18[[Setting]:[Setting]],all_cause_mort[],10,FALSE))</f>
        <v>1.1352812E-3</v>
      </c>
      <c r="W35">
        <f>IF(VLOOKUP(all_lmics18[[Setting]:[Setting]],all_cause_mort[],11,FALSE)="",VLOOKUP(all_lmics18[[who_choice_region]:[who_choice_region]],missing[],15,FALSE),VLOOKUP(all_lmics18[[Setting]:[Setting]],all_cause_mort[],11,FALSE))</f>
        <v>1.7432176E-3</v>
      </c>
      <c r="X35">
        <f>IF(VLOOKUP(all_lmics18[[Setting]:[Setting]],all_cause_mort[],12,FALSE)="",VLOOKUP(all_lmics18[[who_choice_region]:[who_choice_region]],missing[],16,FALSE),VLOOKUP(all_lmics18[[Setting]:[Setting]],all_cause_mort[],12,FALSE))</f>
        <v>2.7831562999999998E-3</v>
      </c>
      <c r="Y35">
        <f>IF(VLOOKUP(all_lmics18[[Setting]:[Setting]],all_cause_mort[],13,FALSE)="",VLOOKUP(all_lmics18[[who_choice_region]:[who_choice_region]],missing[],17,FALSE),VLOOKUP(all_lmics18[[Setting]:[Setting]],all_cause_mort[],13,FALSE))</f>
        <v>3.8465075E-3</v>
      </c>
      <c r="Z35">
        <f>IF(VLOOKUP(all_lmics18[[Setting]:[Setting]],all_cause_mort[],14,FALSE)="",VLOOKUP(all_lmics18[[who_choice_region]:[who_choice_region]],missing[],18,FALSE),VLOOKUP(all_lmics18[[Setting]:[Setting]],all_cause_mort[],14,FALSE))</f>
        <v>5.1737381000000002E-3</v>
      </c>
      <c r="AA35">
        <f>IF(VLOOKUP(all_lmics18[[Setting]:[Setting]],all_cause_mort[],15,FALSE)="",VLOOKUP(all_lmics18[[who_choice_region]:[who_choice_region]],missing[],19,FALSE),VLOOKUP(all_lmics18[[Setting]:[Setting]],all_cause_mort[],15,FALSE))</f>
        <v>7.2727210999999998E-3</v>
      </c>
      <c r="AB35">
        <f>IF(VLOOKUP(all_lmics18[[Setting]:[Setting]],all_cause_mort[],16,FALSE)="",VLOOKUP(all_lmics18[[who_choice_region]:[who_choice_region]],missing[],20,FALSE),VLOOKUP(all_lmics18[[Setting]:[Setting]],all_cause_mort[],16,FALSE))</f>
        <v>1.1002101E-2</v>
      </c>
      <c r="AC35">
        <f>IF(VLOOKUP(all_lmics18[[Setting]:[Setting]],all_cause_mort[],17,FALSE)="",VLOOKUP(all_lmics18[[who_choice_region]:[who_choice_region]],missing[],21,FALSE),VLOOKUP(all_lmics18[[Setting]:[Setting]],all_cause_mort[],17,FALSE))</f>
        <v>1.7208781999999999E-2</v>
      </c>
      <c r="AD35">
        <f>IF(VLOOKUP(all_lmics18[[Setting]:[Setting]],all_cause_mort[],18,FALSE)="",VLOOKUP(all_lmics18[[who_choice_region]:[who_choice_region]],missing[],22,FALSE),VLOOKUP(all_lmics18[[Setting]:[Setting]],all_cause_mort[],18,FALSE))</f>
        <v>2.6282600999999999E-2</v>
      </c>
      <c r="AE35">
        <f>IF(VLOOKUP(all_lmics18[[Setting]:[Setting]],all_cause_mort[],19,FALSE)="",VLOOKUP(all_lmics18[[who_choice_region]:[who_choice_region]],missing[],23,FALSE),VLOOKUP(all_lmics18[[Setting]:[Setting]],all_cause_mort[],19,FALSE))</f>
        <v>3.7711517E-2</v>
      </c>
      <c r="AF35">
        <f>IF(VLOOKUP(all_lmics18[[Setting]:[Setting]],all_cause_mort[],20,FALSE)="",VLOOKUP(all_lmics18[[who_choice_region]:[who_choice_region]],missing[],24,FALSE),VLOOKUP(all_lmics18[[Setting]:[Setting]],all_cause_mort[],20,FALSE))</f>
        <v>6.2512025999999998E-2</v>
      </c>
      <c r="AG35">
        <f>IF(VLOOKUP(all_lmics18[[Setting]:[Setting]],all_cause_mort[],21,FALSE)="",VLOOKUP(all_lmics18[[who_choice_region]:[who_choice_region]],missing[],25,FALSE),VLOOKUP(all_lmics18[[Setting]:[Setting]],all_cause_mort[],21,FALSE))</f>
        <v>9.9659063000000006E-2</v>
      </c>
      <c r="AH35">
        <f>IF(VLOOKUP(all_lmics18[[Setting]:[Setting]],all_cause_mort[],22,FALSE)="",VLOOKUP(all_lmics18[[who_choice_region]:[who_choice_region]],missing[],26,FALSE),VLOOKUP(all_lmics18[[Setting]:[Setting]],all_cause_mort[],22,FALSE))</f>
        <v>0.15727260000000001</v>
      </c>
      <c r="AI35">
        <f>IF(VLOOKUP(all_lmics18[[Setting]:[Setting]],all_cause_mort[],23,FALSE)="",VLOOKUP(all_lmics18[[who_choice_region]:[who_choice_region]],missing[],27,FALSE),VLOOKUP(all_lmics18[[Setting]:[Setting]],all_cause_mort[],23,FALSE))</f>
        <v>0.24327615999999999</v>
      </c>
      <c r="AJ35">
        <f>IF(VLOOKUP(all_lmics18[[Setting]:[Setting]],all_cause_mort[],24,FALSE)="",VLOOKUP(all_lmics18[[who_choice_region]:[who_choice_region]],missing[],28,FALSE),VLOOKUP(all_lmics18[[Setting]:[Setting]],all_cause_mort[],24,FALSE))</f>
        <v>0.35379930999999998</v>
      </c>
      <c r="AK35">
        <f>IF(VLOOKUP(all_lmics18[[Setting]:[Setting]],all_cause_mort[],25,FALSE)="",VLOOKUP(all_lmics18[[who_choice_region]:[who_choice_region]],missing[],29,FALSE),VLOOKUP(all_lmics18[[Setting]:[Setting]],all_cause_mort[],25,FALSE))</f>
        <v>0.49623223271505301</v>
      </c>
      <c r="AL35">
        <f>VLOOKUP(all_lmics18[[worldbank_region]:[worldbank_region]],Table13[],2,FALSE)</f>
        <v>44.525141999999995</v>
      </c>
      <c r="AM35">
        <f>VLOOKUP(all_lmics18[[worldbank_region]:[worldbank_region]],Table13[],3,FALSE)</f>
        <v>44.525141999999995</v>
      </c>
      <c r="AN35">
        <f>VLOOKUP(all_lmics18[[worldbank_region]:[worldbank_region]],Table13[],4,FALSE)</f>
        <v>92.254001999999986</v>
      </c>
      <c r="AO35">
        <f>VLOOKUP(all_lmics18[[worldbank_region]:[worldbank_region]],Table13[],5,FALSE)</f>
        <v>92.254001999999986</v>
      </c>
      <c r="AP35">
        <f>VLOOKUP(all_lmics18[[worldbank_region]:[worldbank_region]],Table13[],6,FALSE)</f>
        <v>92.254001999999986</v>
      </c>
      <c r="AQ35">
        <f>VLOOKUP(all_lmics18[[worldbank_region]:[worldbank_region]],Table14[],2,FALSE)</f>
        <v>6.4182919999999992</v>
      </c>
      <c r="AR35">
        <f>VLOOKUP(all_lmics18[[worldbank_region]:[worldbank_region]],Table14[],3,FALSE)</f>
        <v>7.0357919999999998</v>
      </c>
      <c r="AS35">
        <f>VLOOKUP(all_lmics18[[worldbank_region]:[worldbank_region]],Table14[],4,FALSE)</f>
        <v>10.482872999999998</v>
      </c>
      <c r="AT35">
        <f>VLOOKUP(all_lmics18[[worldbank_region]:[worldbank_region]],Table14[],5,FALSE)</f>
        <v>11.100372999999999</v>
      </c>
      <c r="AU35">
        <f>VLOOKUP(all_lmics18[[worldbank_region]:[worldbank_region]],Table14[],6,FALSE)</f>
        <v>11.670624999999999</v>
      </c>
      <c r="AV35">
        <f>IFERROR(VLOOKUP(all_lmics18[[Setting]:[Setting]],nFacSBA[],4,FALSE),VLOOKUP(all_lmics18[[who_choice_region]:[who_choice_region]],missing[],30,FALSE))</f>
        <v>0.6192701779615315</v>
      </c>
      <c r="AW35">
        <f>VLOOKUP(all_lmics18[[worldbank_region]:[worldbank_region]],hbe[],2)</f>
        <v>0.3</v>
      </c>
      <c r="AX35">
        <f>VLOOKUP(all_lmics18[[worldbank_region]:[worldbank_region]],hbe[],5)</f>
        <v>0.875</v>
      </c>
      <c r="AY35">
        <f>VLOOKUP(all_lmics18[[worldbank_region]:[worldbank_region]],hbe[],8)</f>
        <v>0.15</v>
      </c>
    </row>
    <row r="36" spans="1:51" x14ac:dyDescent="0.35">
      <c r="A36" s="12" t="s">
        <v>120</v>
      </c>
      <c r="B36" s="13" t="s">
        <v>57</v>
      </c>
      <c r="C36" s="14" t="s">
        <v>58</v>
      </c>
      <c r="D36">
        <f>VLOOKUP(all_lmics18[[Setting]:[Setting]],populations[],9,FALSE)</f>
        <v>116398</v>
      </c>
      <c r="E36">
        <f>VLOOKUP(all_lmics18[[Setting]:[Setting]],birthrate[],3,FALSE)</f>
        <v>2.8223999999999999E-2</v>
      </c>
      <c r="F36">
        <f>all_lmics18[[#This Row],[2017_population]]*all_lmics18[[#This Row],[2016_birthrate]]</f>
        <v>3285.2171519999997</v>
      </c>
      <c r="G36">
        <f>VLOOKUP(all_lmics18[[Setting]:[Setting]],birthdose[],4,FALSE)</f>
        <v>0.89</v>
      </c>
      <c r="H36">
        <f>VLOOKUP(all_lmics18[[Setting]:[Setting]],fullvax[],4,FALSE)</f>
        <v>0.9</v>
      </c>
      <c r="I36">
        <f>IFERROR(VLOOKUP(all_lmics18[[Setting]:[Setting]],prev[],3,FALSE),VLOOKUP(all_lmics18[[who_choice_region]:[who_choice_region]],missing[],2,FALSE))</f>
        <v>9.0999999999999998E-2</v>
      </c>
      <c r="J36">
        <f>IFERROR(VLOOKUP(all_lmics18[[Setting]:[Setting]],prev[],4,FALSE),VLOOKUP(all_lmics18[[who_choice_region]:[who_choice_region]],missing[],3,FALSE))</f>
        <v>6.2E-2</v>
      </c>
      <c r="K36">
        <f>IFERROR(VLOOKUP(all_lmics18[[Setting]:[Setting]],prev[],5,FALSE),VLOOKUP(all_lmics18[[who_choice_region]:[who_choice_region]],missing[],4,FALSE))</f>
        <v>0.105</v>
      </c>
      <c r="L36">
        <f>IFERROR(VLOOKUP(all_lmics18[[Setting]:[Setting]],prev[],7,FALSE),VLOOKUP(all_lmics18[[who_choice_region]:[who_choice_region]],missing[],5,FALSE))</f>
        <v>7.1428571428571426E-3</v>
      </c>
      <c r="M36">
        <f>IFERROR(VLOOKUP(all_lmics18[[Setting]:[Setting]],prev[],6,FALSE),0)</f>
        <v>116398</v>
      </c>
      <c r="N36">
        <f>IFERROR(VLOOKUP(all_lmics18[[Setting]:[Setting]],SBA[],4,FALSE),VLOOKUP(all_lmics18[[who_choice_region]:[who_choice_region]],missing[],6,FALSE))</f>
        <v>0.98299999999999998</v>
      </c>
      <c r="O36">
        <f>IFERROR(VLOOKUP(all_lmics18[[Setting]:[Setting]], facility[], 3,FALSE),VLOOKUP(all_lmics18[[who_choice_region]:[who_choice_region]],missing[],7,FALSE))</f>
        <v>0.65900000000000003</v>
      </c>
      <c r="P36">
        <f>IF(VLOOKUP(all_lmics18[[Setting]:[Setting]],all_cause_mort[],4,FALSE)="",VLOOKUP(all_lmics18[[who_choice_region]:[who_choice_region]],missing[],8,FALSE),VLOOKUP(all_lmics18[[Setting]:[Setting]],all_cause_mort[],4,FALSE))</f>
        <v>4.4384838000000003E-2</v>
      </c>
      <c r="Q36">
        <f>IF(VLOOKUP(all_lmics18[[Setting]:[Setting]],all_cause_mort[],5,FALSE)="",VLOOKUP(all_lmics18[[who_choice_region]:[who_choice_region]],missing[],9,FALSE),VLOOKUP(all_lmics18[[Setting]:[Setting]],all_cause_mort[],5,FALSE))</f>
        <v>2.9958557999999998E-3</v>
      </c>
      <c r="R36">
        <f>IF(VLOOKUP(all_lmics18[[Setting]:[Setting]],all_cause_mort[],6,FALSE)="",VLOOKUP(all_lmics18[[who_choice_region]:[who_choice_region]],missing[],10,FALSE),VLOOKUP(all_lmics18[[Setting]:[Setting]],all_cause_mort[],6,FALSE))</f>
        <v>1.0128241999999999E-3</v>
      </c>
      <c r="S36">
        <f>IF(VLOOKUP(all_lmics18[[Setting]:[Setting]],all_cause_mort[],7,FALSE)="",VLOOKUP(all_lmics18[[who_choice_region]:[who_choice_region]],missing[],11,FALSE),VLOOKUP(all_lmics18[[Setting]:[Setting]],all_cause_mort[],7,FALSE))</f>
        <v>7.7173243000000003E-4</v>
      </c>
      <c r="T36">
        <f>IF(VLOOKUP(all_lmics18[[Setting]:[Setting]],all_cause_mort[],8,FALSE)="",VLOOKUP(all_lmics18[[who_choice_region]:[who_choice_region]],missing[],12,FALSE),VLOOKUP(all_lmics18[[Setting]:[Setting]],all_cause_mort[],8,FALSE))</f>
        <v>1.3654617999999999E-3</v>
      </c>
      <c r="U36">
        <f>IF(VLOOKUP(all_lmics18[[Setting]:[Setting]],all_cause_mort[],9,FALSE)="",VLOOKUP(all_lmics18[[who_choice_region]:[who_choice_region]],missing[],13,FALSE),VLOOKUP(all_lmics18[[Setting]:[Setting]],all_cause_mort[],9,FALSE))</f>
        <v>1.8167158000000001E-3</v>
      </c>
      <c r="V36">
        <f>IF(VLOOKUP(all_lmics18[[Setting]:[Setting]],all_cause_mort[],10,FALSE)="",VLOOKUP(all_lmics18[[who_choice_region]:[who_choice_region]],missing[],14,FALSE),VLOOKUP(all_lmics18[[Setting]:[Setting]],all_cause_mort[],10,FALSE))</f>
        <v>1.9412619E-3</v>
      </c>
      <c r="W36">
        <f>IF(VLOOKUP(all_lmics18[[Setting]:[Setting]],all_cause_mort[],11,FALSE)="",VLOOKUP(all_lmics18[[who_choice_region]:[who_choice_region]],missing[],15,FALSE),VLOOKUP(all_lmics18[[Setting]:[Setting]],all_cause_mort[],11,FALSE))</f>
        <v>2.2772661E-3</v>
      </c>
      <c r="X36">
        <f>IF(VLOOKUP(all_lmics18[[Setting]:[Setting]],all_cause_mort[],12,FALSE)="",VLOOKUP(all_lmics18[[who_choice_region]:[who_choice_region]],missing[],16,FALSE),VLOOKUP(all_lmics18[[Setting]:[Setting]],all_cause_mort[],12,FALSE))</f>
        <v>2.9875346999999998E-3</v>
      </c>
      <c r="Y36">
        <f>IF(VLOOKUP(all_lmics18[[Setting]:[Setting]],all_cause_mort[],13,FALSE)="",VLOOKUP(all_lmics18[[who_choice_region]:[who_choice_region]],missing[],17,FALSE),VLOOKUP(all_lmics18[[Setting]:[Setting]],all_cause_mort[],13,FALSE))</f>
        <v>4.1302138E-3</v>
      </c>
      <c r="Z36">
        <f>IF(VLOOKUP(all_lmics18[[Setting]:[Setting]],all_cause_mort[],14,FALSE)="",VLOOKUP(all_lmics18[[who_choice_region]:[who_choice_region]],missing[],18,FALSE),VLOOKUP(all_lmics18[[Setting]:[Setting]],all_cause_mort[],14,FALSE))</f>
        <v>6.0296665999999997E-3</v>
      </c>
      <c r="AA36">
        <f>IF(VLOOKUP(all_lmics18[[Setting]:[Setting]],all_cause_mort[],15,FALSE)="",VLOOKUP(all_lmics18[[who_choice_region]:[who_choice_region]],missing[],19,FALSE),VLOOKUP(all_lmics18[[Setting]:[Setting]],all_cause_mort[],15,FALSE))</f>
        <v>9.0777190999999993E-3</v>
      </c>
      <c r="AB36">
        <f>IF(VLOOKUP(all_lmics18[[Setting]:[Setting]],all_cause_mort[],16,FALSE)="",VLOOKUP(all_lmics18[[who_choice_region]:[who_choice_region]],missing[],20,FALSE),VLOOKUP(all_lmics18[[Setting]:[Setting]],all_cause_mort[],16,FALSE))</f>
        <v>1.3780414E-2</v>
      </c>
      <c r="AC36">
        <f>IF(VLOOKUP(all_lmics18[[Setting]:[Setting]],all_cause_mort[],17,FALSE)="",VLOOKUP(all_lmics18[[who_choice_region]:[who_choice_region]],missing[],21,FALSE),VLOOKUP(all_lmics18[[Setting]:[Setting]],all_cause_mort[],17,FALSE))</f>
        <v>1.9522999999999999E-2</v>
      </c>
      <c r="AD36">
        <f>IF(VLOOKUP(all_lmics18[[Setting]:[Setting]],all_cause_mort[],18,FALSE)="",VLOOKUP(all_lmics18[[who_choice_region]:[who_choice_region]],missing[],22,FALSE),VLOOKUP(all_lmics18[[Setting]:[Setting]],all_cause_mort[],18,FALSE))</f>
        <v>2.7496525000000001E-2</v>
      </c>
      <c r="AE36">
        <f>IF(VLOOKUP(all_lmics18[[Setting]:[Setting]],all_cause_mort[],19,FALSE)="",VLOOKUP(all_lmics18[[who_choice_region]:[who_choice_region]],missing[],23,FALSE),VLOOKUP(all_lmics18[[Setting]:[Setting]],all_cause_mort[],19,FALSE))</f>
        <v>4.0930187E-2</v>
      </c>
      <c r="AF36">
        <f>IF(VLOOKUP(all_lmics18[[Setting]:[Setting]],all_cause_mort[],20,FALSE)="",VLOOKUP(all_lmics18[[who_choice_region]:[who_choice_region]],missing[],24,FALSE),VLOOKUP(all_lmics18[[Setting]:[Setting]],all_cause_mort[],20,FALSE))</f>
        <v>6.5207473000000002E-2</v>
      </c>
      <c r="AG36">
        <f>IF(VLOOKUP(all_lmics18[[Setting]:[Setting]],all_cause_mort[],21,FALSE)="",VLOOKUP(all_lmics18[[who_choice_region]:[who_choice_region]],missing[],25,FALSE),VLOOKUP(all_lmics18[[Setting]:[Setting]],all_cause_mort[],21,FALSE))</f>
        <v>0.10302943000000001</v>
      </c>
      <c r="AH36">
        <f>IF(VLOOKUP(all_lmics18[[Setting]:[Setting]],all_cause_mort[],22,FALSE)="",VLOOKUP(all_lmics18[[who_choice_region]:[who_choice_region]],missing[],26,FALSE),VLOOKUP(all_lmics18[[Setting]:[Setting]],all_cause_mort[],22,FALSE))</f>
        <v>0.15319373</v>
      </c>
      <c r="AI36">
        <f>IF(VLOOKUP(all_lmics18[[Setting]:[Setting]],all_cause_mort[],23,FALSE)="",VLOOKUP(all_lmics18[[who_choice_region]:[who_choice_region]],missing[],27,FALSE),VLOOKUP(all_lmics18[[Setting]:[Setting]],all_cause_mort[],23,FALSE))</f>
        <v>0.20799517000000001</v>
      </c>
      <c r="AJ36">
        <f>IF(VLOOKUP(all_lmics18[[Setting]:[Setting]],all_cause_mort[],24,FALSE)="",VLOOKUP(all_lmics18[[who_choice_region]:[who_choice_region]],missing[],28,FALSE),VLOOKUP(all_lmics18[[Setting]:[Setting]],all_cause_mort[],24,FALSE))</f>
        <v>0.28025011999999999</v>
      </c>
      <c r="AK36">
        <f>IF(VLOOKUP(all_lmics18[[Setting]:[Setting]],all_cause_mort[],25,FALSE)="",VLOOKUP(all_lmics18[[who_choice_region]:[who_choice_region]],missing[],29,FALSE),VLOOKUP(all_lmics18[[Setting]:[Setting]],all_cause_mort[],25,FALSE))</f>
        <v>0.36926090546540502</v>
      </c>
      <c r="AL36">
        <f>VLOOKUP(all_lmics18[[worldbank_region]:[worldbank_region]],Table13[],2,FALSE)</f>
        <v>73.064384999999987</v>
      </c>
      <c r="AM36">
        <f>VLOOKUP(all_lmics18[[worldbank_region]:[worldbank_region]],Table13[],3,FALSE)</f>
        <v>73.064384999999987</v>
      </c>
      <c r="AN36">
        <f>VLOOKUP(all_lmics18[[worldbank_region]:[worldbank_region]],Table13[],4,FALSE)</f>
        <v>120.79324499999998</v>
      </c>
      <c r="AO36">
        <f>VLOOKUP(all_lmics18[[worldbank_region]:[worldbank_region]],Table13[],5,FALSE)</f>
        <v>120.79324499999998</v>
      </c>
      <c r="AP36">
        <f>VLOOKUP(all_lmics18[[worldbank_region]:[worldbank_region]],Table13[],6,FALSE)</f>
        <v>120.79324499999998</v>
      </c>
      <c r="AQ36">
        <f>VLOOKUP(all_lmics18[[worldbank_region]:[worldbank_region]],Table14[],2,FALSE)</f>
        <v>1.34029</v>
      </c>
      <c r="AR36">
        <f>VLOOKUP(all_lmics18[[worldbank_region]:[worldbank_region]],Table14[],3,FALSE)</f>
        <v>1.9577900000000001</v>
      </c>
      <c r="AS36">
        <f>VLOOKUP(all_lmics18[[worldbank_region]:[worldbank_region]],Table14[],4,FALSE)</f>
        <v>1.9723159999999997</v>
      </c>
      <c r="AT36">
        <f>VLOOKUP(all_lmics18[[worldbank_region]:[worldbank_region]],Table14[],5,FALSE)</f>
        <v>2.5898159999999999</v>
      </c>
      <c r="AU36">
        <f>VLOOKUP(all_lmics18[[worldbank_region]:[worldbank_region]],Table14[],6,FALSE)</f>
        <v>3.1600679999999999</v>
      </c>
      <c r="AV36">
        <f>IFERROR(VLOOKUP(all_lmics18[[Setting]:[Setting]],nFacSBA[],4,FALSE),VLOOKUP(all_lmics18[[who_choice_region]:[who_choice_region]],missing[],30,FALSE))</f>
        <v>0.15985670213371023</v>
      </c>
      <c r="AW36">
        <f>VLOOKUP(all_lmics18[[worldbank_region]:[worldbank_region]],hbe[],2)</f>
        <v>0.3</v>
      </c>
      <c r="AX36">
        <f>VLOOKUP(all_lmics18[[worldbank_region]:[worldbank_region]],hbe[],5)</f>
        <v>0.875</v>
      </c>
      <c r="AY36">
        <f>VLOOKUP(all_lmics18[[worldbank_region]:[worldbank_region]],hbe[],8)</f>
        <v>0.15</v>
      </c>
    </row>
    <row r="37" spans="1:51" x14ac:dyDescent="0.35">
      <c r="A37" s="8" t="s">
        <v>121</v>
      </c>
      <c r="B37" s="10" t="s">
        <v>33</v>
      </c>
      <c r="C37" s="11" t="s">
        <v>7</v>
      </c>
      <c r="D37">
        <f>VLOOKUP(all_lmics18[[Setting]:[Setting]],populations[],9,FALSE)</f>
        <v>4136528</v>
      </c>
      <c r="E37">
        <f>VLOOKUP(all_lmics18[[Setting]:[Setting]],birthrate[],3,FALSE)</f>
        <v>1.6416E-2</v>
      </c>
      <c r="F37">
        <f>all_lmics18[[#This Row],[2017_population]]*all_lmics18[[#This Row],[2016_birthrate]]</f>
        <v>67905.243648000003</v>
      </c>
      <c r="G37">
        <f>VLOOKUP(all_lmics18[[Setting]:[Setting]],birthdose[],4,FALSE)</f>
        <v>0.99</v>
      </c>
      <c r="H37">
        <f>VLOOKUP(all_lmics18[[Setting]:[Setting]],fullvax[],4,FALSE)</f>
        <v>0.99</v>
      </c>
      <c r="I37">
        <f>IFERROR(VLOOKUP(all_lmics18[[Setting]:[Setting]],prev[],3,FALSE),VLOOKUP(all_lmics18[[who_choice_region]:[who_choice_region]],missing[],2,FALSE))</f>
        <v>1.7999999999999999E-2</v>
      </c>
      <c r="J37">
        <f>IFERROR(VLOOKUP(all_lmics18[[Setting]:[Setting]],prev[],4,FALSE),VLOOKUP(all_lmics18[[who_choice_region]:[who_choice_region]],missing[],3,FALSE))</f>
        <v>1.0999999999999999E-2</v>
      </c>
      <c r="K37">
        <f>IFERROR(VLOOKUP(all_lmics18[[Setting]:[Setting]],prev[],5,FALSE),VLOOKUP(all_lmics18[[who_choice_region]:[who_choice_region]],missing[],4,FALSE))</f>
        <v>2.4E-2</v>
      </c>
      <c r="L37">
        <f>IFERROR(VLOOKUP(all_lmics18[[Setting]:[Setting]],prev[],7,FALSE),VLOOKUP(all_lmics18[[who_choice_region]:[who_choice_region]],missing[],5,FALSE))</f>
        <v>3.0612244897959195E-3</v>
      </c>
      <c r="M37">
        <f>IFERROR(VLOOKUP(all_lmics18[[Setting]:[Setting]],prev[],6,FALSE),0)</f>
        <v>4136528</v>
      </c>
      <c r="N37">
        <f>IFERROR(VLOOKUP(all_lmics18[[Setting]:[Setting]],SBA[],4,FALSE),VLOOKUP(all_lmics18[[who_choice_region]:[who_choice_region]],missing[],6,FALSE))</f>
        <v>0.99900000000000011</v>
      </c>
      <c r="O37">
        <f>IFERROR(VLOOKUP(all_lmics18[[Setting]:[Setting]], facility[], 3,FALSE),VLOOKUP(all_lmics18[[who_choice_region]:[who_choice_region]],missing[],7,FALSE))</f>
        <v>0.98699999999999999</v>
      </c>
      <c r="P37">
        <f>IF(VLOOKUP(all_lmics18[[Setting]:[Setting]],all_cause_mort[],4,FALSE)="",VLOOKUP(all_lmics18[[who_choice_region]:[who_choice_region]],missing[],8,FALSE),VLOOKUP(all_lmics18[[Setting]:[Setting]],all_cause_mort[],4,FALSE))</f>
        <v>7.1672714000000004E-3</v>
      </c>
      <c r="Q37">
        <f>IF(VLOOKUP(all_lmics18[[Setting]:[Setting]],all_cause_mort[],5,FALSE)="",VLOOKUP(all_lmics18[[who_choice_region]:[who_choice_region]],missing[],9,FALSE),VLOOKUP(all_lmics18[[Setting]:[Setting]],all_cause_mort[],5,FALSE))</f>
        <v>2.9626590000000002E-4</v>
      </c>
      <c r="R37">
        <f>IF(VLOOKUP(all_lmics18[[Setting]:[Setting]],all_cause_mort[],6,FALSE)="",VLOOKUP(all_lmics18[[who_choice_region]:[who_choice_region]],missing[],10,FALSE),VLOOKUP(all_lmics18[[Setting]:[Setting]],all_cause_mort[],6,FALSE))</f>
        <v>1.7207493E-4</v>
      </c>
      <c r="S37">
        <f>IF(VLOOKUP(all_lmics18[[Setting]:[Setting]],all_cause_mort[],7,FALSE)="",VLOOKUP(all_lmics18[[who_choice_region]:[who_choice_region]],missing[],11,FALSE),VLOOKUP(all_lmics18[[Setting]:[Setting]],all_cause_mort[],7,FALSE))</f>
        <v>2.1437556000000001E-4</v>
      </c>
      <c r="T37">
        <f>IF(VLOOKUP(all_lmics18[[Setting]:[Setting]],all_cause_mort[],8,FALSE)="",VLOOKUP(all_lmics18[[who_choice_region]:[who_choice_region]],missing[],12,FALSE),VLOOKUP(all_lmics18[[Setting]:[Setting]],all_cause_mort[],8,FALSE))</f>
        <v>5.1450683999999997E-4</v>
      </c>
      <c r="U37">
        <f>IF(VLOOKUP(all_lmics18[[Setting]:[Setting]],all_cause_mort[],9,FALSE)="",VLOOKUP(all_lmics18[[who_choice_region]:[who_choice_region]],missing[],13,FALSE),VLOOKUP(all_lmics18[[Setting]:[Setting]],all_cause_mort[],9,FALSE))</f>
        <v>6.0125076E-4</v>
      </c>
      <c r="V37">
        <f>IF(VLOOKUP(all_lmics18[[Setting]:[Setting]],all_cause_mort[],10,FALSE)="",VLOOKUP(all_lmics18[[who_choice_region]:[who_choice_region]],missing[],14,FALSE),VLOOKUP(all_lmics18[[Setting]:[Setting]],all_cause_mort[],10,FALSE))</f>
        <v>5.4257847999999997E-4</v>
      </c>
      <c r="W37">
        <f>IF(VLOOKUP(all_lmics18[[Setting]:[Setting]],all_cause_mort[],11,FALSE)="",VLOOKUP(all_lmics18[[who_choice_region]:[who_choice_region]],missing[],15,FALSE),VLOOKUP(all_lmics18[[Setting]:[Setting]],all_cause_mort[],11,FALSE))</f>
        <v>4.7426097999999999E-4</v>
      </c>
      <c r="X37">
        <f>IF(VLOOKUP(all_lmics18[[Setting]:[Setting]],all_cause_mort[],12,FALSE)="",VLOOKUP(all_lmics18[[who_choice_region]:[who_choice_region]],missing[],16,FALSE),VLOOKUP(all_lmics18[[Setting]:[Setting]],all_cause_mort[],12,FALSE))</f>
        <v>6.6664744999999997E-4</v>
      </c>
      <c r="Y37">
        <f>IF(VLOOKUP(all_lmics18[[Setting]:[Setting]],all_cause_mort[],13,FALSE)="",VLOOKUP(all_lmics18[[who_choice_region]:[who_choice_region]],missing[],17,FALSE),VLOOKUP(all_lmics18[[Setting]:[Setting]],all_cause_mort[],13,FALSE))</f>
        <v>9.3556881000000003E-4</v>
      </c>
      <c r="Z37">
        <f>IF(VLOOKUP(all_lmics18[[Setting]:[Setting]],all_cause_mort[],14,FALSE)="",VLOOKUP(all_lmics18[[who_choice_region]:[who_choice_region]],missing[],18,FALSE),VLOOKUP(all_lmics18[[Setting]:[Setting]],all_cause_mort[],14,FALSE))</f>
        <v>1.5268238999999999E-3</v>
      </c>
      <c r="AA37">
        <f>IF(VLOOKUP(all_lmics18[[Setting]:[Setting]],all_cause_mort[],15,FALSE)="",VLOOKUP(all_lmics18[[who_choice_region]:[who_choice_region]],missing[],19,FALSE),VLOOKUP(all_lmics18[[Setting]:[Setting]],all_cause_mort[],15,FALSE))</f>
        <v>2.6764398999999999E-3</v>
      </c>
      <c r="AB37">
        <f>IF(VLOOKUP(all_lmics18[[Setting]:[Setting]],all_cause_mort[],16,FALSE)="",VLOOKUP(all_lmics18[[who_choice_region]:[who_choice_region]],missing[],20,FALSE),VLOOKUP(all_lmics18[[Setting]:[Setting]],all_cause_mort[],16,FALSE))</f>
        <v>4.2780980999999997E-3</v>
      </c>
      <c r="AC37">
        <f>IF(VLOOKUP(all_lmics18[[Setting]:[Setting]],all_cause_mort[],17,FALSE)="",VLOOKUP(all_lmics18[[who_choice_region]:[who_choice_region]],missing[],21,FALSE),VLOOKUP(all_lmics18[[Setting]:[Setting]],all_cause_mort[],17,FALSE))</f>
        <v>1.1424971000000001E-2</v>
      </c>
      <c r="AD37">
        <f>IF(VLOOKUP(all_lmics18[[Setting]:[Setting]],all_cause_mort[],18,FALSE)="",VLOOKUP(all_lmics18[[who_choice_region]:[who_choice_region]],missing[],22,FALSE),VLOOKUP(all_lmics18[[Setting]:[Setting]],all_cause_mort[],18,FALSE))</f>
        <v>2.5152573000000001E-2</v>
      </c>
      <c r="AE37">
        <f>IF(VLOOKUP(all_lmics18[[Setting]:[Setting]],all_cause_mort[],19,FALSE)="",VLOOKUP(all_lmics18[[who_choice_region]:[who_choice_region]],missing[],23,FALSE),VLOOKUP(all_lmics18[[Setting]:[Setting]],all_cause_mort[],19,FALSE))</f>
        <v>4.7921651000000003E-2</v>
      </c>
      <c r="AF37">
        <f>IF(VLOOKUP(all_lmics18[[Setting]:[Setting]],all_cause_mort[],20,FALSE)="",VLOOKUP(all_lmics18[[who_choice_region]:[who_choice_region]],missing[],24,FALSE),VLOOKUP(all_lmics18[[Setting]:[Setting]],all_cause_mort[],20,FALSE))</f>
        <v>8.8931547E-2</v>
      </c>
      <c r="AG37">
        <f>IF(VLOOKUP(all_lmics18[[Setting]:[Setting]],all_cause_mort[],21,FALSE)="",VLOOKUP(all_lmics18[[who_choice_region]:[who_choice_region]],missing[],25,FALSE),VLOOKUP(all_lmics18[[Setting]:[Setting]],all_cause_mort[],21,FALSE))</f>
        <v>0.15683580999999999</v>
      </c>
      <c r="AH37">
        <f>IF(VLOOKUP(all_lmics18[[Setting]:[Setting]],all_cause_mort[],22,FALSE)="",VLOOKUP(all_lmics18[[who_choice_region]:[who_choice_region]],missing[],26,FALSE),VLOOKUP(all_lmics18[[Setting]:[Setting]],all_cause_mort[],22,FALSE))</f>
        <v>0.25903672</v>
      </c>
      <c r="AI37">
        <f>IF(VLOOKUP(all_lmics18[[Setting]:[Setting]],all_cause_mort[],23,FALSE)="",VLOOKUP(all_lmics18[[who_choice_region]:[who_choice_region]],missing[],27,FALSE),VLOOKUP(all_lmics18[[Setting]:[Setting]],all_cause_mort[],23,FALSE))</f>
        <v>0.40478019999999998</v>
      </c>
      <c r="AJ37">
        <f>IF(VLOOKUP(all_lmics18[[Setting]:[Setting]],all_cause_mort[],24,FALSE)="",VLOOKUP(all_lmics18[[who_choice_region]:[who_choice_region]],missing[],28,FALSE),VLOOKUP(all_lmics18[[Setting]:[Setting]],all_cause_mort[],24,FALSE))</f>
        <v>0.56653547000000004</v>
      </c>
      <c r="AK37">
        <f>IF(VLOOKUP(all_lmics18[[Setting]:[Setting]],all_cause_mort[],25,FALSE)="",VLOOKUP(all_lmics18[[who_choice_region]:[who_choice_region]],missing[],29,FALSE),VLOOKUP(all_lmics18[[Setting]:[Setting]],all_cause_mort[],25,FALSE))</f>
        <v>0.68935813037251303</v>
      </c>
      <c r="AL37">
        <f>VLOOKUP(all_lmics18[[worldbank_region]:[worldbank_region]],Table13[],2,FALSE)</f>
        <v>57.906657999999993</v>
      </c>
      <c r="AM37">
        <f>VLOOKUP(all_lmics18[[worldbank_region]:[worldbank_region]],Table13[],3,FALSE)</f>
        <v>57.906657999999993</v>
      </c>
      <c r="AN37">
        <f>VLOOKUP(all_lmics18[[worldbank_region]:[worldbank_region]],Table13[],4,FALSE)</f>
        <v>105.63551799999999</v>
      </c>
      <c r="AO37">
        <f>VLOOKUP(all_lmics18[[worldbank_region]:[worldbank_region]],Table13[],5,FALSE)</f>
        <v>105.63551799999999</v>
      </c>
      <c r="AP37">
        <f>VLOOKUP(all_lmics18[[worldbank_region]:[worldbank_region]],Table13[],6,FALSE)</f>
        <v>105.63551799999999</v>
      </c>
      <c r="AQ37">
        <f>VLOOKUP(all_lmics18[[worldbank_region]:[worldbank_region]],Table14[],2,FALSE)</f>
        <v>1.5037449999999999</v>
      </c>
      <c r="AR37">
        <f>VLOOKUP(all_lmics18[[worldbank_region]:[worldbank_region]],Table14[],3,FALSE)</f>
        <v>2.121245</v>
      </c>
      <c r="AS37">
        <f>VLOOKUP(all_lmics18[[worldbank_region]:[worldbank_region]],Table14[],4,FALSE)</f>
        <v>1.9832129999999999</v>
      </c>
      <c r="AT37">
        <f>VLOOKUP(all_lmics18[[worldbank_region]:[worldbank_region]],Table14[],5,FALSE)</f>
        <v>2.6007129999999998</v>
      </c>
      <c r="AU37">
        <f>VLOOKUP(all_lmics18[[worldbank_region]:[worldbank_region]],Table14[],6,FALSE)</f>
        <v>3.1709649999999998</v>
      </c>
      <c r="AV37">
        <f>IFERROR(VLOOKUP(all_lmics18[[Setting]:[Setting]],nFacSBA[],4,FALSE),VLOOKUP(all_lmics18[[who_choice_region]:[who_choice_region]],missing[],30,FALSE))</f>
        <v>0.38783437593130843</v>
      </c>
      <c r="AW37">
        <f>VLOOKUP(all_lmics18[[worldbank_region]:[worldbank_region]],hbe[],2)</f>
        <v>0.3</v>
      </c>
      <c r="AX37">
        <f>VLOOKUP(all_lmics18[[worldbank_region]:[worldbank_region]],hbe[],5)</f>
        <v>0.875</v>
      </c>
      <c r="AY37">
        <f>VLOOKUP(all_lmics18[[worldbank_region]:[worldbank_region]],hbe[],8)</f>
        <v>0.15</v>
      </c>
    </row>
    <row r="38" spans="1:51" x14ac:dyDescent="0.35">
      <c r="A38" s="12" t="s">
        <v>122</v>
      </c>
      <c r="B38" s="13" t="s">
        <v>10</v>
      </c>
      <c r="C38" s="14" t="s">
        <v>11</v>
      </c>
      <c r="D38">
        <f>VLOOKUP(all_lmics18[[Setting]:[Setting]],populations[],9,FALSE)</f>
        <v>6201500</v>
      </c>
      <c r="E38">
        <f>VLOOKUP(all_lmics18[[Setting]:[Setting]],birthrate[],3,FALSE)</f>
        <v>2.5999999999999999E-2</v>
      </c>
      <c r="F38">
        <f>all_lmics18[[#This Row],[2017_population]]*all_lmics18[[#This Row],[2016_birthrate]]</f>
        <v>161239</v>
      </c>
      <c r="G38">
        <f>VLOOKUP(all_lmics18[[Setting]:[Setting]],birthdose[],4,FALSE)</f>
        <v>0.97</v>
      </c>
      <c r="H38">
        <f>VLOOKUP(all_lmics18[[Setting]:[Setting]],fullvax[],4,FALSE)</f>
        <v>0.92</v>
      </c>
      <c r="I38">
        <f>IFERROR(VLOOKUP(all_lmics18[[Setting]:[Setting]],prev[],3,FALSE),VLOOKUP(all_lmics18[[who_choice_region]:[who_choice_region]],missing[],2,FALSE))</f>
        <v>0.1032</v>
      </c>
      <c r="J38">
        <f>IFERROR(VLOOKUP(all_lmics18[[Setting]:[Setting]],prev[],4,FALSE),VLOOKUP(all_lmics18[[who_choice_region]:[who_choice_region]],missing[],3,FALSE))</f>
        <v>8.5599999999999996E-2</v>
      </c>
      <c r="K38">
        <f>IFERROR(VLOOKUP(all_lmics18[[Setting]:[Setting]],prev[],5,FALSE),VLOOKUP(all_lmics18[[who_choice_region]:[who_choice_region]],missing[],4,FALSE))</f>
        <v>0.12379999999999999</v>
      </c>
      <c r="L38">
        <f>IFERROR(VLOOKUP(all_lmics18[[Setting]:[Setting]],prev[],7,FALSE),VLOOKUP(all_lmics18[[who_choice_region]:[who_choice_region]],missing[],5,FALSE))</f>
        <v>1.0510204081632649E-2</v>
      </c>
      <c r="M38">
        <f>IFERROR(VLOOKUP(all_lmics18[[Setting]:[Setting]],prev[],6,FALSE),0)</f>
        <v>5447900</v>
      </c>
      <c r="N38">
        <f>IFERROR(VLOOKUP(all_lmics18[[Setting]:[Setting]],SBA[],4,FALSE),VLOOKUP(all_lmics18[[who_choice_region]:[who_choice_region]],missing[],6,FALSE))</f>
        <v>0.9840000000000001</v>
      </c>
      <c r="O38">
        <f>IFERROR(VLOOKUP(all_lmics18[[Setting]:[Setting]], facility[], 3,FALSE),VLOOKUP(all_lmics18[[who_choice_region]:[who_choice_region]],missing[],7,FALSE))</f>
        <v>0.98299999999999998</v>
      </c>
      <c r="P38">
        <f>IF(VLOOKUP(all_lmics18[[Setting]:[Setting]],all_cause_mort[],4,FALSE)="",VLOOKUP(all_lmics18[[who_choice_region]:[who_choice_region]],missing[],8,FALSE),VLOOKUP(all_lmics18[[Setting]:[Setting]],all_cause_mort[],4,FALSE))</f>
        <v>1.5727785000000001E-2</v>
      </c>
      <c r="Q38">
        <f>IF(VLOOKUP(all_lmics18[[Setting]:[Setting]],all_cause_mort[],5,FALSE)="",VLOOKUP(all_lmics18[[who_choice_region]:[who_choice_region]],missing[],9,FALSE),VLOOKUP(all_lmics18[[Setting]:[Setting]],all_cause_mort[],5,FALSE))</f>
        <v>7.1811705999999997E-4</v>
      </c>
      <c r="R38">
        <f>IF(VLOOKUP(all_lmics18[[Setting]:[Setting]],all_cause_mort[],6,FALSE)="",VLOOKUP(all_lmics18[[who_choice_region]:[who_choice_region]],missing[],10,FALSE),VLOOKUP(all_lmics18[[Setting]:[Setting]],all_cause_mort[],6,FALSE))</f>
        <v>3.0060545E-4</v>
      </c>
      <c r="S38">
        <f>IF(VLOOKUP(all_lmics18[[Setting]:[Setting]],all_cause_mort[],7,FALSE)="",VLOOKUP(all_lmics18[[who_choice_region]:[who_choice_region]],missing[],11,FALSE),VLOOKUP(all_lmics18[[Setting]:[Setting]],all_cause_mort[],7,FALSE))</f>
        <v>3.6132355000000001E-4</v>
      </c>
      <c r="T38">
        <f>IF(VLOOKUP(all_lmics18[[Setting]:[Setting]],all_cause_mort[],8,FALSE)="",VLOOKUP(all_lmics18[[who_choice_region]:[who_choice_region]],missing[],12,FALSE),VLOOKUP(all_lmics18[[Setting]:[Setting]],all_cause_mort[],8,FALSE))</f>
        <v>5.6747291999999997E-4</v>
      </c>
      <c r="U38">
        <f>IF(VLOOKUP(all_lmics18[[Setting]:[Setting]],all_cause_mort[],9,FALSE)="",VLOOKUP(all_lmics18[[who_choice_region]:[who_choice_region]],missing[],13,FALSE),VLOOKUP(all_lmics18[[Setting]:[Setting]],all_cause_mort[],9,FALSE))</f>
        <v>7.7501877E-4</v>
      </c>
      <c r="V38">
        <f>IF(VLOOKUP(all_lmics18[[Setting]:[Setting]],all_cause_mort[],10,FALSE)="",VLOOKUP(all_lmics18[[who_choice_region]:[who_choice_region]],missing[],14,FALSE),VLOOKUP(all_lmics18[[Setting]:[Setting]],all_cause_mort[],10,FALSE))</f>
        <v>9.959079200000001E-4</v>
      </c>
      <c r="W38">
        <f>IF(VLOOKUP(all_lmics18[[Setting]:[Setting]],all_cause_mort[],11,FALSE)="",VLOOKUP(all_lmics18[[who_choice_region]:[who_choice_region]],missing[],15,FALSE),VLOOKUP(all_lmics18[[Setting]:[Setting]],all_cause_mort[],11,FALSE))</f>
        <v>1.6006384000000001E-3</v>
      </c>
      <c r="X38">
        <f>IF(VLOOKUP(all_lmics18[[Setting]:[Setting]],all_cause_mort[],12,FALSE)="",VLOOKUP(all_lmics18[[who_choice_region]:[who_choice_region]],missing[],16,FALSE),VLOOKUP(all_lmics18[[Setting]:[Setting]],all_cause_mort[],12,FALSE))</f>
        <v>2.3872924999999998E-3</v>
      </c>
      <c r="Y38">
        <f>IF(VLOOKUP(all_lmics18[[Setting]:[Setting]],all_cause_mort[],13,FALSE)="",VLOOKUP(all_lmics18[[who_choice_region]:[who_choice_region]],missing[],17,FALSE),VLOOKUP(all_lmics18[[Setting]:[Setting]],all_cause_mort[],13,FALSE))</f>
        <v>3.6333010999999998E-3</v>
      </c>
      <c r="Z38">
        <f>IF(VLOOKUP(all_lmics18[[Setting]:[Setting]],all_cause_mort[],14,FALSE)="",VLOOKUP(all_lmics18[[who_choice_region]:[who_choice_region]],missing[],18,FALSE),VLOOKUP(all_lmics18[[Setting]:[Setting]],all_cause_mort[],14,FALSE))</f>
        <v>5.0741264000000001E-3</v>
      </c>
      <c r="AA38">
        <f>IF(VLOOKUP(all_lmics18[[Setting]:[Setting]],all_cause_mort[],15,FALSE)="",VLOOKUP(all_lmics18[[who_choice_region]:[who_choice_region]],missing[],19,FALSE),VLOOKUP(all_lmics18[[Setting]:[Setting]],all_cause_mort[],15,FALSE))</f>
        <v>7.3526902000000003E-3</v>
      </c>
      <c r="AB38">
        <f>IF(VLOOKUP(all_lmics18[[Setting]:[Setting]],all_cause_mort[],16,FALSE)="",VLOOKUP(all_lmics18[[who_choice_region]:[who_choice_region]],missing[],20,FALSE),VLOOKUP(all_lmics18[[Setting]:[Setting]],all_cause_mort[],16,FALSE))</f>
        <v>1.0857634999999999E-2</v>
      </c>
      <c r="AC38">
        <f>IF(VLOOKUP(all_lmics18[[Setting]:[Setting]],all_cause_mort[],17,FALSE)="",VLOOKUP(all_lmics18[[who_choice_region]:[who_choice_region]],missing[],21,FALSE),VLOOKUP(all_lmics18[[Setting]:[Setting]],all_cause_mort[],17,FALSE))</f>
        <v>1.7382872000000001E-2</v>
      </c>
      <c r="AD38">
        <f>IF(VLOOKUP(all_lmics18[[Setting]:[Setting]],all_cause_mort[],18,FALSE)="",VLOOKUP(all_lmics18[[who_choice_region]:[who_choice_region]],missing[],22,FALSE),VLOOKUP(all_lmics18[[Setting]:[Setting]],all_cause_mort[],18,FALSE))</f>
        <v>2.5685850999999999E-2</v>
      </c>
      <c r="AE38">
        <f>IF(VLOOKUP(all_lmics18[[Setting]:[Setting]],all_cause_mort[],19,FALSE)="",VLOOKUP(all_lmics18[[who_choice_region]:[who_choice_region]],missing[],23,FALSE),VLOOKUP(all_lmics18[[Setting]:[Setting]],all_cause_mort[],19,FALSE))</f>
        <v>5.4997487999999997E-2</v>
      </c>
      <c r="AF38">
        <f>IF(VLOOKUP(all_lmics18[[Setting]:[Setting]],all_cause_mort[],20,FALSE)="",VLOOKUP(all_lmics18[[who_choice_region]:[who_choice_region]],missing[],24,FALSE),VLOOKUP(all_lmics18[[Setting]:[Setting]],all_cause_mort[],20,FALSE))</f>
        <v>0.10414904</v>
      </c>
      <c r="AG38">
        <f>IF(VLOOKUP(all_lmics18[[Setting]:[Setting]],all_cause_mort[],21,FALSE)="",VLOOKUP(all_lmics18[[who_choice_region]:[who_choice_region]],missing[],25,FALSE),VLOOKUP(all_lmics18[[Setting]:[Setting]],all_cause_mort[],21,FALSE))</f>
        <v>0.14897086000000001</v>
      </c>
      <c r="AH38">
        <f>IF(VLOOKUP(all_lmics18[[Setting]:[Setting]],all_cause_mort[],22,FALSE)="",VLOOKUP(all_lmics18[[who_choice_region]:[who_choice_region]],missing[],26,FALSE),VLOOKUP(all_lmics18[[Setting]:[Setting]],all_cause_mort[],22,FALSE))</f>
        <v>0.19453814999999999</v>
      </c>
      <c r="AI38">
        <f>IF(VLOOKUP(all_lmics18[[Setting]:[Setting]],all_cause_mort[],23,FALSE)="",VLOOKUP(all_lmics18[[who_choice_region]:[who_choice_region]],missing[],27,FALSE),VLOOKUP(all_lmics18[[Setting]:[Setting]],all_cause_mort[],23,FALSE))</f>
        <v>0.23881168</v>
      </c>
      <c r="AJ38">
        <f>IF(VLOOKUP(all_lmics18[[Setting]:[Setting]],all_cause_mort[],24,FALSE)="",VLOOKUP(all_lmics18[[who_choice_region]:[who_choice_region]],missing[],28,FALSE),VLOOKUP(all_lmics18[[Setting]:[Setting]],all_cause_mort[],24,FALSE))</f>
        <v>0.29880145000000002</v>
      </c>
      <c r="AK38">
        <f>IF(VLOOKUP(all_lmics18[[Setting]:[Setting]],all_cause_mort[],25,FALSE)="",VLOOKUP(all_lmics18[[who_choice_region]:[who_choice_region]],missing[],29,FALSE),VLOOKUP(all_lmics18[[Setting]:[Setting]],all_cause_mort[],25,FALSE))</f>
        <v>0.43965534713889198</v>
      </c>
      <c r="AL38">
        <f>VLOOKUP(all_lmics18[[worldbank_region]:[worldbank_region]],Table13[],2,FALSE)</f>
        <v>44.525141999999995</v>
      </c>
      <c r="AM38">
        <f>VLOOKUP(all_lmics18[[worldbank_region]:[worldbank_region]],Table13[],3,FALSE)</f>
        <v>44.525141999999995</v>
      </c>
      <c r="AN38">
        <f>VLOOKUP(all_lmics18[[worldbank_region]:[worldbank_region]],Table13[],4,FALSE)</f>
        <v>92.254001999999986</v>
      </c>
      <c r="AO38">
        <f>VLOOKUP(all_lmics18[[worldbank_region]:[worldbank_region]],Table13[],5,FALSE)</f>
        <v>92.254001999999986</v>
      </c>
      <c r="AP38">
        <f>VLOOKUP(all_lmics18[[worldbank_region]:[worldbank_region]],Table13[],6,FALSE)</f>
        <v>92.254001999999986</v>
      </c>
      <c r="AQ38">
        <f>VLOOKUP(all_lmics18[[worldbank_region]:[worldbank_region]],Table14[],2,FALSE)</f>
        <v>6.4182919999999992</v>
      </c>
      <c r="AR38">
        <f>VLOOKUP(all_lmics18[[worldbank_region]:[worldbank_region]],Table14[],3,FALSE)</f>
        <v>7.0357919999999998</v>
      </c>
      <c r="AS38">
        <f>VLOOKUP(all_lmics18[[worldbank_region]:[worldbank_region]],Table14[],4,FALSE)</f>
        <v>10.482872999999998</v>
      </c>
      <c r="AT38">
        <f>VLOOKUP(all_lmics18[[worldbank_region]:[worldbank_region]],Table14[],5,FALSE)</f>
        <v>11.100372999999999</v>
      </c>
      <c r="AU38">
        <f>VLOOKUP(all_lmics18[[worldbank_region]:[worldbank_region]],Table14[],6,FALSE)</f>
        <v>11.670624999999999</v>
      </c>
      <c r="AV38">
        <f>IFERROR(VLOOKUP(all_lmics18[[Setting]:[Setting]],nFacSBA[],4,FALSE),VLOOKUP(all_lmics18[[who_choice_region]:[who_choice_region]],missing[],30,FALSE))</f>
        <v>0.53357812104952496</v>
      </c>
      <c r="AW38">
        <f>VLOOKUP(all_lmics18[[worldbank_region]:[worldbank_region]],hbe[],2)</f>
        <v>0.3</v>
      </c>
      <c r="AX38">
        <f>VLOOKUP(all_lmics18[[worldbank_region]:[worldbank_region]],hbe[],5)</f>
        <v>0.875</v>
      </c>
      <c r="AY38">
        <f>VLOOKUP(all_lmics18[[worldbank_region]:[worldbank_region]],hbe[],8)</f>
        <v>0.15</v>
      </c>
    </row>
    <row r="39" spans="1:51" x14ac:dyDescent="0.35">
      <c r="A39" s="8" t="s">
        <v>123</v>
      </c>
      <c r="B39" s="10" t="s">
        <v>57</v>
      </c>
      <c r="C39" s="11" t="s">
        <v>58</v>
      </c>
      <c r="D39">
        <f>VLOOKUP(all_lmics18[[Setting]:[Setting]],populations[],9,FALSE)</f>
        <v>6858160</v>
      </c>
      <c r="E39">
        <f>VLOOKUP(all_lmics18[[Setting]:[Setting]],birthrate[],3,FALSE)</f>
        <v>2.3850000000000003E-2</v>
      </c>
      <c r="F39">
        <f>all_lmics18[[#This Row],[2017_population]]*all_lmics18[[#This Row],[2016_birthrate]]</f>
        <v>163567.11600000001</v>
      </c>
      <c r="G39">
        <f>VLOOKUP(all_lmics18[[Setting]:[Setting]],birthdose[],4,FALSE)</f>
        <v>0.55000000000000004</v>
      </c>
      <c r="H39">
        <f>VLOOKUP(all_lmics18[[Setting]:[Setting]],fullvax[],4,FALSE)</f>
        <v>0.85</v>
      </c>
      <c r="I39">
        <f>IFERROR(VLOOKUP(all_lmics18[[Setting]:[Setting]],prev[],3,FALSE),VLOOKUP(all_lmics18[[who_choice_region]:[who_choice_region]],missing[],2,FALSE))</f>
        <v>3.6999999999999998E-2</v>
      </c>
      <c r="J39">
        <f>IFERROR(VLOOKUP(all_lmics18[[Setting]:[Setting]],prev[],4,FALSE),VLOOKUP(all_lmics18[[who_choice_region]:[who_choice_region]],missing[],3,FALSE))</f>
        <v>3.3000000000000002E-2</v>
      </c>
      <c r="K39">
        <f>IFERROR(VLOOKUP(all_lmics18[[Setting]:[Setting]],prev[],5,FALSE),VLOOKUP(all_lmics18[[who_choice_region]:[who_choice_region]],missing[],4,FALSE))</f>
        <v>4.5999999999999999E-2</v>
      </c>
      <c r="L39">
        <f>IFERROR(VLOOKUP(all_lmics18[[Setting]:[Setting]],prev[],7,FALSE),VLOOKUP(all_lmics18[[who_choice_region]:[who_choice_region]],missing[],5,FALSE))</f>
        <v>4.591836734693878E-3</v>
      </c>
      <c r="M39">
        <f>IFERROR(VLOOKUP(all_lmics18[[Setting]:[Setting]],prev[],6,FALSE),0)</f>
        <v>6858160</v>
      </c>
      <c r="N39">
        <f>IFERROR(VLOOKUP(all_lmics18[[Setting]:[Setting]],SBA[],4,FALSE),VLOOKUP(all_lmics18[[who_choice_region]:[who_choice_region]],missing[],6,FALSE))</f>
        <v>0.40100000000000002</v>
      </c>
      <c r="O39">
        <f>IFERROR(VLOOKUP(all_lmics18[[Setting]:[Setting]], facility[], 3,FALSE),VLOOKUP(all_lmics18[[who_choice_region]:[who_choice_region]],missing[],7,FALSE))</f>
        <v>0.375</v>
      </c>
      <c r="P39">
        <f>IF(VLOOKUP(all_lmics18[[Setting]:[Setting]],all_cause_mort[],4,FALSE)="",VLOOKUP(all_lmics18[[who_choice_region]:[who_choice_region]],missing[],8,FALSE),VLOOKUP(all_lmics18[[Setting]:[Setting]],all_cause_mort[],4,FALSE))</f>
        <v>4.0084636999999999E-2</v>
      </c>
      <c r="Q39">
        <f>IF(VLOOKUP(all_lmics18[[Setting]:[Setting]],all_cause_mort[],5,FALSE)="",VLOOKUP(all_lmics18[[who_choice_region]:[who_choice_region]],missing[],9,FALSE),VLOOKUP(all_lmics18[[Setting]:[Setting]],all_cause_mort[],5,FALSE))</f>
        <v>2.5027103000000001E-3</v>
      </c>
      <c r="R39">
        <f>IF(VLOOKUP(all_lmics18[[Setting]:[Setting]],all_cause_mort[],6,FALSE)="",VLOOKUP(all_lmics18[[who_choice_region]:[who_choice_region]],missing[],10,FALSE),VLOOKUP(all_lmics18[[Setting]:[Setting]],all_cause_mort[],6,FALSE))</f>
        <v>9.0206374000000001E-4</v>
      </c>
      <c r="S39">
        <f>IF(VLOOKUP(all_lmics18[[Setting]:[Setting]],all_cause_mort[],7,FALSE)="",VLOOKUP(all_lmics18[[who_choice_region]:[who_choice_region]],missing[],11,FALSE),VLOOKUP(all_lmics18[[Setting]:[Setting]],all_cause_mort[],7,FALSE))</f>
        <v>7.2194062999999999E-4</v>
      </c>
      <c r="T39">
        <f>IF(VLOOKUP(all_lmics18[[Setting]:[Setting]],all_cause_mort[],8,FALSE)="",VLOOKUP(all_lmics18[[who_choice_region]:[who_choice_region]],missing[],12,FALSE),VLOOKUP(all_lmics18[[Setting]:[Setting]],all_cause_mort[],8,FALSE))</f>
        <v>1.2225072999999999E-3</v>
      </c>
      <c r="U39">
        <f>IF(VLOOKUP(all_lmics18[[Setting]:[Setting]],all_cause_mort[],9,FALSE)="",VLOOKUP(all_lmics18[[who_choice_region]:[who_choice_region]],missing[],13,FALSE),VLOOKUP(all_lmics18[[Setting]:[Setting]],all_cause_mort[],9,FALSE))</f>
        <v>1.7204778E-3</v>
      </c>
      <c r="V39">
        <f>IF(VLOOKUP(all_lmics18[[Setting]:[Setting]],all_cause_mort[],10,FALSE)="",VLOOKUP(all_lmics18[[who_choice_region]:[who_choice_region]],missing[],14,FALSE),VLOOKUP(all_lmics18[[Setting]:[Setting]],all_cause_mort[],10,FALSE))</f>
        <v>1.8670282E-3</v>
      </c>
      <c r="W39">
        <f>IF(VLOOKUP(all_lmics18[[Setting]:[Setting]],all_cause_mort[],11,FALSE)="",VLOOKUP(all_lmics18[[who_choice_region]:[who_choice_region]],missing[],15,FALSE),VLOOKUP(all_lmics18[[Setting]:[Setting]],all_cause_mort[],11,FALSE))</f>
        <v>2.1551163E-3</v>
      </c>
      <c r="X39">
        <f>IF(VLOOKUP(all_lmics18[[Setting]:[Setting]],all_cause_mort[],12,FALSE)="",VLOOKUP(all_lmics18[[who_choice_region]:[who_choice_region]],missing[],16,FALSE),VLOOKUP(all_lmics18[[Setting]:[Setting]],all_cause_mort[],12,FALSE))</f>
        <v>2.7507741000000001E-3</v>
      </c>
      <c r="Y39">
        <f>IF(VLOOKUP(all_lmics18[[Setting]:[Setting]],all_cause_mort[],13,FALSE)="",VLOOKUP(all_lmics18[[who_choice_region]:[who_choice_region]],missing[],17,FALSE),VLOOKUP(all_lmics18[[Setting]:[Setting]],all_cause_mort[],13,FALSE))</f>
        <v>3.8021356000000001E-3</v>
      </c>
      <c r="Z39">
        <f>IF(VLOOKUP(all_lmics18[[Setting]:[Setting]],all_cause_mort[],14,FALSE)="",VLOOKUP(all_lmics18[[who_choice_region]:[who_choice_region]],missing[],18,FALSE),VLOOKUP(all_lmics18[[Setting]:[Setting]],all_cause_mort[],14,FALSE))</f>
        <v>5.6399557999999997E-3</v>
      </c>
      <c r="AA39">
        <f>IF(VLOOKUP(all_lmics18[[Setting]:[Setting]],all_cause_mort[],15,FALSE)="",VLOOKUP(all_lmics18[[who_choice_region]:[who_choice_region]],missing[],19,FALSE),VLOOKUP(all_lmics18[[Setting]:[Setting]],all_cause_mort[],15,FALSE))</f>
        <v>8.5390819000000003E-3</v>
      </c>
      <c r="AB39">
        <f>IF(VLOOKUP(all_lmics18[[Setting]:[Setting]],all_cause_mort[],16,FALSE)="",VLOOKUP(all_lmics18[[who_choice_region]:[who_choice_region]],missing[],20,FALSE),VLOOKUP(all_lmics18[[Setting]:[Setting]],all_cause_mort[],16,FALSE))</f>
        <v>1.3140208E-2</v>
      </c>
      <c r="AC39">
        <f>IF(VLOOKUP(all_lmics18[[Setting]:[Setting]],all_cause_mort[],17,FALSE)="",VLOOKUP(all_lmics18[[who_choice_region]:[who_choice_region]],missing[],21,FALSE),VLOOKUP(all_lmics18[[Setting]:[Setting]],all_cause_mort[],17,FALSE))</f>
        <v>2.0478934000000001E-2</v>
      </c>
      <c r="AD39">
        <f>IF(VLOOKUP(all_lmics18[[Setting]:[Setting]],all_cause_mort[],18,FALSE)="",VLOOKUP(all_lmics18[[who_choice_region]:[who_choice_region]],missing[],22,FALSE),VLOOKUP(all_lmics18[[Setting]:[Setting]],all_cause_mort[],18,FALSE))</f>
        <v>3.2299906000000003E-2</v>
      </c>
      <c r="AE39">
        <f>IF(VLOOKUP(all_lmics18[[Setting]:[Setting]],all_cause_mort[],19,FALSE)="",VLOOKUP(all_lmics18[[who_choice_region]:[who_choice_region]],missing[],23,FALSE),VLOOKUP(all_lmics18[[Setting]:[Setting]],all_cause_mort[],19,FALSE))</f>
        <v>5.2244034000000002E-2</v>
      </c>
      <c r="AF39">
        <f>IF(VLOOKUP(all_lmics18[[Setting]:[Setting]],all_cause_mort[],20,FALSE)="",VLOOKUP(all_lmics18[[who_choice_region]:[who_choice_region]],missing[],24,FALSE),VLOOKUP(all_lmics18[[Setting]:[Setting]],all_cause_mort[],20,FALSE))</f>
        <v>8.5093748999999996E-2</v>
      </c>
      <c r="AG39">
        <f>IF(VLOOKUP(all_lmics18[[Setting]:[Setting]],all_cause_mort[],21,FALSE)="",VLOOKUP(all_lmics18[[who_choice_region]:[who_choice_region]],missing[],25,FALSE),VLOOKUP(all_lmics18[[Setting]:[Setting]],all_cause_mort[],21,FALSE))</f>
        <v>0.13841328999999999</v>
      </c>
      <c r="AH39">
        <f>IF(VLOOKUP(all_lmics18[[Setting]:[Setting]],all_cause_mort[],22,FALSE)="",VLOOKUP(all_lmics18[[who_choice_region]:[who_choice_region]],missing[],26,FALSE),VLOOKUP(all_lmics18[[Setting]:[Setting]],all_cause_mort[],22,FALSE))</f>
        <v>0.21655833999999999</v>
      </c>
      <c r="AI39">
        <f>IF(VLOOKUP(all_lmics18[[Setting]:[Setting]],all_cause_mort[],23,FALSE)="",VLOOKUP(all_lmics18[[who_choice_region]:[who_choice_region]],missing[],27,FALSE),VLOOKUP(all_lmics18[[Setting]:[Setting]],all_cause_mort[],23,FALSE))</f>
        <v>0.31746930000000001</v>
      </c>
      <c r="AJ39">
        <f>IF(VLOOKUP(all_lmics18[[Setting]:[Setting]],all_cause_mort[],24,FALSE)="",VLOOKUP(all_lmics18[[who_choice_region]:[who_choice_region]],missing[],28,FALSE),VLOOKUP(all_lmics18[[Setting]:[Setting]],all_cause_mort[],24,FALSE))</f>
        <v>0.44016483000000001</v>
      </c>
      <c r="AK39">
        <f>IF(VLOOKUP(all_lmics18[[Setting]:[Setting]],all_cause_mort[],25,FALSE)="",VLOOKUP(all_lmics18[[who_choice_region]:[who_choice_region]],missing[],29,FALSE),VLOOKUP(all_lmics18[[Setting]:[Setting]],all_cause_mort[],25,FALSE))</f>
        <v>0.57808848106673505</v>
      </c>
      <c r="AL39">
        <f>VLOOKUP(all_lmics18[[worldbank_region]:[worldbank_region]],Table13[],2,FALSE)</f>
        <v>73.064384999999987</v>
      </c>
      <c r="AM39">
        <f>VLOOKUP(all_lmics18[[worldbank_region]:[worldbank_region]],Table13[],3,FALSE)</f>
        <v>73.064384999999987</v>
      </c>
      <c r="AN39">
        <f>VLOOKUP(all_lmics18[[worldbank_region]:[worldbank_region]],Table13[],4,FALSE)</f>
        <v>120.79324499999998</v>
      </c>
      <c r="AO39">
        <f>VLOOKUP(all_lmics18[[worldbank_region]:[worldbank_region]],Table13[],5,FALSE)</f>
        <v>120.79324499999998</v>
      </c>
      <c r="AP39">
        <f>VLOOKUP(all_lmics18[[worldbank_region]:[worldbank_region]],Table13[],6,FALSE)</f>
        <v>120.79324499999998</v>
      </c>
      <c r="AQ39">
        <f>VLOOKUP(all_lmics18[[worldbank_region]:[worldbank_region]],Table14[],2,FALSE)</f>
        <v>1.34029</v>
      </c>
      <c r="AR39">
        <f>VLOOKUP(all_lmics18[[worldbank_region]:[worldbank_region]],Table14[],3,FALSE)</f>
        <v>1.9577900000000001</v>
      </c>
      <c r="AS39">
        <f>VLOOKUP(all_lmics18[[worldbank_region]:[worldbank_region]],Table14[],4,FALSE)</f>
        <v>1.9723159999999997</v>
      </c>
      <c r="AT39">
        <f>VLOOKUP(all_lmics18[[worldbank_region]:[worldbank_region]],Table14[],5,FALSE)</f>
        <v>2.5898159999999999</v>
      </c>
      <c r="AU39">
        <f>VLOOKUP(all_lmics18[[worldbank_region]:[worldbank_region]],Table14[],6,FALSE)</f>
        <v>3.1600679999999999</v>
      </c>
      <c r="AV39">
        <f>IFERROR(VLOOKUP(all_lmics18[[Setting]:[Setting]],nFacSBA[],4,FALSE),VLOOKUP(all_lmics18[[who_choice_region]:[who_choice_region]],missing[],30,FALSE))</f>
        <v>7.1702765889770162E-2</v>
      </c>
      <c r="AW39">
        <f>VLOOKUP(all_lmics18[[worldbank_region]:[worldbank_region]],hbe[],2)</f>
        <v>0.3</v>
      </c>
      <c r="AX39">
        <f>VLOOKUP(all_lmics18[[worldbank_region]:[worldbank_region]],hbe[],5)</f>
        <v>0.875</v>
      </c>
      <c r="AY39">
        <f>VLOOKUP(all_lmics18[[worldbank_region]:[worldbank_region]],hbe[],8)</f>
        <v>0.15</v>
      </c>
    </row>
    <row r="40" spans="1:51" x14ac:dyDescent="0.35">
      <c r="A40" s="8" t="s">
        <v>125</v>
      </c>
      <c r="B40" s="10" t="s">
        <v>33</v>
      </c>
      <c r="C40" s="11" t="s">
        <v>7</v>
      </c>
      <c r="D40">
        <f>VLOOKUP(all_lmics18[[Setting]:[Setting]],populations[],9,FALSE)</f>
        <v>6082357</v>
      </c>
      <c r="E40">
        <f>VLOOKUP(all_lmics18[[Setting]:[Setting]],birthrate[],3,FALSE)</f>
        <v>1.5470000000000001E-2</v>
      </c>
      <c r="F40">
        <f>all_lmics18[[#This Row],[2017_population]]*all_lmics18[[#This Row],[2016_birthrate]]</f>
        <v>94094.062790000011</v>
      </c>
      <c r="G40">
        <f>VLOOKUP(all_lmics18[[Setting]:[Setting]],birthdose[],4,FALSE)</f>
        <v>0.8</v>
      </c>
      <c r="H40">
        <f>VLOOKUP(all_lmics18[[Setting]:[Setting]],fullvax[],4,FALSE)</f>
        <v>0.78</v>
      </c>
      <c r="I40">
        <f>IFERROR(VLOOKUP(all_lmics18[[Setting]:[Setting]],prev[],3,FALSE),VLOOKUP(all_lmics18[[who_choice_region]:[who_choice_region]],missing[],2,FALSE))</f>
        <v>1.2E-2</v>
      </c>
      <c r="J40">
        <f>IFERROR(VLOOKUP(all_lmics18[[Setting]:[Setting]],prev[],4,FALSE),VLOOKUP(all_lmics18[[who_choice_region]:[who_choice_region]],missing[],3,FALSE))</f>
        <v>1.0999999999999999E-2</v>
      </c>
      <c r="K40">
        <f>IFERROR(VLOOKUP(all_lmics18[[Setting]:[Setting]],prev[],5,FALSE),VLOOKUP(all_lmics18[[who_choice_region]:[who_choice_region]],missing[],4,FALSE))</f>
        <v>1.2999999999999999E-2</v>
      </c>
      <c r="L40">
        <f>IFERROR(VLOOKUP(all_lmics18[[Setting]:[Setting]],prev[],7,FALSE),VLOOKUP(all_lmics18[[who_choice_region]:[who_choice_region]],missing[],5,FALSE))</f>
        <v>5.1020408163265267E-4</v>
      </c>
      <c r="M40">
        <f>IFERROR(VLOOKUP(all_lmics18[[Setting]:[Setting]],prev[],6,FALSE),0)</f>
        <v>6082357</v>
      </c>
      <c r="N40">
        <f>IFERROR(VLOOKUP(all_lmics18[[Setting]:[Setting]],SBA[],4,FALSE),VLOOKUP(all_lmics18[[who_choice_region]:[who_choice_region]],missing[],6,FALSE))</f>
        <v>0.96981781563077396</v>
      </c>
      <c r="O40">
        <f>IFERROR(VLOOKUP(all_lmics18[[Setting]:[Setting]], facility[], 3,FALSE),VLOOKUP(all_lmics18[[who_choice_region]:[who_choice_region]],missing[],7,FALSE))</f>
        <v>0.99900000000000011</v>
      </c>
      <c r="P40">
        <f>IF(VLOOKUP(all_lmics18[[Setting]:[Setting]],all_cause_mort[],4,FALSE)="",VLOOKUP(all_lmics18[[who_choice_region]:[who_choice_region]],missing[],8,FALSE),VLOOKUP(all_lmics18[[Setting]:[Setting]],all_cause_mort[],4,FALSE))</f>
        <v>9.4973889000000006E-3</v>
      </c>
      <c r="Q40">
        <f>IF(VLOOKUP(all_lmics18[[Setting]:[Setting]],all_cause_mort[],5,FALSE)="",VLOOKUP(all_lmics18[[who_choice_region]:[who_choice_region]],missing[],9,FALSE),VLOOKUP(all_lmics18[[Setting]:[Setting]],all_cause_mort[],5,FALSE))</f>
        <v>3.7689074999999999E-4</v>
      </c>
      <c r="R40">
        <f>IF(VLOOKUP(all_lmics18[[Setting]:[Setting]],all_cause_mort[],6,FALSE)="",VLOOKUP(all_lmics18[[who_choice_region]:[who_choice_region]],missing[],10,FALSE),VLOOKUP(all_lmics18[[Setting]:[Setting]],all_cause_mort[],6,FALSE))</f>
        <v>1.8330494999999999E-4</v>
      </c>
      <c r="S40">
        <f>IF(VLOOKUP(all_lmics18[[Setting]:[Setting]],all_cause_mort[],7,FALSE)="",VLOOKUP(all_lmics18[[who_choice_region]:[who_choice_region]],missing[],11,FALSE),VLOOKUP(all_lmics18[[Setting]:[Setting]],all_cause_mort[],7,FALSE))</f>
        <v>1.5352084000000001E-4</v>
      </c>
      <c r="T40">
        <f>IF(VLOOKUP(all_lmics18[[Setting]:[Setting]],all_cause_mort[],8,FALSE)="",VLOOKUP(all_lmics18[[who_choice_region]:[who_choice_region]],missing[],12,FALSE),VLOOKUP(all_lmics18[[Setting]:[Setting]],all_cause_mort[],8,FALSE))</f>
        <v>2.8791188999999998E-4</v>
      </c>
      <c r="U40">
        <f>IF(VLOOKUP(all_lmics18[[Setting]:[Setting]],all_cause_mort[],9,FALSE)="",VLOOKUP(all_lmics18[[who_choice_region]:[who_choice_region]],missing[],13,FALSE),VLOOKUP(all_lmics18[[Setting]:[Setting]],all_cause_mort[],9,FALSE))</f>
        <v>4.015038E-4</v>
      </c>
      <c r="V40">
        <f>IF(VLOOKUP(all_lmics18[[Setting]:[Setting]],all_cause_mort[],10,FALSE)="",VLOOKUP(all_lmics18[[who_choice_region]:[who_choice_region]],missing[],14,FALSE),VLOOKUP(all_lmics18[[Setting]:[Setting]],all_cause_mort[],10,FALSE))</f>
        <v>4.2982863999999998E-4</v>
      </c>
      <c r="W40">
        <f>IF(VLOOKUP(all_lmics18[[Setting]:[Setting]],all_cause_mort[],11,FALSE)="",VLOOKUP(all_lmics18[[who_choice_region]:[who_choice_region]],missing[],15,FALSE),VLOOKUP(all_lmics18[[Setting]:[Setting]],all_cause_mort[],11,FALSE))</f>
        <v>5.0618403000000001E-4</v>
      </c>
      <c r="X40">
        <f>IF(VLOOKUP(all_lmics18[[Setting]:[Setting]],all_cause_mort[],12,FALSE)="",VLOOKUP(all_lmics18[[who_choice_region]:[who_choice_region]],missing[],16,FALSE),VLOOKUP(all_lmics18[[Setting]:[Setting]],all_cause_mort[],12,FALSE))</f>
        <v>6.8165252000000002E-4</v>
      </c>
      <c r="Y40">
        <f>IF(VLOOKUP(all_lmics18[[Setting]:[Setting]],all_cause_mort[],13,FALSE)="",VLOOKUP(all_lmics18[[who_choice_region]:[who_choice_region]],missing[],17,FALSE),VLOOKUP(all_lmics18[[Setting]:[Setting]],all_cause_mort[],13,FALSE))</f>
        <v>1.0491518E-3</v>
      </c>
      <c r="Z40">
        <f>IF(VLOOKUP(all_lmics18[[Setting]:[Setting]],all_cause_mort[],14,FALSE)="",VLOOKUP(all_lmics18[[who_choice_region]:[who_choice_region]],missing[],18,FALSE),VLOOKUP(all_lmics18[[Setting]:[Setting]],all_cause_mort[],14,FALSE))</f>
        <v>1.8330981000000001E-3</v>
      </c>
      <c r="AA40">
        <f>IF(VLOOKUP(all_lmics18[[Setting]:[Setting]],all_cause_mort[],15,FALSE)="",VLOOKUP(all_lmics18[[who_choice_region]:[who_choice_region]],missing[],19,FALSE),VLOOKUP(all_lmics18[[Setting]:[Setting]],all_cause_mort[],15,FALSE))</f>
        <v>3.1418199E-3</v>
      </c>
      <c r="AB40">
        <f>IF(VLOOKUP(all_lmics18[[Setting]:[Setting]],all_cause_mort[],16,FALSE)="",VLOOKUP(all_lmics18[[who_choice_region]:[who_choice_region]],missing[],20,FALSE),VLOOKUP(all_lmics18[[Setting]:[Setting]],all_cause_mort[],16,FALSE))</f>
        <v>5.5091706999999997E-3</v>
      </c>
      <c r="AC40">
        <f>IF(VLOOKUP(all_lmics18[[Setting]:[Setting]],all_cause_mort[],17,FALSE)="",VLOOKUP(all_lmics18[[who_choice_region]:[who_choice_region]],missing[],21,FALSE),VLOOKUP(all_lmics18[[Setting]:[Setting]],all_cause_mort[],17,FALSE))</f>
        <v>8.8176650000000006E-3</v>
      </c>
      <c r="AD40">
        <f>IF(VLOOKUP(all_lmics18[[Setting]:[Setting]],all_cause_mort[],18,FALSE)="",VLOOKUP(all_lmics18[[who_choice_region]:[who_choice_region]],missing[],22,FALSE),VLOOKUP(all_lmics18[[Setting]:[Setting]],all_cause_mort[],18,FALSE))</f>
        <v>1.5250466000000001E-2</v>
      </c>
      <c r="AE40">
        <f>IF(VLOOKUP(all_lmics18[[Setting]:[Setting]],all_cause_mort[],19,FALSE)="",VLOOKUP(all_lmics18[[who_choice_region]:[who_choice_region]],missing[],23,FALSE),VLOOKUP(all_lmics18[[Setting]:[Setting]],all_cause_mort[],19,FALSE))</f>
        <v>2.7110341999999999E-2</v>
      </c>
      <c r="AF40">
        <f>IF(VLOOKUP(all_lmics18[[Setting]:[Setting]],all_cause_mort[],20,FALSE)="",VLOOKUP(all_lmics18[[who_choice_region]:[who_choice_region]],missing[],24,FALSE),VLOOKUP(all_lmics18[[Setting]:[Setting]],all_cause_mort[],20,FALSE))</f>
        <v>4.6846836000000003E-2</v>
      </c>
      <c r="AG40">
        <f>IF(VLOOKUP(all_lmics18[[Setting]:[Setting]],all_cause_mort[],21,FALSE)="",VLOOKUP(all_lmics18[[who_choice_region]:[who_choice_region]],missing[],25,FALSE),VLOOKUP(all_lmics18[[Setting]:[Setting]],all_cause_mort[],21,FALSE))</f>
        <v>8.1742856000000003E-2</v>
      </c>
      <c r="AH40">
        <f>IF(VLOOKUP(all_lmics18[[Setting]:[Setting]],all_cause_mort[],22,FALSE)="",VLOOKUP(all_lmics18[[who_choice_region]:[who_choice_region]],missing[],26,FALSE),VLOOKUP(all_lmics18[[Setting]:[Setting]],all_cause_mort[],22,FALSE))</f>
        <v>0.13838106</v>
      </c>
      <c r="AI40">
        <f>IF(VLOOKUP(all_lmics18[[Setting]:[Setting]],all_cause_mort[],23,FALSE)="",VLOOKUP(all_lmics18[[who_choice_region]:[who_choice_region]],missing[],27,FALSE),VLOOKUP(all_lmics18[[Setting]:[Setting]],all_cause_mort[],23,FALSE))</f>
        <v>0.21852083</v>
      </c>
      <c r="AJ40">
        <f>IF(VLOOKUP(all_lmics18[[Setting]:[Setting]],all_cause_mort[],24,FALSE)="",VLOOKUP(all_lmics18[[who_choice_region]:[who_choice_region]],missing[],28,FALSE),VLOOKUP(all_lmics18[[Setting]:[Setting]],all_cause_mort[],24,FALSE))</f>
        <v>0.32014574000000001</v>
      </c>
      <c r="AK40">
        <f>IF(VLOOKUP(all_lmics18[[Setting]:[Setting]],all_cause_mort[],25,FALSE)="",VLOOKUP(all_lmics18[[who_choice_region]:[who_choice_region]],missing[],29,FALSE),VLOOKUP(all_lmics18[[Setting]:[Setting]],all_cause_mort[],25,FALSE))</f>
        <v>0.45605566214083099</v>
      </c>
      <c r="AL40">
        <f>VLOOKUP(all_lmics18[[worldbank_region]:[worldbank_region]],Table13[],2,FALSE)</f>
        <v>57.906657999999993</v>
      </c>
      <c r="AM40">
        <f>VLOOKUP(all_lmics18[[worldbank_region]:[worldbank_region]],Table13[],3,FALSE)</f>
        <v>57.906657999999993</v>
      </c>
      <c r="AN40">
        <f>VLOOKUP(all_lmics18[[worldbank_region]:[worldbank_region]],Table13[],4,FALSE)</f>
        <v>105.63551799999999</v>
      </c>
      <c r="AO40">
        <f>VLOOKUP(all_lmics18[[worldbank_region]:[worldbank_region]],Table13[],5,FALSE)</f>
        <v>105.63551799999999</v>
      </c>
      <c r="AP40">
        <f>VLOOKUP(all_lmics18[[worldbank_region]:[worldbank_region]],Table13[],6,FALSE)</f>
        <v>105.63551799999999</v>
      </c>
      <c r="AQ40">
        <f>VLOOKUP(all_lmics18[[worldbank_region]:[worldbank_region]],Table14[],2,FALSE)</f>
        <v>1.5037449999999999</v>
      </c>
      <c r="AR40">
        <f>VLOOKUP(all_lmics18[[worldbank_region]:[worldbank_region]],Table14[],3,FALSE)</f>
        <v>2.121245</v>
      </c>
      <c r="AS40">
        <f>VLOOKUP(all_lmics18[[worldbank_region]:[worldbank_region]],Table14[],4,FALSE)</f>
        <v>1.9832129999999999</v>
      </c>
      <c r="AT40">
        <f>VLOOKUP(all_lmics18[[worldbank_region]:[worldbank_region]],Table14[],5,FALSE)</f>
        <v>2.6007129999999998</v>
      </c>
      <c r="AU40">
        <f>VLOOKUP(all_lmics18[[worldbank_region]:[worldbank_region]],Table14[],6,FALSE)</f>
        <v>3.1709649999999998</v>
      </c>
      <c r="AV40">
        <f>IFERROR(VLOOKUP(all_lmics18[[Setting]:[Setting]],nFacSBA[],4,FALSE),VLOOKUP(all_lmics18[[who_choice_region]:[who_choice_region]],missing[],30,FALSE))</f>
        <v>0.38783437593130843</v>
      </c>
      <c r="AW40">
        <f>VLOOKUP(all_lmics18[[worldbank_region]:[worldbank_region]],hbe[],2)</f>
        <v>0.3</v>
      </c>
      <c r="AX40">
        <f>VLOOKUP(all_lmics18[[worldbank_region]:[worldbank_region]],hbe[],5)</f>
        <v>0.875</v>
      </c>
      <c r="AY40">
        <f>VLOOKUP(all_lmics18[[worldbank_region]:[worldbank_region]],hbe[],8)</f>
        <v>0.15</v>
      </c>
    </row>
    <row r="41" spans="1:51" x14ac:dyDescent="0.35">
      <c r="A41" s="8" t="s">
        <v>129</v>
      </c>
      <c r="B41" s="10" t="s">
        <v>40</v>
      </c>
      <c r="C41" s="11" t="s">
        <v>11</v>
      </c>
      <c r="D41">
        <f>VLOOKUP(all_lmics18[[Setting]:[Setting]],populations[],9,FALSE)</f>
        <v>2827721</v>
      </c>
      <c r="E41">
        <f>VLOOKUP(all_lmics18[[Setting]:[Setting]],birthrate[],3,FALSE)</f>
        <v>1.0699999999999999E-2</v>
      </c>
      <c r="F41">
        <f>all_lmics18[[#This Row],[2017_population]]*all_lmics18[[#This Row],[2016_birthrate]]</f>
        <v>30256.614699999998</v>
      </c>
      <c r="G41">
        <f>VLOOKUP(all_lmics18[[Setting]:[Setting]],birthdose[],4,FALSE)</f>
        <v>0.97</v>
      </c>
      <c r="H41">
        <f>VLOOKUP(all_lmics18[[Setting]:[Setting]],fullvax[],4,FALSE)</f>
        <v>0.94</v>
      </c>
      <c r="I41">
        <f>IFERROR(VLOOKUP(all_lmics18[[Setting]:[Setting]],prev[],3,FALSE),VLOOKUP(all_lmics18[[who_choice_region]:[who_choice_region]],missing[],2,FALSE))</f>
        <v>1.7000000000000001E-2</v>
      </c>
      <c r="J41">
        <f>IFERROR(VLOOKUP(all_lmics18[[Setting]:[Setting]],prev[],4,FALSE),VLOOKUP(all_lmics18[[who_choice_region]:[who_choice_region]],missing[],3,FALSE))</f>
        <v>1.55E-2</v>
      </c>
      <c r="K41">
        <f>IFERROR(VLOOKUP(all_lmics18[[Setting]:[Setting]],prev[],5,FALSE),VLOOKUP(all_lmics18[[who_choice_region]:[who_choice_region]],missing[],4,FALSE))</f>
        <v>1.8599999999999998E-2</v>
      </c>
      <c r="L41">
        <f>IFERROR(VLOOKUP(all_lmics18[[Setting]:[Setting]],prev[],7,FALSE),VLOOKUP(all_lmics18[[who_choice_region]:[who_choice_region]],missing[],5,FALSE))</f>
        <v>8.1632653061224352E-4</v>
      </c>
      <c r="M41">
        <f>IFERROR(VLOOKUP(all_lmics18[[Setting]:[Setting]],prev[],6,FALSE),0)</f>
        <v>3097282</v>
      </c>
      <c r="N41">
        <f>IFERROR(VLOOKUP(all_lmics18[[Setting]:[Setting]],SBA[],4,FALSE),VLOOKUP(all_lmics18[[who_choice_region]:[who_choice_region]],missing[],6,FALSE))</f>
        <v>0.9998999999999999</v>
      </c>
      <c r="O41">
        <f>IFERROR(VLOOKUP(all_lmics18[[Setting]:[Setting]], facility[], 3,FALSE),VLOOKUP(all_lmics18[[who_choice_region]:[who_choice_region]],missing[],7,FALSE))</f>
        <v>0.98871103109763114</v>
      </c>
      <c r="P41">
        <f>IF(VLOOKUP(all_lmics18[[Setting]:[Setting]],all_cause_mort[],4,FALSE)="",VLOOKUP(all_lmics18[[who_choice_region]:[who_choice_region]],missing[],8,FALSE),VLOOKUP(all_lmics18[[Setting]:[Setting]],all_cause_mort[],4,FALSE))</f>
        <v>4.0572268999999996E-3</v>
      </c>
      <c r="Q41">
        <f>IF(VLOOKUP(all_lmics18[[Setting]:[Setting]],all_cause_mort[],5,FALSE)="",VLOOKUP(all_lmics18[[who_choice_region]:[who_choice_region]],missing[],9,FALSE),VLOOKUP(all_lmics18[[Setting]:[Setting]],all_cause_mort[],5,FALSE))</f>
        <v>2.0967292E-4</v>
      </c>
      <c r="R41">
        <f>IF(VLOOKUP(all_lmics18[[Setting]:[Setting]],all_cause_mort[],6,FALSE)="",VLOOKUP(all_lmics18[[who_choice_region]:[who_choice_region]],missing[],10,FALSE),VLOOKUP(all_lmics18[[Setting]:[Setting]],all_cause_mort[],6,FALSE))</f>
        <v>9.2799150999999997E-5</v>
      </c>
      <c r="S41">
        <f>IF(VLOOKUP(all_lmics18[[Setting]:[Setting]],all_cause_mort[],7,FALSE)="",VLOOKUP(all_lmics18[[who_choice_region]:[who_choice_region]],missing[],11,FALSE),VLOOKUP(all_lmics18[[Setting]:[Setting]],all_cause_mort[],7,FALSE))</f>
        <v>1.9663063E-4</v>
      </c>
      <c r="T41">
        <f>IF(VLOOKUP(all_lmics18[[Setting]:[Setting]],all_cause_mort[],8,FALSE)="",VLOOKUP(all_lmics18[[who_choice_region]:[who_choice_region]],missing[],12,FALSE),VLOOKUP(all_lmics18[[Setting]:[Setting]],all_cause_mort[],8,FALSE))</f>
        <v>4.2034412000000002E-4</v>
      </c>
      <c r="U41">
        <f>IF(VLOOKUP(all_lmics18[[Setting]:[Setting]],all_cause_mort[],9,FALSE)="",VLOOKUP(all_lmics18[[who_choice_region]:[who_choice_region]],missing[],13,FALSE),VLOOKUP(all_lmics18[[Setting]:[Setting]],all_cause_mort[],9,FALSE))</f>
        <v>6.6710281000000005E-4</v>
      </c>
      <c r="V41">
        <f>IF(VLOOKUP(all_lmics18[[Setting]:[Setting]],all_cause_mort[],10,FALSE)="",VLOOKUP(all_lmics18[[who_choice_region]:[who_choice_region]],missing[],14,FALSE),VLOOKUP(all_lmics18[[Setting]:[Setting]],all_cause_mort[],10,FALSE))</f>
        <v>1.1256278E-3</v>
      </c>
      <c r="W41">
        <f>IF(VLOOKUP(all_lmics18[[Setting]:[Setting]],all_cause_mort[],11,FALSE)="",VLOOKUP(all_lmics18[[who_choice_region]:[who_choice_region]],missing[],15,FALSE),VLOOKUP(all_lmics18[[Setting]:[Setting]],all_cause_mort[],11,FALSE))</f>
        <v>1.8405520000000001E-3</v>
      </c>
      <c r="X41">
        <f>IF(VLOOKUP(all_lmics18[[Setting]:[Setting]],all_cause_mort[],12,FALSE)="",VLOOKUP(all_lmics18[[who_choice_region]:[who_choice_region]],missing[],16,FALSE),VLOOKUP(all_lmics18[[Setting]:[Setting]],all_cause_mort[],12,FALSE))</f>
        <v>2.6708560000000001E-3</v>
      </c>
      <c r="Y41">
        <f>IF(VLOOKUP(all_lmics18[[Setting]:[Setting]],all_cause_mort[],13,FALSE)="",VLOOKUP(all_lmics18[[who_choice_region]:[who_choice_region]],missing[],17,FALSE),VLOOKUP(all_lmics18[[Setting]:[Setting]],all_cause_mort[],13,FALSE))</f>
        <v>3.7974453000000001E-3</v>
      </c>
      <c r="Z41">
        <f>IF(VLOOKUP(all_lmics18[[Setting]:[Setting]],all_cause_mort[],14,FALSE)="",VLOOKUP(all_lmics18[[who_choice_region]:[who_choice_region]],missing[],18,FALSE),VLOOKUP(all_lmics18[[Setting]:[Setting]],all_cause_mort[],14,FALSE))</f>
        <v>5.5226620999999998E-3</v>
      </c>
      <c r="AA41">
        <f>IF(VLOOKUP(all_lmics18[[Setting]:[Setting]],all_cause_mort[],15,FALSE)="",VLOOKUP(all_lmics18[[who_choice_region]:[who_choice_region]],missing[],19,FALSE),VLOOKUP(all_lmics18[[Setting]:[Setting]],all_cause_mort[],15,FALSE))</f>
        <v>7.6645621999999998E-3</v>
      </c>
      <c r="AB41">
        <f>IF(VLOOKUP(all_lmics18[[Setting]:[Setting]],all_cause_mort[],16,FALSE)="",VLOOKUP(all_lmics18[[who_choice_region]:[who_choice_region]],missing[],20,FALSE),VLOOKUP(all_lmics18[[Setting]:[Setting]],all_cause_mort[],16,FALSE))</f>
        <v>1.1045266999999999E-2</v>
      </c>
      <c r="AC41">
        <f>IF(VLOOKUP(all_lmics18[[Setting]:[Setting]],all_cause_mort[],17,FALSE)="",VLOOKUP(all_lmics18[[who_choice_region]:[who_choice_region]],missing[],21,FALSE),VLOOKUP(all_lmics18[[Setting]:[Setting]],all_cause_mort[],17,FALSE))</f>
        <v>1.6510876000000001E-2</v>
      </c>
      <c r="AD41">
        <f>IF(VLOOKUP(all_lmics18[[Setting]:[Setting]],all_cause_mort[],18,FALSE)="",VLOOKUP(all_lmics18[[who_choice_region]:[who_choice_region]],missing[],22,FALSE),VLOOKUP(all_lmics18[[Setting]:[Setting]],all_cause_mort[],18,FALSE))</f>
        <v>2.2540457E-2</v>
      </c>
      <c r="AE41">
        <f>IF(VLOOKUP(all_lmics18[[Setting]:[Setting]],all_cause_mort[],19,FALSE)="",VLOOKUP(all_lmics18[[who_choice_region]:[who_choice_region]],missing[],23,FALSE),VLOOKUP(all_lmics18[[Setting]:[Setting]],all_cause_mort[],19,FALSE))</f>
        <v>3.106018E-2</v>
      </c>
      <c r="AF41">
        <f>IF(VLOOKUP(all_lmics18[[Setting]:[Setting]],all_cause_mort[],20,FALSE)="",VLOOKUP(all_lmics18[[who_choice_region]:[who_choice_region]],missing[],24,FALSE),VLOOKUP(all_lmics18[[Setting]:[Setting]],all_cause_mort[],20,FALSE))</f>
        <v>4.4658710999999997E-2</v>
      </c>
      <c r="AG41">
        <f>IF(VLOOKUP(all_lmics18[[Setting]:[Setting]],all_cause_mort[],21,FALSE)="",VLOOKUP(all_lmics18[[who_choice_region]:[who_choice_region]],missing[],25,FALSE),VLOOKUP(all_lmics18[[Setting]:[Setting]],all_cause_mort[],21,FALSE))</f>
        <v>7.5285900000000003E-2</v>
      </c>
      <c r="AH41">
        <f>IF(VLOOKUP(all_lmics18[[Setting]:[Setting]],all_cause_mort[],22,FALSE)="",VLOOKUP(all_lmics18[[who_choice_region]:[who_choice_region]],missing[],26,FALSE),VLOOKUP(all_lmics18[[Setting]:[Setting]],all_cause_mort[],22,FALSE))</f>
        <v>9.5332129000000002E-2</v>
      </c>
      <c r="AI41">
        <f>IF(VLOOKUP(all_lmics18[[Setting]:[Setting]],all_cause_mort[],23,FALSE)="",VLOOKUP(all_lmics18[[who_choice_region]:[who_choice_region]],missing[],27,FALSE),VLOOKUP(all_lmics18[[Setting]:[Setting]],all_cause_mort[],23,FALSE))</f>
        <v>0.13974270999999999</v>
      </c>
      <c r="AJ41">
        <f>IF(VLOOKUP(all_lmics18[[Setting]:[Setting]],all_cause_mort[],24,FALSE)="",VLOOKUP(all_lmics18[[who_choice_region]:[who_choice_region]],missing[],28,FALSE),VLOOKUP(all_lmics18[[Setting]:[Setting]],all_cause_mort[],24,FALSE))</f>
        <v>0.20336660000000001</v>
      </c>
      <c r="AK41">
        <f>IF(VLOOKUP(all_lmics18[[Setting]:[Setting]],all_cause_mort[],25,FALSE)="",VLOOKUP(all_lmics18[[who_choice_region]:[who_choice_region]],missing[],29,FALSE),VLOOKUP(all_lmics18[[Setting]:[Setting]],all_cause_mort[],25,FALSE))</f>
        <v>0.30661519210821597</v>
      </c>
      <c r="AL41">
        <f>VLOOKUP(all_lmics18[[worldbank_region]:[worldbank_region]],Table13[],2,FALSE)</f>
        <v>44.525141999999995</v>
      </c>
      <c r="AM41">
        <f>VLOOKUP(all_lmics18[[worldbank_region]:[worldbank_region]],Table13[],3,FALSE)</f>
        <v>44.525141999999995</v>
      </c>
      <c r="AN41">
        <f>VLOOKUP(all_lmics18[[worldbank_region]:[worldbank_region]],Table13[],4,FALSE)</f>
        <v>92.254001999999986</v>
      </c>
      <c r="AO41">
        <f>VLOOKUP(all_lmics18[[worldbank_region]:[worldbank_region]],Table13[],5,FALSE)</f>
        <v>92.254001999999986</v>
      </c>
      <c r="AP41">
        <f>VLOOKUP(all_lmics18[[worldbank_region]:[worldbank_region]],Table13[],6,FALSE)</f>
        <v>92.254001999999986</v>
      </c>
      <c r="AQ41">
        <f>VLOOKUP(all_lmics18[[worldbank_region]:[worldbank_region]],Table14[],2,FALSE)</f>
        <v>6.4182919999999992</v>
      </c>
      <c r="AR41">
        <f>VLOOKUP(all_lmics18[[worldbank_region]:[worldbank_region]],Table14[],3,FALSE)</f>
        <v>7.0357919999999998</v>
      </c>
      <c r="AS41">
        <f>VLOOKUP(all_lmics18[[worldbank_region]:[worldbank_region]],Table14[],4,FALSE)</f>
        <v>10.482872999999998</v>
      </c>
      <c r="AT41">
        <f>VLOOKUP(all_lmics18[[worldbank_region]:[worldbank_region]],Table14[],5,FALSE)</f>
        <v>11.100372999999999</v>
      </c>
      <c r="AU41">
        <f>VLOOKUP(all_lmics18[[worldbank_region]:[worldbank_region]],Table14[],6,FALSE)</f>
        <v>11.670624999999999</v>
      </c>
      <c r="AV41">
        <f>IFERROR(VLOOKUP(all_lmics18[[Setting]:[Setting]],nFacSBA[],4,FALSE),VLOOKUP(all_lmics18[[who_choice_region]:[who_choice_region]],missing[],30,FALSE))</f>
        <v>0.38410676442170949</v>
      </c>
      <c r="AW41">
        <f>VLOOKUP(all_lmics18[[worldbank_region]:[worldbank_region]],hbe[],2)</f>
        <v>0.3</v>
      </c>
      <c r="AX41">
        <f>VLOOKUP(all_lmics18[[worldbank_region]:[worldbank_region]],hbe[],5)</f>
        <v>0.875</v>
      </c>
      <c r="AY41">
        <f>VLOOKUP(all_lmics18[[worldbank_region]:[worldbank_region]],hbe[],8)</f>
        <v>0.15</v>
      </c>
    </row>
    <row r="42" spans="1:51" x14ac:dyDescent="0.35">
      <c r="A42" s="8" t="s">
        <v>133</v>
      </c>
      <c r="B42" s="10" t="s">
        <v>57</v>
      </c>
      <c r="C42" s="11" t="s">
        <v>58</v>
      </c>
      <c r="D42">
        <f>VLOOKUP(all_lmics18[[Setting]:[Setting]],populations[],9,FALSE)</f>
        <v>31624264</v>
      </c>
      <c r="E42">
        <f>VLOOKUP(all_lmics18[[Setting]:[Setting]],birthrate[],3,FALSE)</f>
        <v>1.7052000000000001E-2</v>
      </c>
      <c r="F42">
        <f>all_lmics18[[#This Row],[2017_population]]*all_lmics18[[#This Row],[2016_birthrate]]</f>
        <v>539256.94972800009</v>
      </c>
      <c r="G42">
        <f>VLOOKUP(all_lmics18[[Setting]:[Setting]],birthdose[],4,FALSE)</f>
        <v>0.9</v>
      </c>
      <c r="H42">
        <f>VLOOKUP(all_lmics18[[Setting]:[Setting]],fullvax[],4,FALSE)</f>
        <v>0.98</v>
      </c>
      <c r="I42">
        <f>IFERROR(VLOOKUP(all_lmics18[[Setting]:[Setting]],prev[],3,FALSE),VLOOKUP(all_lmics18[[who_choice_region]:[who_choice_region]],missing[],2,FALSE))</f>
        <v>8.9999999999999993E-3</v>
      </c>
      <c r="J42">
        <f>IFERROR(VLOOKUP(all_lmics18[[Setting]:[Setting]],prev[],4,FALSE),VLOOKUP(all_lmics18[[who_choice_region]:[who_choice_region]],missing[],3,FALSE))</f>
        <v>5.0000000000000001E-3</v>
      </c>
      <c r="K42">
        <f>IFERROR(VLOOKUP(all_lmics18[[Setting]:[Setting]],prev[],5,FALSE),VLOOKUP(all_lmics18[[who_choice_region]:[who_choice_region]],missing[],4,FALSE))</f>
        <v>0.01</v>
      </c>
      <c r="L42">
        <f>IFERROR(VLOOKUP(all_lmics18[[Setting]:[Setting]],prev[],7,FALSE),VLOOKUP(all_lmics18[[who_choice_region]:[who_choice_region]],missing[],5,FALSE))</f>
        <v>5.1020408163265354E-4</v>
      </c>
      <c r="M42">
        <f>IFERROR(VLOOKUP(all_lmics18[[Setting]:[Setting]],prev[],6,FALSE),0)</f>
        <v>31624264</v>
      </c>
      <c r="N42">
        <f>IFERROR(VLOOKUP(all_lmics18[[Setting]:[Setting]],SBA[],4,FALSE),VLOOKUP(all_lmics18[[who_choice_region]:[who_choice_region]],missing[],6,FALSE))</f>
        <v>0.99400000000000011</v>
      </c>
      <c r="O42">
        <f>IFERROR(VLOOKUP(all_lmics18[[Setting]:[Setting]], facility[], 3,FALSE),VLOOKUP(all_lmics18[[who_choice_region]:[who_choice_region]],missing[],7,FALSE))</f>
        <v>0.9890000000000001</v>
      </c>
      <c r="P42">
        <f>IF(VLOOKUP(all_lmics18[[Setting]:[Setting]],all_cause_mort[],4,FALSE)="",VLOOKUP(all_lmics18[[who_choice_region]:[who_choice_region]],missing[],8,FALSE),VLOOKUP(all_lmics18[[Setting]:[Setting]],all_cause_mort[],4,FALSE))</f>
        <v>5.9307283999999998E-3</v>
      </c>
      <c r="Q42">
        <f>IF(VLOOKUP(all_lmics18[[Setting]:[Setting]],all_cause_mort[],5,FALSE)="",VLOOKUP(all_lmics18[[who_choice_region]:[who_choice_region]],missing[],9,FALSE),VLOOKUP(all_lmics18[[Setting]:[Setting]],all_cause_mort[],5,FALSE))</f>
        <v>2.6927302000000002E-4</v>
      </c>
      <c r="R42">
        <f>IF(VLOOKUP(all_lmics18[[Setting]:[Setting]],all_cause_mort[],6,FALSE)="",VLOOKUP(all_lmics18[[who_choice_region]:[who_choice_region]],missing[],10,FALSE),VLOOKUP(all_lmics18[[Setting]:[Setting]],all_cause_mort[],6,FALSE))</f>
        <v>1.7408437000000001E-4</v>
      </c>
      <c r="S42">
        <f>IF(VLOOKUP(all_lmics18[[Setting]:[Setting]],all_cause_mort[],7,FALSE)="",VLOOKUP(all_lmics18[[who_choice_region]:[who_choice_region]],missing[],11,FALSE),VLOOKUP(all_lmics18[[Setting]:[Setting]],all_cause_mort[],7,FALSE))</f>
        <v>2.4167024E-4</v>
      </c>
      <c r="T42">
        <f>IF(VLOOKUP(all_lmics18[[Setting]:[Setting]],all_cause_mort[],8,FALSE)="",VLOOKUP(all_lmics18[[who_choice_region]:[who_choice_region]],missing[],12,FALSE),VLOOKUP(all_lmics18[[Setting]:[Setting]],all_cause_mort[],8,FALSE))</f>
        <v>5.6535991000000003E-4</v>
      </c>
      <c r="U42">
        <f>IF(VLOOKUP(all_lmics18[[Setting]:[Setting]],all_cause_mort[],9,FALSE)="",VLOOKUP(all_lmics18[[who_choice_region]:[who_choice_region]],missing[],13,FALSE),VLOOKUP(all_lmics18[[Setting]:[Setting]],all_cause_mort[],9,FALSE))</f>
        <v>5.9290065000000005E-4</v>
      </c>
      <c r="V42">
        <f>IF(VLOOKUP(all_lmics18[[Setting]:[Setting]],all_cause_mort[],10,FALSE)="",VLOOKUP(all_lmics18[[who_choice_region]:[who_choice_region]],missing[],14,FALSE),VLOOKUP(all_lmics18[[Setting]:[Setting]],all_cause_mort[],10,FALSE))</f>
        <v>6.2334768999999996E-4</v>
      </c>
      <c r="W42">
        <f>IF(VLOOKUP(all_lmics18[[Setting]:[Setting]],all_cause_mort[],11,FALSE)="",VLOOKUP(all_lmics18[[who_choice_region]:[who_choice_region]],missing[],15,FALSE),VLOOKUP(all_lmics18[[Setting]:[Setting]],all_cause_mort[],11,FALSE))</f>
        <v>1.0789250999999999E-3</v>
      </c>
      <c r="X42">
        <f>IF(VLOOKUP(all_lmics18[[Setting]:[Setting]],all_cause_mort[],12,FALSE)="",VLOOKUP(all_lmics18[[who_choice_region]:[who_choice_region]],missing[],16,FALSE),VLOOKUP(all_lmics18[[Setting]:[Setting]],all_cause_mort[],12,FALSE))</f>
        <v>1.6083642E-3</v>
      </c>
      <c r="Y42">
        <f>IF(VLOOKUP(all_lmics18[[Setting]:[Setting]],all_cause_mort[],13,FALSE)="",VLOOKUP(all_lmics18[[who_choice_region]:[who_choice_region]],missing[],17,FALSE),VLOOKUP(all_lmics18[[Setting]:[Setting]],all_cause_mort[],13,FALSE))</f>
        <v>2.3934461000000001E-3</v>
      </c>
      <c r="Z42">
        <f>IF(VLOOKUP(all_lmics18[[Setting]:[Setting]],all_cause_mort[],14,FALSE)="",VLOOKUP(all_lmics18[[who_choice_region]:[who_choice_region]],missing[],18,FALSE),VLOOKUP(all_lmics18[[Setting]:[Setting]],all_cause_mort[],14,FALSE))</f>
        <v>4.1970050999999998E-3</v>
      </c>
      <c r="AA42">
        <f>IF(VLOOKUP(all_lmics18[[Setting]:[Setting]],all_cause_mort[],15,FALSE)="",VLOOKUP(all_lmics18[[who_choice_region]:[who_choice_region]],missing[],19,FALSE),VLOOKUP(all_lmics18[[Setting]:[Setting]],all_cause_mort[],15,FALSE))</f>
        <v>6.3957772999999997E-3</v>
      </c>
      <c r="AB42">
        <f>IF(VLOOKUP(all_lmics18[[Setting]:[Setting]],all_cause_mort[],16,FALSE)="",VLOOKUP(all_lmics18[[who_choice_region]:[who_choice_region]],missing[],20,FALSE),VLOOKUP(all_lmics18[[Setting]:[Setting]],all_cause_mort[],16,FALSE))</f>
        <v>9.3744764999999994E-3</v>
      </c>
      <c r="AC42">
        <f>IF(VLOOKUP(all_lmics18[[Setting]:[Setting]],all_cause_mort[],17,FALSE)="",VLOOKUP(all_lmics18[[who_choice_region]:[who_choice_region]],missing[],21,FALSE),VLOOKUP(all_lmics18[[Setting]:[Setting]],all_cause_mort[],17,FALSE))</f>
        <v>1.3013995E-2</v>
      </c>
      <c r="AD42">
        <f>IF(VLOOKUP(all_lmics18[[Setting]:[Setting]],all_cause_mort[],18,FALSE)="",VLOOKUP(all_lmics18[[who_choice_region]:[who_choice_region]],missing[],22,FALSE),VLOOKUP(all_lmics18[[Setting]:[Setting]],all_cause_mort[],18,FALSE))</f>
        <v>2.1280139E-2</v>
      </c>
      <c r="AE42">
        <f>IF(VLOOKUP(all_lmics18[[Setting]:[Setting]],all_cause_mort[],19,FALSE)="",VLOOKUP(all_lmics18[[who_choice_region]:[who_choice_region]],missing[],23,FALSE),VLOOKUP(all_lmics18[[Setting]:[Setting]],all_cause_mort[],19,FALSE))</f>
        <v>3.7078991999999998E-2</v>
      </c>
      <c r="AF42">
        <f>IF(VLOOKUP(all_lmics18[[Setting]:[Setting]],all_cause_mort[],20,FALSE)="",VLOOKUP(all_lmics18[[who_choice_region]:[who_choice_region]],missing[],24,FALSE),VLOOKUP(all_lmics18[[Setting]:[Setting]],all_cause_mort[],20,FALSE))</f>
        <v>5.4851868999999998E-2</v>
      </c>
      <c r="AG42">
        <f>IF(VLOOKUP(all_lmics18[[Setting]:[Setting]],all_cause_mort[],21,FALSE)="",VLOOKUP(all_lmics18[[who_choice_region]:[who_choice_region]],missing[],25,FALSE),VLOOKUP(all_lmics18[[Setting]:[Setting]],all_cause_mort[],21,FALSE))</f>
        <v>8.5358191E-2</v>
      </c>
      <c r="AH42">
        <f>IF(VLOOKUP(all_lmics18[[Setting]:[Setting]],all_cause_mort[],22,FALSE)="",VLOOKUP(all_lmics18[[who_choice_region]:[who_choice_region]],missing[],26,FALSE),VLOOKUP(all_lmics18[[Setting]:[Setting]],all_cause_mort[],22,FALSE))</f>
        <v>0.12818539000000001</v>
      </c>
      <c r="AI42">
        <f>IF(VLOOKUP(all_lmics18[[Setting]:[Setting]],all_cause_mort[],23,FALSE)="",VLOOKUP(all_lmics18[[who_choice_region]:[who_choice_region]],missing[],27,FALSE),VLOOKUP(all_lmics18[[Setting]:[Setting]],all_cause_mort[],23,FALSE))</f>
        <v>0.18209918999999999</v>
      </c>
      <c r="AJ42">
        <f>IF(VLOOKUP(all_lmics18[[Setting]:[Setting]],all_cause_mort[],24,FALSE)="",VLOOKUP(all_lmics18[[who_choice_region]:[who_choice_region]],missing[],28,FALSE),VLOOKUP(all_lmics18[[Setting]:[Setting]],all_cause_mort[],24,FALSE))</f>
        <v>0.23688722000000001</v>
      </c>
      <c r="AK42">
        <f>IF(VLOOKUP(all_lmics18[[Setting]:[Setting]],all_cause_mort[],25,FALSE)="",VLOOKUP(all_lmics18[[who_choice_region]:[who_choice_region]],missing[],29,FALSE),VLOOKUP(all_lmics18[[Setting]:[Setting]],all_cause_mort[],25,FALSE))</f>
        <v>0.30697249026122098</v>
      </c>
      <c r="AL42">
        <f>VLOOKUP(all_lmics18[[worldbank_region]:[worldbank_region]],Table13[],2,FALSE)</f>
        <v>73.064384999999987</v>
      </c>
      <c r="AM42">
        <f>VLOOKUP(all_lmics18[[worldbank_region]:[worldbank_region]],Table13[],3,FALSE)</f>
        <v>73.064384999999987</v>
      </c>
      <c r="AN42">
        <f>VLOOKUP(all_lmics18[[worldbank_region]:[worldbank_region]],Table13[],4,FALSE)</f>
        <v>120.79324499999998</v>
      </c>
      <c r="AO42">
        <f>VLOOKUP(all_lmics18[[worldbank_region]:[worldbank_region]],Table13[],5,FALSE)</f>
        <v>120.79324499999998</v>
      </c>
      <c r="AP42">
        <f>VLOOKUP(all_lmics18[[worldbank_region]:[worldbank_region]],Table13[],6,FALSE)</f>
        <v>120.79324499999998</v>
      </c>
      <c r="AQ42">
        <f>VLOOKUP(all_lmics18[[worldbank_region]:[worldbank_region]],Table14[],2,FALSE)</f>
        <v>1.34029</v>
      </c>
      <c r="AR42">
        <f>VLOOKUP(all_lmics18[[worldbank_region]:[worldbank_region]],Table14[],3,FALSE)</f>
        <v>1.9577900000000001</v>
      </c>
      <c r="AS42">
        <f>VLOOKUP(all_lmics18[[worldbank_region]:[worldbank_region]],Table14[],4,FALSE)</f>
        <v>1.9723159999999997</v>
      </c>
      <c r="AT42">
        <f>VLOOKUP(all_lmics18[[worldbank_region]:[worldbank_region]],Table14[],5,FALSE)</f>
        <v>2.5898159999999999</v>
      </c>
      <c r="AU42">
        <f>VLOOKUP(all_lmics18[[worldbank_region]:[worldbank_region]],Table14[],6,FALSE)</f>
        <v>3.1600679999999999</v>
      </c>
      <c r="AV42">
        <f>IFERROR(VLOOKUP(all_lmics18[[Setting]:[Setting]],nFacSBA[],4,FALSE),VLOOKUP(all_lmics18[[who_choice_region]:[who_choice_region]],missing[],30,FALSE))</f>
        <v>0.15985670213371023</v>
      </c>
      <c r="AW42">
        <f>VLOOKUP(all_lmics18[[worldbank_region]:[worldbank_region]],hbe[],2)</f>
        <v>0.3</v>
      </c>
      <c r="AX42">
        <f>VLOOKUP(all_lmics18[[worldbank_region]:[worldbank_region]],hbe[],5)</f>
        <v>0.875</v>
      </c>
      <c r="AY42">
        <f>VLOOKUP(all_lmics18[[worldbank_region]:[worldbank_region]],hbe[],8)</f>
        <v>0.15</v>
      </c>
    </row>
    <row r="43" spans="1:51" x14ac:dyDescent="0.35">
      <c r="A43" s="12" t="s">
        <v>134</v>
      </c>
      <c r="B43" s="13" t="s">
        <v>36</v>
      </c>
      <c r="C43" s="14" t="s">
        <v>37</v>
      </c>
      <c r="D43">
        <f>VLOOKUP(all_lmics18[[Setting]:[Setting]],populations[],9,FALSE)</f>
        <v>436330</v>
      </c>
      <c r="E43">
        <f>VLOOKUP(all_lmics18[[Setting]:[Setting]],birthrate[],3,FALSE)</f>
        <v>1.8269999999999998E-2</v>
      </c>
      <c r="F43">
        <f>all_lmics18[[#This Row],[2017_population]]*all_lmics18[[#This Row],[2016_birthrate]]</f>
        <v>7971.7490999999991</v>
      </c>
      <c r="G43">
        <f>VLOOKUP(all_lmics18[[Setting]:[Setting]],birthdose[],4,FALSE)</f>
        <v>0.99</v>
      </c>
      <c r="H43">
        <f>VLOOKUP(all_lmics18[[Setting]:[Setting]],fullvax[],4,FALSE)</f>
        <v>0.99</v>
      </c>
      <c r="I43">
        <f>IFERROR(VLOOKUP(all_lmics18[[Setting]:[Setting]],prev[],3,FALSE),VLOOKUP(all_lmics18[[who_choice_region]:[who_choice_region]],missing[],2,FALSE))</f>
        <v>2.9042976123168401E-2</v>
      </c>
      <c r="J43">
        <f>IFERROR(VLOOKUP(all_lmics18[[Setting]:[Setting]],prev[],4,FALSE),VLOOKUP(all_lmics18[[who_choice_region]:[who_choice_region]],missing[],3,FALSE))</f>
        <v>2.3703460291678725E-2</v>
      </c>
      <c r="K43">
        <f>IFERROR(VLOOKUP(all_lmics18[[Setting]:[Setting]],prev[],5,FALSE),VLOOKUP(all_lmics18[[who_choice_region]:[who_choice_region]],missing[],4,FALSE))</f>
        <v>3.2561757047722864E-2</v>
      </c>
      <c r="L43">
        <f>IFERROR(VLOOKUP(all_lmics18[[Setting]:[Setting]],prev[],7,FALSE),VLOOKUP(all_lmics18[[who_choice_region]:[who_choice_region]],missing[],5,FALSE))</f>
        <v>1.7952963900788081E-3</v>
      </c>
      <c r="M43">
        <f>IFERROR(VLOOKUP(all_lmics18[[Setting]:[Setting]],prev[],6,FALSE),0)</f>
        <v>0</v>
      </c>
      <c r="N43">
        <f>IFERROR(VLOOKUP(all_lmics18[[Setting]:[Setting]],SBA[],4,FALSE),VLOOKUP(all_lmics18[[who_choice_region]:[who_choice_region]],missing[],6,FALSE))</f>
        <v>0.95599999999999996</v>
      </c>
      <c r="O43">
        <f>IFERROR(VLOOKUP(all_lmics18[[Setting]:[Setting]], facility[], 3,FALSE),VLOOKUP(all_lmics18[[who_choice_region]:[who_choice_region]],missing[],7,FALSE))</f>
        <v>0.95099999999999996</v>
      </c>
      <c r="P43">
        <f>IF(VLOOKUP(all_lmics18[[Setting]:[Setting]],all_cause_mort[],4,FALSE)="",VLOOKUP(all_lmics18[[who_choice_region]:[who_choice_region]],missing[],8,FALSE),VLOOKUP(all_lmics18[[Setting]:[Setting]],all_cause_mort[],4,FALSE))</f>
        <v>6.8079344999999996E-3</v>
      </c>
      <c r="Q43">
        <f>IF(VLOOKUP(all_lmics18[[Setting]:[Setting]],all_cause_mort[],5,FALSE)="",VLOOKUP(all_lmics18[[who_choice_region]:[who_choice_region]],missing[],9,FALSE),VLOOKUP(all_lmics18[[Setting]:[Setting]],all_cause_mort[],5,FALSE))</f>
        <v>2.914374E-4</v>
      </c>
      <c r="R43">
        <f>IF(VLOOKUP(all_lmics18[[Setting]:[Setting]],all_cause_mort[],6,FALSE)="",VLOOKUP(all_lmics18[[who_choice_region]:[who_choice_region]],missing[],10,FALSE),VLOOKUP(all_lmics18[[Setting]:[Setting]],all_cause_mort[],6,FALSE))</f>
        <v>2.5276326999999998E-4</v>
      </c>
      <c r="S43">
        <f>IF(VLOOKUP(all_lmics18[[Setting]:[Setting]],all_cause_mort[],7,FALSE)="",VLOOKUP(all_lmics18[[who_choice_region]:[who_choice_region]],missing[],11,FALSE),VLOOKUP(all_lmics18[[Setting]:[Setting]],all_cause_mort[],7,FALSE))</f>
        <v>3.3945421000000002E-4</v>
      </c>
      <c r="T43">
        <f>IF(VLOOKUP(all_lmics18[[Setting]:[Setting]],all_cause_mort[],8,FALSE)="",VLOOKUP(all_lmics18[[who_choice_region]:[who_choice_region]],missing[],12,FALSE),VLOOKUP(all_lmics18[[Setting]:[Setting]],all_cause_mort[],8,FALSE))</f>
        <v>3.4664420000000002E-4</v>
      </c>
      <c r="U43">
        <f>IF(VLOOKUP(all_lmics18[[Setting]:[Setting]],all_cause_mort[],9,FALSE)="",VLOOKUP(all_lmics18[[who_choice_region]:[who_choice_region]],missing[],13,FALSE),VLOOKUP(all_lmics18[[Setting]:[Setting]],all_cause_mort[],9,FALSE))</f>
        <v>5.0744178E-4</v>
      </c>
      <c r="V43">
        <f>IF(VLOOKUP(all_lmics18[[Setting]:[Setting]],all_cause_mort[],10,FALSE)="",VLOOKUP(all_lmics18[[who_choice_region]:[who_choice_region]],missing[],14,FALSE),VLOOKUP(all_lmics18[[Setting]:[Setting]],all_cause_mort[],10,FALSE))</f>
        <v>4.7114983000000002E-4</v>
      </c>
      <c r="W43">
        <f>IF(VLOOKUP(all_lmics18[[Setting]:[Setting]],all_cause_mort[],11,FALSE)="",VLOOKUP(all_lmics18[[who_choice_region]:[who_choice_region]],missing[],15,FALSE),VLOOKUP(all_lmics18[[Setting]:[Setting]],all_cause_mort[],11,FALSE))</f>
        <v>5.2682086999999999E-4</v>
      </c>
      <c r="X43">
        <f>IF(VLOOKUP(all_lmics18[[Setting]:[Setting]],all_cause_mort[],12,FALSE)="",VLOOKUP(all_lmics18[[who_choice_region]:[who_choice_region]],missing[],16,FALSE),VLOOKUP(all_lmics18[[Setting]:[Setting]],all_cause_mort[],12,FALSE))</f>
        <v>5.8680513000000005E-4</v>
      </c>
      <c r="Y43">
        <f>IF(VLOOKUP(all_lmics18[[Setting]:[Setting]],all_cause_mort[],13,FALSE)="",VLOOKUP(all_lmics18[[who_choice_region]:[who_choice_region]],missing[],17,FALSE),VLOOKUP(all_lmics18[[Setting]:[Setting]],all_cause_mort[],13,FALSE))</f>
        <v>9.3597839000000003E-4</v>
      </c>
      <c r="Z43">
        <f>IF(VLOOKUP(all_lmics18[[Setting]:[Setting]],all_cause_mort[],14,FALSE)="",VLOOKUP(all_lmics18[[who_choice_region]:[who_choice_region]],missing[],18,FALSE),VLOOKUP(all_lmics18[[Setting]:[Setting]],all_cause_mort[],14,FALSE))</f>
        <v>1.651418E-3</v>
      </c>
      <c r="AA43">
        <f>IF(VLOOKUP(all_lmics18[[Setting]:[Setting]],all_cause_mort[],15,FALSE)="",VLOOKUP(all_lmics18[[who_choice_region]:[who_choice_region]],missing[],19,FALSE),VLOOKUP(all_lmics18[[Setting]:[Setting]],all_cause_mort[],15,FALSE))</f>
        <v>2.4051560999999999E-3</v>
      </c>
      <c r="AB43">
        <f>IF(VLOOKUP(all_lmics18[[Setting]:[Setting]],all_cause_mort[],16,FALSE)="",VLOOKUP(all_lmics18[[who_choice_region]:[who_choice_region]],missing[],20,FALSE),VLOOKUP(all_lmics18[[Setting]:[Setting]],all_cause_mort[],16,FALSE))</f>
        <v>4.6543225000000004E-3</v>
      </c>
      <c r="AC43">
        <f>IF(VLOOKUP(all_lmics18[[Setting]:[Setting]],all_cause_mort[],17,FALSE)="",VLOOKUP(all_lmics18[[who_choice_region]:[who_choice_region]],missing[],21,FALSE),VLOOKUP(all_lmics18[[Setting]:[Setting]],all_cause_mort[],17,FALSE))</f>
        <v>8.7700704999999993E-3</v>
      </c>
      <c r="AD43">
        <f>IF(VLOOKUP(all_lmics18[[Setting]:[Setting]],all_cause_mort[],18,FALSE)="",VLOOKUP(all_lmics18[[who_choice_region]:[who_choice_region]],missing[],22,FALSE),VLOOKUP(all_lmics18[[Setting]:[Setting]],all_cause_mort[],18,FALSE))</f>
        <v>1.6718212999999999E-2</v>
      </c>
      <c r="AE43">
        <f>IF(VLOOKUP(all_lmics18[[Setting]:[Setting]],all_cause_mort[],19,FALSE)="",VLOOKUP(all_lmics18[[who_choice_region]:[who_choice_region]],missing[],23,FALSE),VLOOKUP(all_lmics18[[Setting]:[Setting]],all_cause_mort[],19,FALSE))</f>
        <v>3.1887067999999998E-2</v>
      </c>
      <c r="AF43">
        <f>IF(VLOOKUP(all_lmics18[[Setting]:[Setting]],all_cause_mort[],20,FALSE)="",VLOOKUP(all_lmics18[[who_choice_region]:[who_choice_region]],missing[],24,FALSE),VLOOKUP(all_lmics18[[Setting]:[Setting]],all_cause_mort[],20,FALSE))</f>
        <v>6.1026348000000001E-2</v>
      </c>
      <c r="AG43">
        <f>IF(VLOOKUP(all_lmics18[[Setting]:[Setting]],all_cause_mort[],21,FALSE)="",VLOOKUP(all_lmics18[[who_choice_region]:[who_choice_region]],missing[],25,FALSE),VLOOKUP(all_lmics18[[Setting]:[Setting]],all_cause_mort[],21,FALSE))</f>
        <v>8.8699718999999996E-2</v>
      </c>
      <c r="AH43">
        <f>IF(VLOOKUP(all_lmics18[[Setting]:[Setting]],all_cause_mort[],22,FALSE)="",VLOOKUP(all_lmics18[[who_choice_region]:[who_choice_region]],missing[],26,FALSE),VLOOKUP(all_lmics18[[Setting]:[Setting]],all_cause_mort[],22,FALSE))</f>
        <v>0.13225489000000001</v>
      </c>
      <c r="AI43">
        <f>IF(VLOOKUP(all_lmics18[[Setting]:[Setting]],all_cause_mort[],23,FALSE)="",VLOOKUP(all_lmics18[[who_choice_region]:[who_choice_region]],missing[],27,FALSE),VLOOKUP(all_lmics18[[Setting]:[Setting]],all_cause_mort[],23,FALSE))</f>
        <v>0.18909703</v>
      </c>
      <c r="AJ43">
        <f>IF(VLOOKUP(all_lmics18[[Setting]:[Setting]],all_cause_mort[],24,FALSE)="",VLOOKUP(all_lmics18[[who_choice_region]:[who_choice_region]],missing[],28,FALSE),VLOOKUP(all_lmics18[[Setting]:[Setting]],all_cause_mort[],24,FALSE))</f>
        <v>0.25758950000000003</v>
      </c>
      <c r="AK43">
        <f>IF(VLOOKUP(all_lmics18[[Setting]:[Setting]],all_cause_mort[],25,FALSE)="",VLOOKUP(all_lmics18[[who_choice_region]:[who_choice_region]],missing[],29,FALSE),VLOOKUP(all_lmics18[[Setting]:[Setting]],all_cause_mort[],25,FALSE))</f>
        <v>0.36025341377936199</v>
      </c>
      <c r="AL43">
        <f>VLOOKUP(all_lmics18[[worldbank_region]:[worldbank_region]],Table13[],2,FALSE)</f>
        <v>57.361807999999996</v>
      </c>
      <c r="AM43">
        <f>VLOOKUP(all_lmics18[[worldbank_region]:[worldbank_region]],Table13[],3,FALSE)</f>
        <v>57.361807999999996</v>
      </c>
      <c r="AN43">
        <f>VLOOKUP(all_lmics18[[worldbank_region]:[worldbank_region]],Table13[],4,FALSE)</f>
        <v>105.09066799999999</v>
      </c>
      <c r="AO43">
        <f>VLOOKUP(all_lmics18[[worldbank_region]:[worldbank_region]],Table13[],5,FALSE)</f>
        <v>105.09066799999999</v>
      </c>
      <c r="AP43">
        <f>VLOOKUP(all_lmics18[[worldbank_region]:[worldbank_region]],Table13[],6,FALSE)</f>
        <v>105.09066799999999</v>
      </c>
      <c r="AQ43">
        <f>VLOOKUP(all_lmics18[[worldbank_region]:[worldbank_region]],Table14[],2,FALSE)</f>
        <v>0.95889500000000005</v>
      </c>
      <c r="AR43">
        <f>VLOOKUP(all_lmics18[[worldbank_region]:[worldbank_region]],Table14[],3,FALSE)</f>
        <v>1.5763950000000002</v>
      </c>
      <c r="AS43">
        <f>VLOOKUP(all_lmics18[[worldbank_region]:[worldbank_region]],Table14[],4,FALSE)</f>
        <v>33.028765999999997</v>
      </c>
      <c r="AT43">
        <f>VLOOKUP(all_lmics18[[worldbank_region]:[worldbank_region]],Table14[],5,FALSE)</f>
        <v>33.646265999999997</v>
      </c>
      <c r="AU43">
        <f>VLOOKUP(all_lmics18[[worldbank_region]:[worldbank_region]],Table14[],6,FALSE)</f>
        <v>34.216518000000001</v>
      </c>
      <c r="AV43">
        <f>IFERROR(VLOOKUP(all_lmics18[[Setting]:[Setting]],nFacSBA[],4,FALSE),VLOOKUP(all_lmics18[[who_choice_region]:[who_choice_region]],missing[],30,FALSE))</f>
        <v>0.39605167958656334</v>
      </c>
      <c r="AW43">
        <f>VLOOKUP(all_lmics18[[worldbank_region]:[worldbank_region]],hbe[],2)</f>
        <v>0.3</v>
      </c>
      <c r="AX43">
        <f>VLOOKUP(all_lmics18[[worldbank_region]:[worldbank_region]],hbe[],5)</f>
        <v>0.875</v>
      </c>
      <c r="AY43">
        <f>VLOOKUP(all_lmics18[[worldbank_region]:[worldbank_region]],hbe[],8)</f>
        <v>0.15</v>
      </c>
    </row>
    <row r="44" spans="1:51" x14ac:dyDescent="0.35">
      <c r="A44" s="8" t="s">
        <v>137</v>
      </c>
      <c r="B44" s="10" t="s">
        <v>57</v>
      </c>
      <c r="C44" s="11" t="s">
        <v>58</v>
      </c>
      <c r="D44">
        <f>VLOOKUP(all_lmics18[[Setting]:[Setting]],populations[],9,FALSE)</f>
        <v>53127</v>
      </c>
      <c r="E44">
        <f>VLOOKUP(all_lmics18[[Setting]:[Setting]],birthrate[],3,FALSE)</f>
        <v>2.4399999999999998E-2</v>
      </c>
      <c r="F44">
        <f>all_lmics18[[#This Row],[2017_population]]*all_lmics18[[#This Row],[2016_birthrate]]</f>
        <v>1296.2987999999998</v>
      </c>
      <c r="G44">
        <f>VLOOKUP(all_lmics18[[Setting]:[Setting]],birthdose[],4,FALSE)</f>
        <v>0.97</v>
      </c>
      <c r="H44">
        <f>VLOOKUP(all_lmics18[[Setting]:[Setting]],fullvax[],4,FALSE)</f>
        <v>0.82</v>
      </c>
      <c r="I44">
        <f>IFERROR(VLOOKUP(all_lmics18[[Setting]:[Setting]],prev[],3,FALSE),VLOOKUP(all_lmics18[[who_choice_region]:[who_choice_region]],missing[],2,FALSE))</f>
        <v>7.8E-2</v>
      </c>
      <c r="J44">
        <f>IFERROR(VLOOKUP(all_lmics18[[Setting]:[Setting]],prev[],4,FALSE),VLOOKUP(all_lmics18[[who_choice_region]:[who_choice_region]],missing[],3,FALSE))</f>
        <v>6.1400000000000003E-2</v>
      </c>
      <c r="K44">
        <f>IFERROR(VLOOKUP(all_lmics18[[Setting]:[Setting]],prev[],5,FALSE),VLOOKUP(all_lmics18[[who_choice_region]:[who_choice_region]],missing[],4,FALSE))</f>
        <v>9.8599999999999993E-2</v>
      </c>
      <c r="L44">
        <f>IFERROR(VLOOKUP(all_lmics18[[Setting]:[Setting]],prev[],7,FALSE),VLOOKUP(all_lmics18[[who_choice_region]:[who_choice_region]],missing[],5,FALSE))</f>
        <v>1.0510204081632649E-2</v>
      </c>
      <c r="M44">
        <f>IFERROR(VLOOKUP(all_lmics18[[Setting]:[Setting]],prev[],6,FALSE),0)</f>
        <v>52425</v>
      </c>
      <c r="N44">
        <f>IFERROR(VLOOKUP(all_lmics18[[Setting]:[Setting]],SBA[],4,FALSE),VLOOKUP(all_lmics18[[who_choice_region]:[who_choice_region]],missing[],6,FALSE))</f>
        <v>0.90099999999999991</v>
      </c>
      <c r="O44">
        <f>IFERROR(VLOOKUP(all_lmics18[[Setting]:[Setting]], facility[], 3,FALSE),VLOOKUP(all_lmics18[[who_choice_region]:[who_choice_region]],missing[],7,FALSE))</f>
        <v>0.85099999999999998</v>
      </c>
      <c r="P44">
        <f>IF(VLOOKUP(all_lmics18[[Setting]:[Setting]],all_cause_mort[],4,FALSE)="",VLOOKUP(all_lmics18[[who_choice_region]:[who_choice_region]],missing[],8,FALSE),VLOOKUP(all_lmics18[[Setting]:[Setting]],all_cause_mort[],4,FALSE))</f>
        <v>1.2171532658710052E-2</v>
      </c>
      <c r="Q44">
        <f>IF(VLOOKUP(all_lmics18[[Setting]:[Setting]],all_cause_mort[],5,FALSE)="",VLOOKUP(all_lmics18[[who_choice_region]:[who_choice_region]],missing[],9,FALSE),VLOOKUP(all_lmics18[[Setting]:[Setting]],all_cause_mort[],5,FALSE))</f>
        <v>6.8368448875387184E-4</v>
      </c>
      <c r="R44">
        <f>IF(VLOOKUP(all_lmics18[[Setting]:[Setting]],all_cause_mort[],6,FALSE)="",VLOOKUP(all_lmics18[[who_choice_region]:[who_choice_region]],missing[],10,FALSE),VLOOKUP(all_lmics18[[Setting]:[Setting]],all_cause_mort[],6,FALSE))</f>
        <v>3.8826325725348779E-4</v>
      </c>
      <c r="S44">
        <f>IF(VLOOKUP(all_lmics18[[Setting]:[Setting]],all_cause_mort[],7,FALSE)="",VLOOKUP(all_lmics18[[who_choice_region]:[who_choice_region]],missing[],11,FALSE),VLOOKUP(all_lmics18[[Setting]:[Setting]],all_cause_mort[],7,FALSE))</f>
        <v>3.067218710013588E-4</v>
      </c>
      <c r="T44">
        <f>IF(VLOOKUP(all_lmics18[[Setting]:[Setting]],all_cause_mort[],8,FALSE)="",VLOOKUP(all_lmics18[[who_choice_region]:[who_choice_region]],missing[],12,FALSE),VLOOKUP(all_lmics18[[Setting]:[Setting]],all_cause_mort[],8,FALSE))</f>
        <v>4.9254866058896438E-4</v>
      </c>
      <c r="U44">
        <f>IF(VLOOKUP(all_lmics18[[Setting]:[Setting]],all_cause_mort[],9,FALSE)="",VLOOKUP(all_lmics18[[who_choice_region]:[who_choice_region]],missing[],13,FALSE),VLOOKUP(all_lmics18[[Setting]:[Setting]],all_cause_mort[],9,FALSE))</f>
        <v>6.8616198707337195E-4</v>
      </c>
      <c r="V44">
        <f>IF(VLOOKUP(all_lmics18[[Setting]:[Setting]],all_cause_mort[],10,FALSE)="",VLOOKUP(all_lmics18[[who_choice_region]:[who_choice_region]],missing[],14,FALSE),VLOOKUP(all_lmics18[[Setting]:[Setting]],all_cause_mort[],10,FALSE))</f>
        <v>8.5498135156451523E-4</v>
      </c>
      <c r="W44">
        <f>IF(VLOOKUP(all_lmics18[[Setting]:[Setting]],all_cause_mort[],11,FALSE)="",VLOOKUP(all_lmics18[[who_choice_region]:[who_choice_region]],missing[],15,FALSE),VLOOKUP(all_lmics18[[Setting]:[Setting]],all_cause_mort[],11,FALSE))</f>
        <v>1.0646977878212504E-3</v>
      </c>
      <c r="X44">
        <f>IF(VLOOKUP(all_lmics18[[Setting]:[Setting]],all_cause_mort[],12,FALSE)="",VLOOKUP(all_lmics18[[who_choice_region]:[who_choice_region]],missing[],16,FALSE),VLOOKUP(all_lmics18[[Setting]:[Setting]],all_cause_mort[],12,FALSE))</f>
        <v>1.3706185041209306E-3</v>
      </c>
      <c r="Y44">
        <f>IF(VLOOKUP(all_lmics18[[Setting]:[Setting]],all_cause_mort[],13,FALSE)="",VLOOKUP(all_lmics18[[who_choice_region]:[who_choice_region]],missing[],17,FALSE),VLOOKUP(all_lmics18[[Setting]:[Setting]],all_cause_mort[],13,FALSE))</f>
        <v>1.9338704394827476E-3</v>
      </c>
      <c r="Z44">
        <f>IF(VLOOKUP(all_lmics18[[Setting]:[Setting]],all_cause_mort[],14,FALSE)="",VLOOKUP(all_lmics18[[who_choice_region]:[who_choice_region]],missing[],18,FALSE),VLOOKUP(all_lmics18[[Setting]:[Setting]],all_cause_mort[],14,FALSE))</f>
        <v>2.8449210534799521E-3</v>
      </c>
      <c r="AA44">
        <f>IF(VLOOKUP(all_lmics18[[Setting]:[Setting]],all_cause_mort[],15,FALSE)="",VLOOKUP(all_lmics18[[who_choice_region]:[who_choice_region]],missing[],19,FALSE),VLOOKUP(all_lmics18[[Setting]:[Setting]],all_cause_mort[],15,FALSE))</f>
        <v>4.5397258475201952E-3</v>
      </c>
      <c r="AB44">
        <f>IF(VLOOKUP(all_lmics18[[Setting]:[Setting]],all_cause_mort[],16,FALSE)="",VLOOKUP(all_lmics18[[who_choice_region]:[who_choice_region]],missing[],20,FALSE),VLOOKUP(all_lmics18[[Setting]:[Setting]],all_cause_mort[],16,FALSE))</f>
        <v>7.2925005763066087E-3</v>
      </c>
      <c r="AC44">
        <f>IF(VLOOKUP(all_lmics18[[Setting]:[Setting]],all_cause_mort[],17,FALSE)="",VLOOKUP(all_lmics18[[who_choice_region]:[who_choice_region]],missing[],21,FALSE),VLOOKUP(all_lmics18[[Setting]:[Setting]],all_cause_mort[],17,FALSE))</f>
        <v>1.2430011174391166E-2</v>
      </c>
      <c r="AD44">
        <f>IF(VLOOKUP(all_lmics18[[Setting]:[Setting]],all_cause_mort[],18,FALSE)="",VLOOKUP(all_lmics18[[who_choice_region]:[who_choice_region]],missing[],22,FALSE),VLOOKUP(all_lmics18[[Setting]:[Setting]],all_cause_mort[],18,FALSE))</f>
        <v>2.1225223566410715E-2</v>
      </c>
      <c r="AE44">
        <f>IF(VLOOKUP(all_lmics18[[Setting]:[Setting]],all_cause_mort[],19,FALSE)="",VLOOKUP(all_lmics18[[who_choice_region]:[who_choice_region]],missing[],23,FALSE),VLOOKUP(all_lmics18[[Setting]:[Setting]],all_cause_mort[],19,FALSE))</f>
        <v>3.7100898613842075E-2</v>
      </c>
      <c r="AF44">
        <f>IF(VLOOKUP(all_lmics18[[Setting]:[Setting]],all_cause_mort[],20,FALSE)="",VLOOKUP(all_lmics18[[who_choice_region]:[who_choice_region]],missing[],24,FALSE),VLOOKUP(all_lmics18[[Setting]:[Setting]],all_cause_mort[],20,FALSE))</f>
        <v>6.1505862954745437E-2</v>
      </c>
      <c r="AG44">
        <f>IF(VLOOKUP(all_lmics18[[Setting]:[Setting]],all_cause_mort[],21,FALSE)="",VLOOKUP(all_lmics18[[who_choice_region]:[who_choice_region]],missing[],25,FALSE),VLOOKUP(all_lmics18[[Setting]:[Setting]],all_cause_mort[],21,FALSE))</f>
        <v>9.4870341219730828E-2</v>
      </c>
      <c r="AH44">
        <f>IF(VLOOKUP(all_lmics18[[Setting]:[Setting]],all_cause_mort[],22,FALSE)="",VLOOKUP(all_lmics18[[who_choice_region]:[who_choice_region]],missing[],26,FALSE),VLOOKUP(all_lmics18[[Setting]:[Setting]],all_cause_mort[],22,FALSE))</f>
        <v>0.14693633977770637</v>
      </c>
      <c r="AI44">
        <f>IF(VLOOKUP(all_lmics18[[Setting]:[Setting]],all_cause_mort[],23,FALSE)="",VLOOKUP(all_lmics18[[who_choice_region]:[who_choice_region]],missing[],27,FALSE),VLOOKUP(all_lmics18[[Setting]:[Setting]],all_cause_mort[],23,FALSE))</f>
        <v>0.21054250727883506</v>
      </c>
      <c r="AJ44">
        <f>IF(VLOOKUP(all_lmics18[[Setting]:[Setting]],all_cause_mort[],24,FALSE)="",VLOOKUP(all_lmics18[[who_choice_region]:[who_choice_region]],missing[],28,FALSE),VLOOKUP(all_lmics18[[Setting]:[Setting]],all_cause_mort[],24,FALSE))</f>
        <v>0.28760691487723716</v>
      </c>
      <c r="AK44">
        <f>IF(VLOOKUP(all_lmics18[[Setting]:[Setting]],all_cause_mort[],25,FALSE)="",VLOOKUP(all_lmics18[[who_choice_region]:[who_choice_region]],missing[],29,FALSE),VLOOKUP(all_lmics18[[Setting]:[Setting]],all_cause_mort[],25,FALSE))</f>
        <v>0.36209791606833291</v>
      </c>
      <c r="AL44">
        <f>VLOOKUP(all_lmics18[[worldbank_region]:[worldbank_region]],Table13[],2,FALSE)</f>
        <v>73.064384999999987</v>
      </c>
      <c r="AM44">
        <f>VLOOKUP(all_lmics18[[worldbank_region]:[worldbank_region]],Table13[],3,FALSE)</f>
        <v>73.064384999999987</v>
      </c>
      <c r="AN44">
        <f>VLOOKUP(all_lmics18[[worldbank_region]:[worldbank_region]],Table13[],4,FALSE)</f>
        <v>120.79324499999998</v>
      </c>
      <c r="AO44">
        <f>VLOOKUP(all_lmics18[[worldbank_region]:[worldbank_region]],Table13[],5,FALSE)</f>
        <v>120.79324499999998</v>
      </c>
      <c r="AP44">
        <f>VLOOKUP(all_lmics18[[worldbank_region]:[worldbank_region]],Table13[],6,FALSE)</f>
        <v>120.79324499999998</v>
      </c>
      <c r="AQ44">
        <f>VLOOKUP(all_lmics18[[worldbank_region]:[worldbank_region]],Table14[],2,FALSE)</f>
        <v>1.34029</v>
      </c>
      <c r="AR44">
        <f>VLOOKUP(all_lmics18[[worldbank_region]:[worldbank_region]],Table14[],3,FALSE)</f>
        <v>1.9577900000000001</v>
      </c>
      <c r="AS44">
        <f>VLOOKUP(all_lmics18[[worldbank_region]:[worldbank_region]],Table14[],4,FALSE)</f>
        <v>1.9723159999999997</v>
      </c>
      <c r="AT44">
        <f>VLOOKUP(all_lmics18[[worldbank_region]:[worldbank_region]],Table14[],5,FALSE)</f>
        <v>2.5898159999999999</v>
      </c>
      <c r="AU44">
        <f>VLOOKUP(all_lmics18[[worldbank_region]:[worldbank_region]],Table14[],6,FALSE)</f>
        <v>3.1600679999999999</v>
      </c>
      <c r="AV44">
        <f>IFERROR(VLOOKUP(all_lmics18[[Setting]:[Setting]],nFacSBA[],4,FALSE),VLOOKUP(all_lmics18[[who_choice_region]:[who_choice_region]],missing[],30,FALSE))</f>
        <v>0.15985670213371023</v>
      </c>
      <c r="AW44">
        <f>VLOOKUP(all_lmics18[[worldbank_region]:[worldbank_region]],hbe[],2)</f>
        <v>0.3</v>
      </c>
      <c r="AX44">
        <f>VLOOKUP(all_lmics18[[worldbank_region]:[worldbank_region]],hbe[],5)</f>
        <v>0.875</v>
      </c>
      <c r="AY44">
        <f>VLOOKUP(all_lmics18[[worldbank_region]:[worldbank_region]],hbe[],8)</f>
        <v>0.15</v>
      </c>
    </row>
    <row r="45" spans="1:51" x14ac:dyDescent="0.35">
      <c r="A45" s="12" t="s">
        <v>138</v>
      </c>
      <c r="B45" s="13" t="s">
        <v>14</v>
      </c>
      <c r="C45" s="14" t="s">
        <v>15</v>
      </c>
      <c r="D45">
        <f>VLOOKUP(all_lmics18[[Setting]:[Setting]],populations[],9,FALSE)</f>
        <v>4420184</v>
      </c>
      <c r="E45">
        <f>VLOOKUP(all_lmics18[[Setting]:[Setting]],birthrate[],3,FALSE)</f>
        <v>3.4154999999999998E-2</v>
      </c>
      <c r="F45">
        <f>all_lmics18[[#This Row],[2017_population]]*all_lmics18[[#This Row],[2016_birthrate]]</f>
        <v>150971.38451999999</v>
      </c>
      <c r="G45">
        <f>VLOOKUP(all_lmics18[[Setting]:[Setting]],birthdose[],4,FALSE)</f>
        <v>0.57999999999999996</v>
      </c>
      <c r="H45">
        <f>VLOOKUP(all_lmics18[[Setting]:[Setting]],fullvax[],4,FALSE)</f>
        <v>0.81</v>
      </c>
      <c r="I45">
        <f>IFERROR(VLOOKUP(all_lmics18[[Setting]:[Setting]],prev[],3,FALSE),VLOOKUP(all_lmics18[[who_choice_region]:[who_choice_region]],missing[],2,FALSE))</f>
        <v>9.2999999999999999E-2</v>
      </c>
      <c r="J45">
        <f>IFERROR(VLOOKUP(all_lmics18[[Setting]:[Setting]],prev[],4,FALSE),VLOOKUP(all_lmics18[[who_choice_region]:[who_choice_region]],missing[],3,FALSE))</f>
        <v>8.6999999999999994E-2</v>
      </c>
      <c r="K45">
        <f>IFERROR(VLOOKUP(all_lmics18[[Setting]:[Setting]],prev[],5,FALSE),VLOOKUP(all_lmics18[[who_choice_region]:[who_choice_region]],missing[],4,FALSE))</f>
        <v>0.10199999999999999</v>
      </c>
      <c r="L45">
        <f>IFERROR(VLOOKUP(all_lmics18[[Setting]:[Setting]],prev[],7,FALSE),VLOOKUP(all_lmics18[[who_choice_region]:[who_choice_region]],missing[],5,FALSE))</f>
        <v>4.5918367346938745E-3</v>
      </c>
      <c r="M45">
        <f>IFERROR(VLOOKUP(all_lmics18[[Setting]:[Setting]],prev[],6,FALSE),0)</f>
        <v>4420184</v>
      </c>
      <c r="N45">
        <f>IFERROR(VLOOKUP(all_lmics18[[Setting]:[Setting]],SBA[],4,FALSE),VLOOKUP(all_lmics18[[who_choice_region]:[who_choice_region]],missing[],6,FALSE))</f>
        <v>0.69299999999999995</v>
      </c>
      <c r="O45">
        <f>IFERROR(VLOOKUP(all_lmics18[[Setting]:[Setting]], facility[], 3,FALSE),VLOOKUP(all_lmics18[[who_choice_region]:[who_choice_region]],missing[],7,FALSE))</f>
        <v>0.69299999999999995</v>
      </c>
      <c r="P45">
        <f>IF(VLOOKUP(all_lmics18[[Setting]:[Setting]],all_cause_mort[],4,FALSE)="",VLOOKUP(all_lmics18[[who_choice_region]:[who_choice_region]],missing[],8,FALSE),VLOOKUP(all_lmics18[[Setting]:[Setting]],all_cause_mort[],4,FALSE))</f>
        <v>5.5841769999999999E-2</v>
      </c>
      <c r="Q45">
        <f>IF(VLOOKUP(all_lmics18[[Setting]:[Setting]],all_cause_mort[],5,FALSE)="",VLOOKUP(all_lmics18[[who_choice_region]:[who_choice_region]],missing[],9,FALSE),VLOOKUP(all_lmics18[[Setting]:[Setting]],all_cause_mort[],5,FALSE))</f>
        <v>6.8215636000000003E-3</v>
      </c>
      <c r="R45">
        <f>IF(VLOOKUP(all_lmics18[[Setting]:[Setting]],all_cause_mort[],6,FALSE)="",VLOOKUP(all_lmics18[[who_choice_region]:[who_choice_region]],missing[],10,FALSE),VLOOKUP(all_lmics18[[Setting]:[Setting]],all_cause_mort[],6,FALSE))</f>
        <v>1.0882108999999999E-3</v>
      </c>
      <c r="S45">
        <f>IF(VLOOKUP(all_lmics18[[Setting]:[Setting]],all_cause_mort[],7,FALSE)="",VLOOKUP(all_lmics18[[who_choice_region]:[who_choice_region]],missing[],11,FALSE),VLOOKUP(all_lmics18[[Setting]:[Setting]],all_cause_mort[],7,FALSE))</f>
        <v>8.5811024000000005E-4</v>
      </c>
      <c r="T45">
        <f>IF(VLOOKUP(all_lmics18[[Setting]:[Setting]],all_cause_mort[],8,FALSE)="",VLOOKUP(all_lmics18[[who_choice_region]:[who_choice_region]],missing[],12,FALSE),VLOOKUP(all_lmics18[[Setting]:[Setting]],all_cause_mort[],8,FALSE))</f>
        <v>1.4149504E-3</v>
      </c>
      <c r="U45">
        <f>IF(VLOOKUP(all_lmics18[[Setting]:[Setting]],all_cause_mort[],9,FALSE)="",VLOOKUP(all_lmics18[[who_choice_region]:[who_choice_region]],missing[],13,FALSE),VLOOKUP(all_lmics18[[Setting]:[Setting]],all_cause_mort[],9,FALSE))</f>
        <v>1.9838843000000001E-3</v>
      </c>
      <c r="V45">
        <f>IF(VLOOKUP(all_lmics18[[Setting]:[Setting]],all_cause_mort[],10,FALSE)="",VLOOKUP(all_lmics18[[who_choice_region]:[who_choice_region]],missing[],14,FALSE),VLOOKUP(all_lmics18[[Setting]:[Setting]],all_cause_mort[],10,FALSE))</f>
        <v>2.1537700000000002E-3</v>
      </c>
      <c r="W45">
        <f>IF(VLOOKUP(all_lmics18[[Setting]:[Setting]],all_cause_mort[],11,FALSE)="",VLOOKUP(all_lmics18[[who_choice_region]:[who_choice_region]],missing[],15,FALSE),VLOOKUP(all_lmics18[[Setting]:[Setting]],all_cause_mort[],11,FALSE))</f>
        <v>2.473065E-3</v>
      </c>
      <c r="X45">
        <f>IF(VLOOKUP(all_lmics18[[Setting]:[Setting]],all_cause_mort[],12,FALSE)="",VLOOKUP(all_lmics18[[who_choice_region]:[who_choice_region]],missing[],16,FALSE),VLOOKUP(all_lmics18[[Setting]:[Setting]],all_cause_mort[],12,FALSE))</f>
        <v>3.1135453000000002E-3</v>
      </c>
      <c r="Y45">
        <f>IF(VLOOKUP(all_lmics18[[Setting]:[Setting]],all_cause_mort[],13,FALSE)="",VLOOKUP(all_lmics18[[who_choice_region]:[who_choice_region]],missing[],17,FALSE),VLOOKUP(all_lmics18[[Setting]:[Setting]],all_cause_mort[],13,FALSE))</f>
        <v>4.2108652999999999E-3</v>
      </c>
      <c r="Z45">
        <f>IF(VLOOKUP(all_lmics18[[Setting]:[Setting]],all_cause_mort[],14,FALSE)="",VLOOKUP(all_lmics18[[who_choice_region]:[who_choice_region]],missing[],18,FALSE),VLOOKUP(all_lmics18[[Setting]:[Setting]],all_cause_mort[],14,FALSE))</f>
        <v>6.0922872000000001E-3</v>
      </c>
      <c r="AA45">
        <f>IF(VLOOKUP(all_lmics18[[Setting]:[Setting]],all_cause_mort[],15,FALSE)="",VLOOKUP(all_lmics18[[who_choice_region]:[who_choice_region]],missing[],19,FALSE),VLOOKUP(all_lmics18[[Setting]:[Setting]],all_cause_mort[],15,FALSE))</f>
        <v>9.0769808000000004E-3</v>
      </c>
      <c r="AB45">
        <f>IF(VLOOKUP(all_lmics18[[Setting]:[Setting]],all_cause_mort[],16,FALSE)="",VLOOKUP(all_lmics18[[who_choice_region]:[who_choice_region]],missing[],20,FALSE),VLOOKUP(all_lmics18[[Setting]:[Setting]],all_cause_mort[],16,FALSE))</f>
        <v>1.3741487E-2</v>
      </c>
      <c r="AC45">
        <f>IF(VLOOKUP(all_lmics18[[Setting]:[Setting]],all_cause_mort[],17,FALSE)="",VLOOKUP(all_lmics18[[who_choice_region]:[who_choice_region]],missing[],21,FALSE),VLOOKUP(all_lmics18[[Setting]:[Setting]],all_cause_mort[],17,FALSE))</f>
        <v>2.1278012999999998E-2</v>
      </c>
      <c r="AD45">
        <f>IF(VLOOKUP(all_lmics18[[Setting]:[Setting]],all_cause_mort[],18,FALSE)="",VLOOKUP(all_lmics18[[who_choice_region]:[who_choice_region]],missing[],22,FALSE),VLOOKUP(all_lmics18[[Setting]:[Setting]],all_cause_mort[],18,FALSE))</f>
        <v>3.3399090999999999E-2</v>
      </c>
      <c r="AE45">
        <f>IF(VLOOKUP(all_lmics18[[Setting]:[Setting]],all_cause_mort[],19,FALSE)="",VLOOKUP(all_lmics18[[who_choice_region]:[who_choice_region]],missing[],23,FALSE),VLOOKUP(all_lmics18[[Setting]:[Setting]],all_cause_mort[],19,FALSE))</f>
        <v>5.3755099000000001E-2</v>
      </c>
      <c r="AF45">
        <f>IF(VLOOKUP(all_lmics18[[Setting]:[Setting]],all_cause_mort[],20,FALSE)="",VLOOKUP(all_lmics18[[who_choice_region]:[who_choice_region]],missing[],24,FALSE),VLOOKUP(all_lmics18[[Setting]:[Setting]],all_cause_mort[],20,FALSE))</f>
        <v>8.6954587E-2</v>
      </c>
      <c r="AG45">
        <f>IF(VLOOKUP(all_lmics18[[Setting]:[Setting]],all_cause_mort[],21,FALSE)="",VLOOKUP(all_lmics18[[who_choice_region]:[who_choice_region]],missing[],25,FALSE),VLOOKUP(all_lmics18[[Setting]:[Setting]],all_cause_mort[],21,FALSE))</f>
        <v>0.14060258</v>
      </c>
      <c r="AH45">
        <f>IF(VLOOKUP(all_lmics18[[Setting]:[Setting]],all_cause_mort[],22,FALSE)="",VLOOKUP(all_lmics18[[who_choice_region]:[who_choice_region]],missing[],26,FALSE),VLOOKUP(all_lmics18[[Setting]:[Setting]],all_cause_mort[],22,FALSE))</f>
        <v>0.21882815999999999</v>
      </c>
      <c r="AI45">
        <f>IF(VLOOKUP(all_lmics18[[Setting]:[Setting]],all_cause_mort[],23,FALSE)="",VLOOKUP(all_lmics18[[who_choice_region]:[who_choice_region]],missing[],27,FALSE),VLOOKUP(all_lmics18[[Setting]:[Setting]],all_cause_mort[],23,FALSE))</f>
        <v>0.31982532000000002</v>
      </c>
      <c r="AJ45">
        <f>IF(VLOOKUP(all_lmics18[[Setting]:[Setting]],all_cause_mort[],24,FALSE)="",VLOOKUP(all_lmics18[[who_choice_region]:[who_choice_region]],missing[],28,FALSE),VLOOKUP(all_lmics18[[Setting]:[Setting]],all_cause_mort[],24,FALSE))</f>
        <v>0.43420660999999999</v>
      </c>
      <c r="AK45">
        <f>IF(VLOOKUP(all_lmics18[[Setting]:[Setting]],all_cause_mort[],25,FALSE)="",VLOOKUP(all_lmics18[[who_choice_region]:[who_choice_region]],missing[],29,FALSE),VLOOKUP(all_lmics18[[Setting]:[Setting]],all_cause_mort[],25,FALSE))</f>
        <v>0.57568585053410704</v>
      </c>
      <c r="AL45">
        <f>VLOOKUP(all_lmics18[[worldbank_region]:[worldbank_region]],Table13[],2,FALSE)</f>
        <v>29.912264999999998</v>
      </c>
      <c r="AM45">
        <f>VLOOKUP(all_lmics18[[worldbank_region]:[worldbank_region]],Table13[],3,FALSE)</f>
        <v>29.912264999999998</v>
      </c>
      <c r="AN45">
        <f>VLOOKUP(all_lmics18[[worldbank_region]:[worldbank_region]],Table13[],4,FALSE)</f>
        <v>77.641124999999988</v>
      </c>
      <c r="AO45">
        <f>VLOOKUP(all_lmics18[[worldbank_region]:[worldbank_region]],Table13[],5,FALSE)</f>
        <v>77.641124999999988</v>
      </c>
      <c r="AP45">
        <f>VLOOKUP(all_lmics18[[worldbank_region]:[worldbank_region]],Table13[],6,FALSE)</f>
        <v>77.641124999999988</v>
      </c>
      <c r="AQ45">
        <f>VLOOKUP(all_lmics18[[worldbank_region]:[worldbank_region]],Table14[],2,FALSE)</f>
        <v>0.96979199999999999</v>
      </c>
      <c r="AR45">
        <f>VLOOKUP(all_lmics18[[worldbank_region]:[worldbank_region]],Table14[],3,FALSE)</f>
        <v>1.5872920000000001</v>
      </c>
      <c r="AS45">
        <f>VLOOKUP(all_lmics18[[worldbank_region]:[worldbank_region]],Table14[],4,FALSE)</f>
        <v>5.7971629999999994</v>
      </c>
      <c r="AT45">
        <f>VLOOKUP(all_lmics18[[worldbank_region]:[worldbank_region]],Table14[],5,FALSE)</f>
        <v>6.4146629999999991</v>
      </c>
      <c r="AU45">
        <f>VLOOKUP(all_lmics18[[worldbank_region]:[worldbank_region]],Table14[],6,FALSE)</f>
        <v>6.9849149999999991</v>
      </c>
      <c r="AV45">
        <f>IFERROR(VLOOKUP(all_lmics18[[Setting]:[Setting]],nFacSBA[],4,FALSE),VLOOKUP(all_lmics18[[who_choice_region]:[who_choice_region]],missing[],30,FALSE))</f>
        <v>6.9182077263473599E-2</v>
      </c>
      <c r="AW45">
        <f>VLOOKUP(all_lmics18[[worldbank_region]:[worldbank_region]],hbe[],2)</f>
        <v>0.3</v>
      </c>
      <c r="AX45">
        <f>VLOOKUP(all_lmics18[[worldbank_region]:[worldbank_region]],hbe[],5)</f>
        <v>0.875</v>
      </c>
      <c r="AY45">
        <f>VLOOKUP(all_lmics18[[worldbank_region]:[worldbank_region]],hbe[],8)</f>
        <v>0.15</v>
      </c>
    </row>
    <row r="46" spans="1:51" x14ac:dyDescent="0.35">
      <c r="A46" s="12" t="s">
        <v>140</v>
      </c>
      <c r="B46" s="13" t="s">
        <v>22</v>
      </c>
      <c r="C46" s="14" t="s">
        <v>383</v>
      </c>
      <c r="D46">
        <f>VLOOKUP(all_lmics18[[Setting]:[Setting]],populations[],9,FALSE)</f>
        <v>129163276</v>
      </c>
      <c r="E46">
        <f>VLOOKUP(all_lmics18[[Setting]:[Setting]],birthrate[],3,FALSE)</f>
        <v>1.8172999999999998E-2</v>
      </c>
      <c r="F46">
        <f>all_lmics18[[#This Row],[2017_population]]*all_lmics18[[#This Row],[2016_birthrate]]</f>
        <v>2347284.2147479998</v>
      </c>
      <c r="G46">
        <f>VLOOKUP(all_lmics18[[Setting]:[Setting]],birthdose[],4,FALSE)</f>
        <v>0.98</v>
      </c>
      <c r="H46">
        <f>VLOOKUP(all_lmics18[[Setting]:[Setting]],fullvax[],4,FALSE)</f>
        <v>0.93</v>
      </c>
      <c r="I46">
        <f>IFERROR(VLOOKUP(all_lmics18[[Setting]:[Setting]],prev[],3,FALSE),VLOOKUP(all_lmics18[[who_choice_region]:[who_choice_region]],missing[],2,FALSE))</f>
        <v>1E-3</v>
      </c>
      <c r="J46">
        <f>IFERROR(VLOOKUP(all_lmics18[[Setting]:[Setting]],prev[],4,FALSE),VLOOKUP(all_lmics18[[who_choice_region]:[who_choice_region]],missing[],3,FALSE))</f>
        <v>1E-3</v>
      </c>
      <c r="K46">
        <f>IFERROR(VLOOKUP(all_lmics18[[Setting]:[Setting]],prev[],5,FALSE),VLOOKUP(all_lmics18[[who_choice_region]:[who_choice_region]],missing[],4,FALSE))</f>
        <v>2E-3</v>
      </c>
      <c r="L46">
        <f>IFERROR(VLOOKUP(all_lmics18[[Setting]:[Setting]],prev[],7,FALSE),VLOOKUP(all_lmics18[[who_choice_region]:[who_choice_region]],missing[],5,FALSE))</f>
        <v>5.1020408163265311E-4</v>
      </c>
      <c r="M46">
        <f>IFERROR(VLOOKUP(all_lmics18[[Setting]:[Setting]],prev[],6,FALSE),0)</f>
        <v>129163276</v>
      </c>
      <c r="N46">
        <f>IFERROR(VLOOKUP(all_lmics18[[Setting]:[Setting]],SBA[],4,FALSE),VLOOKUP(all_lmics18[[who_choice_region]:[who_choice_region]],missing[],6,FALSE))</f>
        <v>0.97699999999999998</v>
      </c>
      <c r="O46">
        <f>IFERROR(VLOOKUP(all_lmics18[[Setting]:[Setting]], facility[], 3,FALSE),VLOOKUP(all_lmics18[[who_choice_region]:[who_choice_region]],missing[],7,FALSE))</f>
        <v>0.96900000000000008</v>
      </c>
      <c r="P46">
        <f>IF(VLOOKUP(all_lmics18[[Setting]:[Setting]],all_cause_mort[],4,FALSE)="",VLOOKUP(all_lmics18[[who_choice_region]:[who_choice_region]],missing[],8,FALSE),VLOOKUP(all_lmics18[[Setting]:[Setting]],all_cause_mort[],4,FALSE))</f>
        <v>1.3675331000000001E-2</v>
      </c>
      <c r="Q46">
        <f>IF(VLOOKUP(all_lmics18[[Setting]:[Setting]],all_cause_mort[],5,FALSE)="",VLOOKUP(all_lmics18[[who_choice_region]:[who_choice_region]],missing[],9,FALSE),VLOOKUP(all_lmics18[[Setting]:[Setting]],all_cause_mort[],5,FALSE))</f>
        <v>5.2116757000000001E-4</v>
      </c>
      <c r="R46">
        <f>IF(VLOOKUP(all_lmics18[[Setting]:[Setting]],all_cause_mort[],6,FALSE)="",VLOOKUP(all_lmics18[[who_choice_region]:[who_choice_region]],missing[],10,FALSE),VLOOKUP(all_lmics18[[Setting]:[Setting]],all_cause_mort[],6,FALSE))</f>
        <v>2.5528668999999998E-4</v>
      </c>
      <c r="S46">
        <f>IF(VLOOKUP(all_lmics18[[Setting]:[Setting]],all_cause_mort[],7,FALSE)="",VLOOKUP(all_lmics18[[who_choice_region]:[who_choice_region]],missing[],11,FALSE),VLOOKUP(all_lmics18[[Setting]:[Setting]],all_cause_mort[],7,FALSE))</f>
        <v>3.6268306999999997E-4</v>
      </c>
      <c r="T46">
        <f>IF(VLOOKUP(all_lmics18[[Setting]:[Setting]],all_cause_mort[],8,FALSE)="",VLOOKUP(all_lmics18[[who_choice_region]:[who_choice_region]],missing[],12,FALSE),VLOOKUP(all_lmics18[[Setting]:[Setting]],all_cause_mort[],8,FALSE))</f>
        <v>7.6787160000000004E-4</v>
      </c>
      <c r="U46">
        <f>IF(VLOOKUP(all_lmics18[[Setting]:[Setting]],all_cause_mort[],9,FALSE)="",VLOOKUP(all_lmics18[[who_choice_region]:[who_choice_region]],missing[],13,FALSE),VLOOKUP(all_lmics18[[Setting]:[Setting]],all_cause_mort[],9,FALSE))</f>
        <v>1.2519237000000001E-3</v>
      </c>
      <c r="V46">
        <f>IF(VLOOKUP(all_lmics18[[Setting]:[Setting]],all_cause_mort[],10,FALSE)="",VLOOKUP(all_lmics18[[who_choice_region]:[who_choice_region]],missing[],14,FALSE),VLOOKUP(all_lmics18[[Setting]:[Setting]],all_cause_mort[],10,FALSE))</f>
        <v>1.5734901999999999E-3</v>
      </c>
      <c r="W46">
        <f>IF(VLOOKUP(all_lmics18[[Setting]:[Setting]],all_cause_mort[],11,FALSE)="",VLOOKUP(all_lmics18[[who_choice_region]:[who_choice_region]],missing[],15,FALSE),VLOOKUP(all_lmics18[[Setting]:[Setting]],all_cause_mort[],11,FALSE))</f>
        <v>1.8138586E-3</v>
      </c>
      <c r="X46">
        <f>IF(VLOOKUP(all_lmics18[[Setting]:[Setting]],all_cause_mort[],12,FALSE)="",VLOOKUP(all_lmics18[[who_choice_region]:[who_choice_region]],missing[],16,FALSE),VLOOKUP(all_lmics18[[Setting]:[Setting]],all_cause_mort[],12,FALSE))</f>
        <v>2.1983553E-3</v>
      </c>
      <c r="Y46">
        <f>IF(VLOOKUP(all_lmics18[[Setting]:[Setting]],all_cause_mort[],13,FALSE)="",VLOOKUP(all_lmics18[[who_choice_region]:[who_choice_region]],missing[],17,FALSE),VLOOKUP(all_lmics18[[Setting]:[Setting]],all_cause_mort[],13,FALSE))</f>
        <v>2.9210206000000001E-3</v>
      </c>
      <c r="Z46">
        <f>IF(VLOOKUP(all_lmics18[[Setting]:[Setting]],all_cause_mort[],14,FALSE)="",VLOOKUP(all_lmics18[[who_choice_region]:[who_choice_region]],missing[],18,FALSE),VLOOKUP(all_lmics18[[Setting]:[Setting]],all_cause_mort[],14,FALSE))</f>
        <v>4.1629763000000002E-3</v>
      </c>
      <c r="AA46">
        <f>IF(VLOOKUP(all_lmics18[[Setting]:[Setting]],all_cause_mort[],15,FALSE)="",VLOOKUP(all_lmics18[[who_choice_region]:[who_choice_region]],missing[],19,FALSE),VLOOKUP(all_lmics18[[Setting]:[Setting]],all_cause_mort[],15,FALSE))</f>
        <v>6.1664082E-3</v>
      </c>
      <c r="AB46">
        <f>IF(VLOOKUP(all_lmics18[[Setting]:[Setting]],all_cause_mort[],16,FALSE)="",VLOOKUP(all_lmics18[[who_choice_region]:[who_choice_region]],missing[],20,FALSE),VLOOKUP(all_lmics18[[Setting]:[Setting]],all_cause_mort[],16,FALSE))</f>
        <v>9.2869411999999991E-3</v>
      </c>
      <c r="AC46">
        <f>IF(VLOOKUP(all_lmics18[[Setting]:[Setting]],all_cause_mort[],17,FALSE)="",VLOOKUP(all_lmics18[[who_choice_region]:[who_choice_region]],missing[],21,FALSE),VLOOKUP(all_lmics18[[Setting]:[Setting]],all_cause_mort[],17,FALSE))</f>
        <v>1.4052927999999999E-2</v>
      </c>
      <c r="AD46">
        <f>IF(VLOOKUP(all_lmics18[[Setting]:[Setting]],all_cause_mort[],18,FALSE)="",VLOOKUP(all_lmics18[[who_choice_region]:[who_choice_region]],missing[],22,FALSE),VLOOKUP(all_lmics18[[Setting]:[Setting]],all_cause_mort[],18,FALSE))</f>
        <v>2.1315153999999999E-2</v>
      </c>
      <c r="AE46">
        <f>IF(VLOOKUP(all_lmics18[[Setting]:[Setting]],all_cause_mort[],19,FALSE)="",VLOOKUP(all_lmics18[[who_choice_region]:[who_choice_region]],missing[],23,FALSE),VLOOKUP(all_lmics18[[Setting]:[Setting]],all_cause_mort[],19,FALSE))</f>
        <v>3.2311217000000003E-2</v>
      </c>
      <c r="AF46">
        <f>IF(VLOOKUP(all_lmics18[[Setting]:[Setting]],all_cause_mort[],20,FALSE)="",VLOOKUP(all_lmics18[[who_choice_region]:[who_choice_region]],missing[],24,FALSE),VLOOKUP(all_lmics18[[Setting]:[Setting]],all_cause_mort[],20,FALSE))</f>
        <v>4.8808923999999997E-2</v>
      </c>
      <c r="AG46">
        <f>IF(VLOOKUP(all_lmics18[[Setting]:[Setting]],all_cause_mort[],21,FALSE)="",VLOOKUP(all_lmics18[[who_choice_region]:[who_choice_region]],missing[],25,FALSE),VLOOKUP(all_lmics18[[Setting]:[Setting]],all_cause_mort[],21,FALSE))</f>
        <v>7.3397570999999995E-2</v>
      </c>
      <c r="AH46">
        <f>IF(VLOOKUP(all_lmics18[[Setting]:[Setting]],all_cause_mort[],22,FALSE)="",VLOOKUP(all_lmics18[[who_choice_region]:[who_choice_region]],missing[],26,FALSE),VLOOKUP(all_lmics18[[Setting]:[Setting]],all_cause_mort[],22,FALSE))</f>
        <v>0.11072121</v>
      </c>
      <c r="AI46">
        <f>IF(VLOOKUP(all_lmics18[[Setting]:[Setting]],all_cause_mort[],23,FALSE)="",VLOOKUP(all_lmics18[[who_choice_region]:[who_choice_region]],missing[],27,FALSE),VLOOKUP(all_lmics18[[Setting]:[Setting]],all_cause_mort[],23,FALSE))</f>
        <v>0.16984748</v>
      </c>
      <c r="AJ46">
        <f>IF(VLOOKUP(all_lmics18[[Setting]:[Setting]],all_cause_mort[],24,FALSE)="",VLOOKUP(all_lmics18[[who_choice_region]:[who_choice_region]],missing[],28,FALSE),VLOOKUP(all_lmics18[[Setting]:[Setting]],all_cause_mort[],24,FALSE))</f>
        <v>0.26417943999999999</v>
      </c>
      <c r="AK46">
        <f>IF(VLOOKUP(all_lmics18[[Setting]:[Setting]],all_cause_mort[],25,FALSE)="",VLOOKUP(all_lmics18[[who_choice_region]:[who_choice_region]],missing[],29,FALSE),VLOOKUP(all_lmics18[[Setting]:[Setting]],all_cause_mort[],25,FALSE))</f>
        <v>0.43174158987890598</v>
      </c>
      <c r="AL46">
        <f>VLOOKUP(all_lmics18[[worldbank_region]:[worldbank_region]],Table13[],2,FALSE)</f>
        <v>86.85998699999999</v>
      </c>
      <c r="AM46">
        <f>VLOOKUP(all_lmics18[[worldbank_region]:[worldbank_region]],Table13[],3,FALSE)</f>
        <v>86.85998699999999</v>
      </c>
      <c r="AN46">
        <f>VLOOKUP(all_lmics18[[worldbank_region]:[worldbank_region]],Table13[],4,FALSE)</f>
        <v>134.58884699999999</v>
      </c>
      <c r="AO46">
        <f>VLOOKUP(all_lmics18[[worldbank_region]:[worldbank_region]],Table13[],5,FALSE)</f>
        <v>134.58884699999999</v>
      </c>
      <c r="AP46">
        <f>VLOOKUP(all_lmics18[[worldbank_region]:[worldbank_region]],Table13[],6,FALSE)</f>
        <v>134.58884699999999</v>
      </c>
      <c r="AQ46">
        <f>VLOOKUP(all_lmics18[[worldbank_region]:[worldbank_region]],Table14[],2,FALSE)</f>
        <v>1.514642</v>
      </c>
      <c r="AR46">
        <f>VLOOKUP(all_lmics18[[worldbank_region]:[worldbank_region]],Table14[],3,FALSE)</f>
        <v>2.132142</v>
      </c>
      <c r="AS46">
        <f>VLOOKUP(all_lmics18[[worldbank_region]:[worldbank_region]],Table14[],4,FALSE)</f>
        <v>1.5364360000000001</v>
      </c>
      <c r="AT46">
        <f>VLOOKUP(all_lmics18[[worldbank_region]:[worldbank_region]],Table14[],5,FALSE)</f>
        <v>2.1539359999999999</v>
      </c>
      <c r="AU46">
        <f>VLOOKUP(all_lmics18[[worldbank_region]:[worldbank_region]],Table14[],6,FALSE)</f>
        <v>2.7241879999999998</v>
      </c>
      <c r="AV46">
        <f>IFERROR(VLOOKUP(all_lmics18[[Setting]:[Setting]],nFacSBA[],4,FALSE),VLOOKUP(all_lmics18[[who_choice_region]:[who_choice_region]],missing[],30,FALSE))</f>
        <v>0.204083371647339</v>
      </c>
      <c r="AW46">
        <f>VLOOKUP(all_lmics18[[worldbank_region]:[worldbank_region]],hbe[],2)</f>
        <v>0.3</v>
      </c>
      <c r="AX46">
        <f>VLOOKUP(all_lmics18[[worldbank_region]:[worldbank_region]],hbe[],5)</f>
        <v>0.875</v>
      </c>
      <c r="AY46">
        <f>VLOOKUP(all_lmics18[[worldbank_region]:[worldbank_region]],hbe[],8)</f>
        <v>0.15</v>
      </c>
    </row>
    <row r="47" spans="1:51" x14ac:dyDescent="0.35">
      <c r="A47" s="8" t="s">
        <v>141</v>
      </c>
      <c r="B47" s="10" t="s">
        <v>57</v>
      </c>
      <c r="C47" s="11" t="s">
        <v>58</v>
      </c>
      <c r="D47">
        <f>VLOOKUP(all_lmics18[[Setting]:[Setting]],populations[],9,FALSE)</f>
        <v>105544</v>
      </c>
      <c r="E47">
        <f>VLOOKUP(all_lmics18[[Setting]:[Setting]],birthrate[],3,FALSE)</f>
        <v>2.3708E-2</v>
      </c>
      <c r="F47">
        <f>all_lmics18[[#This Row],[2017_population]]*all_lmics18[[#This Row],[2016_birthrate]]</f>
        <v>2502.2371520000002</v>
      </c>
      <c r="G47">
        <f>VLOOKUP(all_lmics18[[Setting]:[Setting]],birthdose[],4,FALSE)</f>
        <v>0.75</v>
      </c>
      <c r="H47">
        <f>VLOOKUP(all_lmics18[[Setting]:[Setting]],fullvax[],4,FALSE)</f>
        <v>0.8</v>
      </c>
      <c r="I47">
        <f>IFERROR(VLOOKUP(all_lmics18[[Setting]:[Setting]],prev[],3,FALSE),VLOOKUP(all_lmics18[[who_choice_region]:[who_choice_region]],missing[],2,FALSE))</f>
        <v>3.5000000000000003E-2</v>
      </c>
      <c r="J47">
        <f>IFERROR(VLOOKUP(all_lmics18[[Setting]:[Setting]],prev[],4,FALSE),VLOOKUP(all_lmics18[[who_choice_region]:[who_choice_region]],missing[],3,FALSE))</f>
        <v>2.6599999999999999E-2</v>
      </c>
      <c r="K47">
        <f>IFERROR(VLOOKUP(all_lmics18[[Setting]:[Setting]],prev[],5,FALSE),VLOOKUP(all_lmics18[[who_choice_region]:[who_choice_region]],missing[],4,FALSE))</f>
        <v>4.5900000000000003E-2</v>
      </c>
      <c r="L47">
        <f>IFERROR(VLOOKUP(all_lmics18[[Setting]:[Setting]],prev[],7,FALSE),VLOOKUP(all_lmics18[[who_choice_region]:[who_choice_region]],missing[],5,FALSE))</f>
        <v>5.5612244897959183E-3</v>
      </c>
      <c r="M47">
        <f>IFERROR(VLOOKUP(all_lmics18[[Setting]:[Setting]],prev[],6,FALSE),0)</f>
        <v>103616</v>
      </c>
      <c r="N47">
        <f>IFERROR(VLOOKUP(all_lmics18[[Setting]:[Setting]],SBA[],4,FALSE),VLOOKUP(all_lmics18[[who_choice_region]:[who_choice_region]],missing[],6,FALSE))</f>
        <v>0.9998999999999999</v>
      </c>
      <c r="O47">
        <f>IFERROR(VLOOKUP(all_lmics18[[Setting]:[Setting]], facility[], 3,FALSE),VLOOKUP(all_lmics18[[who_choice_region]:[who_choice_region]],missing[],7,FALSE))</f>
        <v>0.87</v>
      </c>
      <c r="P47">
        <f>IF(VLOOKUP(all_lmics18[[Setting]:[Setting]],all_cause_mort[],4,FALSE)="",VLOOKUP(all_lmics18[[who_choice_region]:[who_choice_region]],missing[],8,FALSE),VLOOKUP(all_lmics18[[Setting]:[Setting]],all_cause_mort[],4,FALSE))</f>
        <v>2.3937607999999999E-2</v>
      </c>
      <c r="Q47">
        <f>IF(VLOOKUP(all_lmics18[[Setting]:[Setting]],all_cause_mort[],5,FALSE)="",VLOOKUP(all_lmics18[[who_choice_region]:[who_choice_region]],missing[],9,FALSE),VLOOKUP(all_lmics18[[Setting]:[Setting]],all_cause_mort[],5,FALSE))</f>
        <v>2.1765084999999999E-3</v>
      </c>
      <c r="R47">
        <f>IF(VLOOKUP(all_lmics18[[Setting]:[Setting]],all_cause_mort[],6,FALSE)="",VLOOKUP(all_lmics18[[who_choice_region]:[who_choice_region]],missing[],10,FALSE),VLOOKUP(all_lmics18[[Setting]:[Setting]],all_cause_mort[],6,FALSE))</f>
        <v>6.4121112999999995E-4</v>
      </c>
      <c r="S47">
        <f>IF(VLOOKUP(all_lmics18[[Setting]:[Setting]],all_cause_mort[],7,FALSE)="",VLOOKUP(all_lmics18[[who_choice_region]:[who_choice_region]],missing[],11,FALSE),VLOOKUP(all_lmics18[[Setting]:[Setting]],all_cause_mort[],7,FALSE))</f>
        <v>5.4815284E-4</v>
      </c>
      <c r="T47">
        <f>IF(VLOOKUP(all_lmics18[[Setting]:[Setting]],all_cause_mort[],8,FALSE)="",VLOOKUP(all_lmics18[[who_choice_region]:[who_choice_region]],missing[],12,FALSE),VLOOKUP(all_lmics18[[Setting]:[Setting]],all_cause_mort[],8,FALSE))</f>
        <v>1.0773943000000001E-3</v>
      </c>
      <c r="U47">
        <f>IF(VLOOKUP(all_lmics18[[Setting]:[Setting]],all_cause_mort[],9,FALSE)="",VLOOKUP(all_lmics18[[who_choice_region]:[who_choice_region]],missing[],13,FALSE),VLOOKUP(all_lmics18[[Setting]:[Setting]],all_cause_mort[],9,FALSE))</f>
        <v>1.3954583999999999E-3</v>
      </c>
      <c r="V47">
        <f>IF(VLOOKUP(all_lmics18[[Setting]:[Setting]],all_cause_mort[],10,FALSE)="",VLOOKUP(all_lmics18[[who_choice_region]:[who_choice_region]],missing[],14,FALSE),VLOOKUP(all_lmics18[[Setting]:[Setting]],all_cause_mort[],10,FALSE))</f>
        <v>1.4820623E-3</v>
      </c>
      <c r="W47">
        <f>IF(VLOOKUP(all_lmics18[[Setting]:[Setting]],all_cause_mort[],11,FALSE)="",VLOOKUP(all_lmics18[[who_choice_region]:[who_choice_region]],missing[],15,FALSE),VLOOKUP(all_lmics18[[Setting]:[Setting]],all_cause_mort[],11,FALSE))</f>
        <v>1.7456685000000001E-3</v>
      </c>
      <c r="X47">
        <f>IF(VLOOKUP(all_lmics18[[Setting]:[Setting]],all_cause_mort[],12,FALSE)="",VLOOKUP(all_lmics18[[who_choice_region]:[who_choice_region]],missing[],16,FALSE),VLOOKUP(all_lmics18[[Setting]:[Setting]],all_cause_mort[],12,FALSE))</f>
        <v>2.3141108000000001E-3</v>
      </c>
      <c r="Y47">
        <f>IF(VLOOKUP(all_lmics18[[Setting]:[Setting]],all_cause_mort[],13,FALSE)="",VLOOKUP(all_lmics18[[who_choice_region]:[who_choice_region]],missing[],17,FALSE),VLOOKUP(all_lmics18[[Setting]:[Setting]],all_cause_mort[],13,FALSE))</f>
        <v>3.2572043999999998E-3</v>
      </c>
      <c r="Z47">
        <f>IF(VLOOKUP(all_lmics18[[Setting]:[Setting]],all_cause_mort[],14,FALSE)="",VLOOKUP(all_lmics18[[who_choice_region]:[who_choice_region]],missing[],18,FALSE),VLOOKUP(all_lmics18[[Setting]:[Setting]],all_cause_mort[],14,FALSE))</f>
        <v>4.9136459000000002E-3</v>
      </c>
      <c r="AA47">
        <f>IF(VLOOKUP(all_lmics18[[Setting]:[Setting]],all_cause_mort[],15,FALSE)="",VLOOKUP(all_lmics18[[who_choice_region]:[who_choice_region]],missing[],19,FALSE),VLOOKUP(all_lmics18[[Setting]:[Setting]],all_cause_mort[],15,FALSE))</f>
        <v>7.5800334999999996E-3</v>
      </c>
      <c r="AB47">
        <f>IF(VLOOKUP(all_lmics18[[Setting]:[Setting]],all_cause_mort[],16,FALSE)="",VLOOKUP(all_lmics18[[who_choice_region]:[who_choice_region]],missing[],20,FALSE),VLOOKUP(all_lmics18[[Setting]:[Setting]],all_cause_mort[],16,FALSE))</f>
        <v>1.1860900000000001E-2</v>
      </c>
      <c r="AC47">
        <f>IF(VLOOKUP(all_lmics18[[Setting]:[Setting]],all_cause_mort[],17,FALSE)="",VLOOKUP(all_lmics18[[who_choice_region]:[who_choice_region]],missing[],21,FALSE),VLOOKUP(all_lmics18[[Setting]:[Setting]],all_cause_mort[],17,FALSE))</f>
        <v>2.3046229000000001E-2</v>
      </c>
      <c r="AD47">
        <f>IF(VLOOKUP(all_lmics18[[Setting]:[Setting]],all_cause_mort[],18,FALSE)="",VLOOKUP(all_lmics18[[who_choice_region]:[who_choice_region]],missing[],22,FALSE),VLOOKUP(all_lmics18[[Setting]:[Setting]],all_cause_mort[],18,FALSE))</f>
        <v>4.4734369000000003E-2</v>
      </c>
      <c r="AE47">
        <f>IF(VLOOKUP(all_lmics18[[Setting]:[Setting]],all_cause_mort[],19,FALSE)="",VLOOKUP(all_lmics18[[who_choice_region]:[who_choice_region]],missing[],23,FALSE),VLOOKUP(all_lmics18[[Setting]:[Setting]],all_cause_mort[],19,FALSE))</f>
        <v>7.5974070000000005E-2</v>
      </c>
      <c r="AF47">
        <f>IF(VLOOKUP(all_lmics18[[Setting]:[Setting]],all_cause_mort[],20,FALSE)="",VLOOKUP(all_lmics18[[who_choice_region]:[who_choice_region]],missing[],24,FALSE),VLOOKUP(all_lmics18[[Setting]:[Setting]],all_cause_mort[],20,FALSE))</f>
        <v>0.11927093</v>
      </c>
      <c r="AG47">
        <f>IF(VLOOKUP(all_lmics18[[Setting]:[Setting]],all_cause_mort[],21,FALSE)="",VLOOKUP(all_lmics18[[who_choice_region]:[who_choice_region]],missing[],25,FALSE),VLOOKUP(all_lmics18[[Setting]:[Setting]],all_cause_mort[],21,FALSE))</f>
        <v>0.18764405000000001</v>
      </c>
      <c r="AH47">
        <f>IF(VLOOKUP(all_lmics18[[Setting]:[Setting]],all_cause_mort[],22,FALSE)="",VLOOKUP(all_lmics18[[who_choice_region]:[who_choice_region]],missing[],26,FALSE),VLOOKUP(all_lmics18[[Setting]:[Setting]],all_cause_mort[],22,FALSE))</f>
        <v>0.29302043</v>
      </c>
      <c r="AI47">
        <f>IF(VLOOKUP(all_lmics18[[Setting]:[Setting]],all_cause_mort[],23,FALSE)="",VLOOKUP(all_lmics18[[who_choice_region]:[who_choice_region]],missing[],27,FALSE),VLOOKUP(all_lmics18[[Setting]:[Setting]],all_cause_mort[],23,FALSE))</f>
        <v>0.42703175999999998</v>
      </c>
      <c r="AJ47">
        <f>IF(VLOOKUP(all_lmics18[[Setting]:[Setting]],all_cause_mort[],24,FALSE)="",VLOOKUP(all_lmics18[[who_choice_region]:[who_choice_region]],missing[],28,FALSE),VLOOKUP(all_lmics18[[Setting]:[Setting]],all_cause_mort[],24,FALSE))</f>
        <v>0.60030335000000001</v>
      </c>
      <c r="AK47">
        <f>IF(VLOOKUP(all_lmics18[[Setting]:[Setting]],all_cause_mort[],25,FALSE)="",VLOOKUP(all_lmics18[[who_choice_region]:[who_choice_region]],missing[],29,FALSE),VLOOKUP(all_lmics18[[Setting]:[Setting]],all_cause_mort[],25,FALSE))</f>
        <v>0.79832377553498501</v>
      </c>
      <c r="AL47">
        <f>VLOOKUP(all_lmics18[[worldbank_region]:[worldbank_region]],Table13[],2,FALSE)</f>
        <v>73.064384999999987</v>
      </c>
      <c r="AM47">
        <f>VLOOKUP(all_lmics18[[worldbank_region]:[worldbank_region]],Table13[],3,FALSE)</f>
        <v>73.064384999999987</v>
      </c>
      <c r="AN47">
        <f>VLOOKUP(all_lmics18[[worldbank_region]:[worldbank_region]],Table13[],4,FALSE)</f>
        <v>120.79324499999998</v>
      </c>
      <c r="AO47">
        <f>VLOOKUP(all_lmics18[[worldbank_region]:[worldbank_region]],Table13[],5,FALSE)</f>
        <v>120.79324499999998</v>
      </c>
      <c r="AP47">
        <f>VLOOKUP(all_lmics18[[worldbank_region]:[worldbank_region]],Table13[],6,FALSE)</f>
        <v>120.79324499999998</v>
      </c>
      <c r="AQ47">
        <f>VLOOKUP(all_lmics18[[worldbank_region]:[worldbank_region]],Table14[],2,FALSE)</f>
        <v>1.34029</v>
      </c>
      <c r="AR47">
        <f>VLOOKUP(all_lmics18[[worldbank_region]:[worldbank_region]],Table14[],3,FALSE)</f>
        <v>1.9577900000000001</v>
      </c>
      <c r="AS47">
        <f>VLOOKUP(all_lmics18[[worldbank_region]:[worldbank_region]],Table14[],4,FALSE)</f>
        <v>1.9723159999999997</v>
      </c>
      <c r="AT47">
        <f>VLOOKUP(all_lmics18[[worldbank_region]:[worldbank_region]],Table14[],5,FALSE)</f>
        <v>2.5898159999999999</v>
      </c>
      <c r="AU47">
        <f>VLOOKUP(all_lmics18[[worldbank_region]:[worldbank_region]],Table14[],6,FALSE)</f>
        <v>3.1600679999999999</v>
      </c>
      <c r="AV47">
        <f>IFERROR(VLOOKUP(all_lmics18[[Setting]:[Setting]],nFacSBA[],4,FALSE),VLOOKUP(all_lmics18[[who_choice_region]:[who_choice_region]],missing[],30,FALSE))</f>
        <v>0.15985670213371023</v>
      </c>
      <c r="AW47">
        <f>VLOOKUP(all_lmics18[[worldbank_region]:[worldbank_region]],hbe[],2)</f>
        <v>0.3</v>
      </c>
      <c r="AX47">
        <f>VLOOKUP(all_lmics18[[worldbank_region]:[worldbank_region]],hbe[],5)</f>
        <v>0.875</v>
      </c>
      <c r="AY47">
        <f>VLOOKUP(all_lmics18[[worldbank_region]:[worldbank_region]],hbe[],8)</f>
        <v>0.15</v>
      </c>
    </row>
    <row r="48" spans="1:51" x14ac:dyDescent="0.35">
      <c r="A48" s="8" t="s">
        <v>143</v>
      </c>
      <c r="B48" s="10" t="s">
        <v>57</v>
      </c>
      <c r="C48" s="11" t="s">
        <v>58</v>
      </c>
      <c r="D48">
        <f>VLOOKUP(all_lmics18[[Setting]:[Setting]],populations[],9,FALSE)</f>
        <v>3075647</v>
      </c>
      <c r="E48">
        <f>VLOOKUP(all_lmics18[[Setting]:[Setting]],birthrate[],3,FALSE)</f>
        <v>2.3958E-2</v>
      </c>
      <c r="F48">
        <f>all_lmics18[[#This Row],[2017_population]]*all_lmics18[[#This Row],[2016_birthrate]]</f>
        <v>73686.350825999994</v>
      </c>
      <c r="G48">
        <f>VLOOKUP(all_lmics18[[Setting]:[Setting]],birthdose[],4,FALSE)</f>
        <v>0.98</v>
      </c>
      <c r="H48">
        <f>VLOOKUP(all_lmics18[[Setting]:[Setting]],fullvax[],4,FALSE)</f>
        <v>0.99</v>
      </c>
      <c r="I48">
        <f>IFERROR(VLOOKUP(all_lmics18[[Setting]:[Setting]],prev[],3,FALSE),VLOOKUP(all_lmics18[[who_choice_region]:[who_choice_region]],missing[],2,FALSE))</f>
        <v>4.1000000000000002E-2</v>
      </c>
      <c r="J48">
        <f>IFERROR(VLOOKUP(all_lmics18[[Setting]:[Setting]],prev[],4,FALSE),VLOOKUP(all_lmics18[[who_choice_region]:[who_choice_region]],missing[],3,FALSE))</f>
        <v>3.1E-2</v>
      </c>
      <c r="K48">
        <f>IFERROR(VLOOKUP(all_lmics18[[Setting]:[Setting]],prev[],5,FALSE),VLOOKUP(all_lmics18[[who_choice_region]:[who_choice_region]],missing[],4,FALSE))</f>
        <v>4.8000000000000001E-2</v>
      </c>
      <c r="L48">
        <f>IFERROR(VLOOKUP(all_lmics18[[Setting]:[Setting]],prev[],7,FALSE),VLOOKUP(all_lmics18[[who_choice_region]:[who_choice_region]],missing[],5,FALSE))</f>
        <v>3.5714285714285713E-3</v>
      </c>
      <c r="M48">
        <f>IFERROR(VLOOKUP(all_lmics18[[Setting]:[Setting]],prev[],6,FALSE),0)</f>
        <v>3075647</v>
      </c>
      <c r="N48">
        <f>IFERROR(VLOOKUP(all_lmics18[[Setting]:[Setting]],SBA[],4,FALSE),VLOOKUP(all_lmics18[[who_choice_region]:[who_choice_region]],missing[],6,FALSE))</f>
        <v>0.9890000000000001</v>
      </c>
      <c r="O48">
        <f>IFERROR(VLOOKUP(all_lmics18[[Setting]:[Setting]], facility[], 3,FALSE),VLOOKUP(all_lmics18[[who_choice_region]:[who_choice_region]],missing[],7,FALSE))</f>
        <v>0.9840000000000001</v>
      </c>
      <c r="P48">
        <f>IF(VLOOKUP(all_lmics18[[Setting]:[Setting]],all_cause_mort[],4,FALSE)="",VLOOKUP(all_lmics18[[who_choice_region]:[who_choice_region]],missing[],8,FALSE),VLOOKUP(all_lmics18[[Setting]:[Setting]],all_cause_mort[],4,FALSE))</f>
        <v>1.8391451999999999E-2</v>
      </c>
      <c r="Q48">
        <f>IF(VLOOKUP(all_lmics18[[Setting]:[Setting]],all_cause_mort[],5,FALSE)="",VLOOKUP(all_lmics18[[who_choice_region]:[who_choice_region]],missing[],9,FALSE),VLOOKUP(all_lmics18[[Setting]:[Setting]],all_cause_mort[],5,FALSE))</f>
        <v>1.0920551E-3</v>
      </c>
      <c r="R48">
        <f>IF(VLOOKUP(all_lmics18[[Setting]:[Setting]],all_cause_mort[],6,FALSE)="",VLOOKUP(all_lmics18[[who_choice_region]:[who_choice_region]],missing[],10,FALSE),VLOOKUP(all_lmics18[[Setting]:[Setting]],all_cause_mort[],6,FALSE))</f>
        <v>3.6105436E-4</v>
      </c>
      <c r="S48">
        <f>IF(VLOOKUP(all_lmics18[[Setting]:[Setting]],all_cause_mort[],7,FALSE)="",VLOOKUP(all_lmics18[[who_choice_region]:[who_choice_region]],missing[],11,FALSE),VLOOKUP(all_lmics18[[Setting]:[Setting]],all_cause_mort[],7,FALSE))</f>
        <v>3.3617153000000001E-4</v>
      </c>
      <c r="T48">
        <f>IF(VLOOKUP(all_lmics18[[Setting]:[Setting]],all_cause_mort[],8,FALSE)="",VLOOKUP(all_lmics18[[who_choice_region]:[who_choice_region]],missing[],12,FALSE),VLOOKUP(all_lmics18[[Setting]:[Setting]],all_cause_mort[],8,FALSE))</f>
        <v>5.2161326000000003E-4</v>
      </c>
      <c r="U48">
        <f>IF(VLOOKUP(all_lmics18[[Setting]:[Setting]],all_cause_mort[],9,FALSE)="",VLOOKUP(all_lmics18[[who_choice_region]:[who_choice_region]],missing[],13,FALSE),VLOOKUP(all_lmics18[[Setting]:[Setting]],all_cause_mort[],9,FALSE))</f>
        <v>9.0314053999999999E-4</v>
      </c>
      <c r="V48">
        <f>IF(VLOOKUP(all_lmics18[[Setting]:[Setting]],all_cause_mort[],10,FALSE)="",VLOOKUP(all_lmics18[[who_choice_region]:[who_choice_region]],missing[],14,FALSE),VLOOKUP(all_lmics18[[Setting]:[Setting]],all_cause_mort[],10,FALSE))</f>
        <v>1.2924254E-3</v>
      </c>
      <c r="W48">
        <f>IF(VLOOKUP(all_lmics18[[Setting]:[Setting]],all_cause_mort[],11,FALSE)="",VLOOKUP(all_lmics18[[who_choice_region]:[who_choice_region]],missing[],15,FALSE),VLOOKUP(all_lmics18[[Setting]:[Setting]],all_cause_mort[],11,FALSE))</f>
        <v>1.956083E-3</v>
      </c>
      <c r="X48">
        <f>IF(VLOOKUP(all_lmics18[[Setting]:[Setting]],all_cause_mort[],12,FALSE)="",VLOOKUP(all_lmics18[[who_choice_region]:[who_choice_region]],missing[],16,FALSE),VLOOKUP(all_lmics18[[Setting]:[Setting]],all_cause_mort[],12,FALSE))</f>
        <v>2.8538693999999999E-3</v>
      </c>
      <c r="Y48">
        <f>IF(VLOOKUP(all_lmics18[[Setting]:[Setting]],all_cause_mort[],13,FALSE)="",VLOOKUP(all_lmics18[[who_choice_region]:[who_choice_region]],missing[],17,FALSE),VLOOKUP(all_lmics18[[Setting]:[Setting]],all_cause_mort[],13,FALSE))</f>
        <v>4.3894787000000003E-3</v>
      </c>
      <c r="Z48">
        <f>IF(VLOOKUP(all_lmics18[[Setting]:[Setting]],all_cause_mort[],14,FALSE)="",VLOOKUP(all_lmics18[[who_choice_region]:[who_choice_region]],missing[],18,FALSE),VLOOKUP(all_lmics18[[Setting]:[Setting]],all_cause_mort[],14,FALSE))</f>
        <v>7.6067175000000004E-3</v>
      </c>
      <c r="AA48">
        <f>IF(VLOOKUP(all_lmics18[[Setting]:[Setting]],all_cause_mort[],15,FALSE)="",VLOOKUP(all_lmics18[[who_choice_region]:[who_choice_region]],missing[],19,FALSE),VLOOKUP(all_lmics18[[Setting]:[Setting]],all_cause_mort[],15,FALSE))</f>
        <v>1.1481323999999999E-2</v>
      </c>
      <c r="AB48">
        <f>IF(VLOOKUP(all_lmics18[[Setting]:[Setting]],all_cause_mort[],16,FALSE)="",VLOOKUP(all_lmics18[[who_choice_region]:[who_choice_region]],missing[],20,FALSE),VLOOKUP(all_lmics18[[Setting]:[Setting]],all_cause_mort[],16,FALSE))</f>
        <v>1.5725696000000001E-2</v>
      </c>
      <c r="AC48">
        <f>IF(VLOOKUP(all_lmics18[[Setting]:[Setting]],all_cause_mort[],17,FALSE)="",VLOOKUP(all_lmics18[[who_choice_region]:[who_choice_region]],missing[],21,FALSE),VLOOKUP(all_lmics18[[Setting]:[Setting]],all_cause_mort[],17,FALSE))</f>
        <v>2.2428037000000001E-2</v>
      </c>
      <c r="AD48">
        <f>IF(VLOOKUP(all_lmics18[[Setting]:[Setting]],all_cause_mort[],18,FALSE)="",VLOOKUP(all_lmics18[[who_choice_region]:[who_choice_region]],missing[],22,FALSE),VLOOKUP(all_lmics18[[Setting]:[Setting]],all_cause_mort[],18,FALSE))</f>
        <v>3.1178014E-2</v>
      </c>
      <c r="AE48">
        <f>IF(VLOOKUP(all_lmics18[[Setting]:[Setting]],all_cause_mort[],19,FALSE)="",VLOOKUP(all_lmics18[[who_choice_region]:[who_choice_region]],missing[],23,FALSE),VLOOKUP(all_lmics18[[Setting]:[Setting]],all_cause_mort[],19,FALSE))</f>
        <v>5.1942293E-2</v>
      </c>
      <c r="AF48">
        <f>IF(VLOOKUP(all_lmics18[[Setting]:[Setting]],all_cause_mort[],20,FALSE)="",VLOOKUP(all_lmics18[[who_choice_region]:[who_choice_region]],missing[],24,FALSE),VLOOKUP(all_lmics18[[Setting]:[Setting]],all_cause_mort[],20,FALSE))</f>
        <v>7.8840612000000004E-2</v>
      </c>
      <c r="AG48">
        <f>IF(VLOOKUP(all_lmics18[[Setting]:[Setting]],all_cause_mort[],21,FALSE)="",VLOOKUP(all_lmics18[[who_choice_region]:[who_choice_region]],missing[],25,FALSE),VLOOKUP(all_lmics18[[Setting]:[Setting]],all_cause_mort[],21,FALSE))</f>
        <v>0.11728566999999999</v>
      </c>
      <c r="AH48">
        <f>IF(VLOOKUP(all_lmics18[[Setting]:[Setting]],all_cause_mort[],22,FALSE)="",VLOOKUP(all_lmics18[[who_choice_region]:[who_choice_region]],missing[],26,FALSE),VLOOKUP(all_lmics18[[Setting]:[Setting]],all_cause_mort[],22,FALSE))</f>
        <v>0.17170224000000001</v>
      </c>
      <c r="AI48">
        <f>IF(VLOOKUP(all_lmics18[[Setting]:[Setting]],all_cause_mort[],23,FALSE)="",VLOOKUP(all_lmics18[[who_choice_region]:[who_choice_region]],missing[],27,FALSE),VLOOKUP(all_lmics18[[Setting]:[Setting]],all_cause_mort[],23,FALSE))</f>
        <v>0.24399900999999999</v>
      </c>
      <c r="AJ48">
        <f>IF(VLOOKUP(all_lmics18[[Setting]:[Setting]],all_cause_mort[],24,FALSE)="",VLOOKUP(all_lmics18[[who_choice_region]:[who_choice_region]],missing[],28,FALSE),VLOOKUP(all_lmics18[[Setting]:[Setting]],all_cause_mort[],24,FALSE))</f>
        <v>0.33252199999999998</v>
      </c>
      <c r="AK48">
        <f>IF(VLOOKUP(all_lmics18[[Setting]:[Setting]],all_cause_mort[],25,FALSE)="",VLOOKUP(all_lmics18[[who_choice_region]:[who_choice_region]],missing[],29,FALSE),VLOOKUP(all_lmics18[[Setting]:[Setting]],all_cause_mort[],25,FALSE))</f>
        <v>0.454902490968707</v>
      </c>
      <c r="AL48">
        <f>VLOOKUP(all_lmics18[[worldbank_region]:[worldbank_region]],Table13[],2,FALSE)</f>
        <v>73.064384999999987</v>
      </c>
      <c r="AM48">
        <f>VLOOKUP(all_lmics18[[worldbank_region]:[worldbank_region]],Table13[],3,FALSE)</f>
        <v>73.064384999999987</v>
      </c>
      <c r="AN48">
        <f>VLOOKUP(all_lmics18[[worldbank_region]:[worldbank_region]],Table13[],4,FALSE)</f>
        <v>120.79324499999998</v>
      </c>
      <c r="AO48">
        <f>VLOOKUP(all_lmics18[[worldbank_region]:[worldbank_region]],Table13[],5,FALSE)</f>
        <v>120.79324499999998</v>
      </c>
      <c r="AP48">
        <f>VLOOKUP(all_lmics18[[worldbank_region]:[worldbank_region]],Table13[],6,FALSE)</f>
        <v>120.79324499999998</v>
      </c>
      <c r="AQ48">
        <f>VLOOKUP(all_lmics18[[worldbank_region]:[worldbank_region]],Table14[],2,FALSE)</f>
        <v>1.34029</v>
      </c>
      <c r="AR48">
        <f>VLOOKUP(all_lmics18[[worldbank_region]:[worldbank_region]],Table14[],3,FALSE)</f>
        <v>1.9577900000000001</v>
      </c>
      <c r="AS48">
        <f>VLOOKUP(all_lmics18[[worldbank_region]:[worldbank_region]],Table14[],4,FALSE)</f>
        <v>1.9723159999999997</v>
      </c>
      <c r="AT48">
        <f>VLOOKUP(all_lmics18[[worldbank_region]:[worldbank_region]],Table14[],5,FALSE)</f>
        <v>2.5898159999999999</v>
      </c>
      <c r="AU48">
        <f>VLOOKUP(all_lmics18[[worldbank_region]:[worldbank_region]],Table14[],6,FALSE)</f>
        <v>3.1600679999999999</v>
      </c>
      <c r="AV48">
        <f>IFERROR(VLOOKUP(all_lmics18[[Setting]:[Setting]],nFacSBA[],4,FALSE),VLOOKUP(all_lmics18[[who_choice_region]:[who_choice_region]],missing[],30,FALSE))</f>
        <v>0.29941474153321612</v>
      </c>
      <c r="AW48">
        <f>VLOOKUP(all_lmics18[[worldbank_region]:[worldbank_region]],hbe[],2)</f>
        <v>0.3</v>
      </c>
      <c r="AX48">
        <f>VLOOKUP(all_lmics18[[worldbank_region]:[worldbank_region]],hbe[],5)</f>
        <v>0.875</v>
      </c>
      <c r="AY48">
        <f>VLOOKUP(all_lmics18[[worldbank_region]:[worldbank_region]],hbe[],8)</f>
        <v>0.15</v>
      </c>
    </row>
    <row r="49" spans="1:51" x14ac:dyDescent="0.35">
      <c r="A49" s="8" t="s">
        <v>145</v>
      </c>
      <c r="B49" s="10" t="s">
        <v>6</v>
      </c>
      <c r="C49" s="11" t="s">
        <v>7</v>
      </c>
      <c r="D49">
        <f>VLOOKUP(all_lmics18[[Setting]:[Setting]],populations[],9,FALSE)</f>
        <v>35739580</v>
      </c>
      <c r="E49">
        <f>VLOOKUP(all_lmics18[[Setting]:[Setting]],birthrate[],3,FALSE)</f>
        <v>1.9965E-2</v>
      </c>
      <c r="F49">
        <f>all_lmics18[[#This Row],[2017_population]]*all_lmics18[[#This Row],[2016_birthrate]]</f>
        <v>713540.71470000001</v>
      </c>
      <c r="G49">
        <f>VLOOKUP(all_lmics18[[Setting]:[Setting]],birthdose[],4,FALSE)</f>
        <v>0.33</v>
      </c>
      <c r="H49">
        <f>VLOOKUP(all_lmics18[[Setting]:[Setting]],fullvax[],4,FALSE)</f>
        <v>0.99</v>
      </c>
      <c r="I49">
        <f>IFERROR(VLOOKUP(all_lmics18[[Setting]:[Setting]],prev[],3,FALSE),VLOOKUP(all_lmics18[[who_choice_region]:[who_choice_region]],missing[],2,FALSE))</f>
        <v>1.0999999999999999E-2</v>
      </c>
      <c r="J49">
        <f>IFERROR(VLOOKUP(all_lmics18[[Setting]:[Setting]],prev[],4,FALSE),VLOOKUP(all_lmics18[[who_choice_region]:[who_choice_region]],missing[],3,FALSE))</f>
        <v>8.0000000000000002E-3</v>
      </c>
      <c r="K49">
        <f>IFERROR(VLOOKUP(all_lmics18[[Setting]:[Setting]],prev[],5,FALSE),VLOOKUP(all_lmics18[[who_choice_region]:[who_choice_region]],missing[],4,FALSE))</f>
        <v>1.2E-2</v>
      </c>
      <c r="L49">
        <f>IFERROR(VLOOKUP(all_lmics18[[Setting]:[Setting]],prev[],7,FALSE),VLOOKUP(all_lmics18[[who_choice_region]:[who_choice_region]],missing[],5,FALSE))</f>
        <v>5.1020408163265354E-4</v>
      </c>
      <c r="M49">
        <f>IFERROR(VLOOKUP(all_lmics18[[Setting]:[Setting]],prev[],6,FALSE),0)</f>
        <v>35739580</v>
      </c>
      <c r="N49">
        <f>IFERROR(VLOOKUP(all_lmics18[[Setting]:[Setting]],SBA[],4,FALSE),VLOOKUP(all_lmics18[[who_choice_region]:[who_choice_region]],missing[],6,FALSE))</f>
        <v>0.73599999999999999</v>
      </c>
      <c r="O49">
        <f>IFERROR(VLOOKUP(all_lmics18[[Setting]:[Setting]], facility[], 3,FALSE),VLOOKUP(all_lmics18[[who_choice_region]:[who_choice_region]],missing[],7,FALSE))</f>
        <v>0.72699999999999998</v>
      </c>
      <c r="P49">
        <f>IF(VLOOKUP(all_lmics18[[Setting]:[Setting]],all_cause_mort[],4,FALSE)="",VLOOKUP(all_lmics18[[who_choice_region]:[who_choice_region]],missing[],8,FALSE),VLOOKUP(all_lmics18[[Setting]:[Setting]],all_cause_mort[],4,FALSE))</f>
        <v>2.022871E-2</v>
      </c>
      <c r="Q49">
        <f>IF(VLOOKUP(all_lmics18[[Setting]:[Setting]],all_cause_mort[],5,FALSE)="",VLOOKUP(all_lmics18[[who_choice_region]:[who_choice_region]],missing[],9,FALSE),VLOOKUP(all_lmics18[[Setting]:[Setting]],all_cause_mort[],5,FALSE))</f>
        <v>9.0358677000000002E-4</v>
      </c>
      <c r="R49">
        <f>IF(VLOOKUP(all_lmics18[[Setting]:[Setting]],all_cause_mort[],6,FALSE)="",VLOOKUP(all_lmics18[[who_choice_region]:[who_choice_region]],missing[],10,FALSE),VLOOKUP(all_lmics18[[Setting]:[Setting]],all_cause_mort[],6,FALSE))</f>
        <v>4.2133494999999999E-4</v>
      </c>
      <c r="S49">
        <f>IF(VLOOKUP(all_lmics18[[Setting]:[Setting]],all_cause_mort[],7,FALSE)="",VLOOKUP(all_lmics18[[who_choice_region]:[who_choice_region]],missing[],11,FALSE),VLOOKUP(all_lmics18[[Setting]:[Setting]],all_cause_mort[],7,FALSE))</f>
        <v>2.5591436000000001E-4</v>
      </c>
      <c r="T49">
        <f>IF(VLOOKUP(all_lmics18[[Setting]:[Setting]],all_cause_mort[],8,FALSE)="",VLOOKUP(all_lmics18[[who_choice_region]:[who_choice_region]],missing[],12,FALSE),VLOOKUP(all_lmics18[[Setting]:[Setting]],all_cause_mort[],8,FALSE))</f>
        <v>4.1535371000000001E-4</v>
      </c>
      <c r="U49">
        <f>IF(VLOOKUP(all_lmics18[[Setting]:[Setting]],all_cause_mort[],9,FALSE)="",VLOOKUP(all_lmics18[[who_choice_region]:[who_choice_region]],missing[],13,FALSE),VLOOKUP(all_lmics18[[Setting]:[Setting]],all_cause_mort[],9,FALSE))</f>
        <v>6.0543558000000005E-4</v>
      </c>
      <c r="V49">
        <f>IF(VLOOKUP(all_lmics18[[Setting]:[Setting]],all_cause_mort[],10,FALSE)="",VLOOKUP(all_lmics18[[who_choice_region]:[who_choice_region]],missing[],14,FALSE),VLOOKUP(all_lmics18[[Setting]:[Setting]],all_cause_mort[],10,FALSE))</f>
        <v>6.7007407000000004E-4</v>
      </c>
      <c r="W49">
        <f>IF(VLOOKUP(all_lmics18[[Setting]:[Setting]],all_cause_mort[],11,FALSE)="",VLOOKUP(all_lmics18[[who_choice_region]:[who_choice_region]],missing[],15,FALSE),VLOOKUP(all_lmics18[[Setting]:[Setting]],all_cause_mort[],11,FALSE))</f>
        <v>7.4422688000000002E-4</v>
      </c>
      <c r="X49">
        <f>IF(VLOOKUP(all_lmics18[[Setting]:[Setting]],all_cause_mort[],12,FALSE)="",VLOOKUP(all_lmics18[[who_choice_region]:[who_choice_region]],missing[],16,FALSE),VLOOKUP(all_lmics18[[Setting]:[Setting]],all_cause_mort[],12,FALSE))</f>
        <v>1.0038378000000001E-3</v>
      </c>
      <c r="Y49">
        <f>IF(VLOOKUP(all_lmics18[[Setting]:[Setting]],all_cause_mort[],13,FALSE)="",VLOOKUP(all_lmics18[[who_choice_region]:[who_choice_region]],missing[],17,FALSE),VLOOKUP(all_lmics18[[Setting]:[Setting]],all_cause_mort[],13,FALSE))</f>
        <v>1.3350065000000001E-3</v>
      </c>
      <c r="Z49">
        <f>IF(VLOOKUP(all_lmics18[[Setting]:[Setting]],all_cause_mort[],14,FALSE)="",VLOOKUP(all_lmics18[[who_choice_region]:[who_choice_region]],missing[],18,FALSE),VLOOKUP(all_lmics18[[Setting]:[Setting]],all_cause_mort[],14,FALSE))</f>
        <v>1.9089210000000001E-3</v>
      </c>
      <c r="AA49">
        <f>IF(VLOOKUP(all_lmics18[[Setting]:[Setting]],all_cause_mort[],15,FALSE)="",VLOOKUP(all_lmics18[[who_choice_region]:[who_choice_region]],missing[],19,FALSE),VLOOKUP(all_lmics18[[Setting]:[Setting]],all_cause_mort[],15,FALSE))</f>
        <v>2.9226598E-3</v>
      </c>
      <c r="AB49">
        <f>IF(VLOOKUP(all_lmics18[[Setting]:[Setting]],all_cause_mort[],16,FALSE)="",VLOOKUP(all_lmics18[[who_choice_region]:[who_choice_region]],missing[],20,FALSE),VLOOKUP(all_lmics18[[Setting]:[Setting]],all_cause_mort[],16,FALSE))</f>
        <v>4.5565935E-3</v>
      </c>
      <c r="AC49">
        <f>IF(VLOOKUP(all_lmics18[[Setting]:[Setting]],all_cause_mort[],17,FALSE)="",VLOOKUP(all_lmics18[[who_choice_region]:[who_choice_region]],missing[],21,FALSE),VLOOKUP(all_lmics18[[Setting]:[Setting]],all_cause_mort[],17,FALSE))</f>
        <v>7.9651510999999998E-3</v>
      </c>
      <c r="AD49">
        <f>IF(VLOOKUP(all_lmics18[[Setting]:[Setting]],all_cause_mort[],18,FALSE)="",VLOOKUP(all_lmics18[[who_choice_region]:[who_choice_region]],missing[],22,FALSE),VLOOKUP(all_lmics18[[Setting]:[Setting]],all_cause_mort[],18,FALSE))</f>
        <v>1.4359490000000001E-2</v>
      </c>
      <c r="AE49">
        <f>IF(VLOOKUP(all_lmics18[[Setting]:[Setting]],all_cause_mort[],19,FALSE)="",VLOOKUP(all_lmics18[[who_choice_region]:[who_choice_region]],missing[],23,FALSE),VLOOKUP(all_lmics18[[Setting]:[Setting]],all_cause_mort[],19,FALSE))</f>
        <v>2.96108E-2</v>
      </c>
      <c r="AF49">
        <f>IF(VLOOKUP(all_lmics18[[Setting]:[Setting]],all_cause_mort[],20,FALSE)="",VLOOKUP(all_lmics18[[who_choice_region]:[who_choice_region]],missing[],24,FALSE),VLOOKUP(all_lmics18[[Setting]:[Setting]],all_cause_mort[],20,FALSE))</f>
        <v>5.2781624999999999E-2</v>
      </c>
      <c r="AG49">
        <f>IF(VLOOKUP(all_lmics18[[Setting]:[Setting]],all_cause_mort[],21,FALSE)="",VLOOKUP(all_lmics18[[who_choice_region]:[who_choice_region]],missing[],25,FALSE),VLOOKUP(all_lmics18[[Setting]:[Setting]],all_cause_mort[],21,FALSE))</f>
        <v>0.11870912</v>
      </c>
      <c r="AH49">
        <f>IF(VLOOKUP(all_lmics18[[Setting]:[Setting]],all_cause_mort[],22,FALSE)="",VLOOKUP(all_lmics18[[who_choice_region]:[who_choice_region]],missing[],26,FALSE),VLOOKUP(all_lmics18[[Setting]:[Setting]],all_cause_mort[],22,FALSE))</f>
        <v>0.22448203</v>
      </c>
      <c r="AI49">
        <f>IF(VLOOKUP(all_lmics18[[Setting]:[Setting]],all_cause_mort[],23,FALSE)="",VLOOKUP(all_lmics18[[who_choice_region]:[who_choice_region]],missing[],27,FALSE),VLOOKUP(all_lmics18[[Setting]:[Setting]],all_cause_mort[],23,FALSE))</f>
        <v>0.37776873</v>
      </c>
      <c r="AJ49">
        <f>IF(VLOOKUP(all_lmics18[[Setting]:[Setting]],all_cause_mort[],24,FALSE)="",VLOOKUP(all_lmics18[[who_choice_region]:[who_choice_region]],missing[],28,FALSE),VLOOKUP(all_lmics18[[Setting]:[Setting]],all_cause_mort[],24,FALSE))</f>
        <v>0.47924042</v>
      </c>
      <c r="AK49">
        <f>IF(VLOOKUP(all_lmics18[[Setting]:[Setting]],all_cause_mort[],25,FALSE)="",VLOOKUP(all_lmics18[[who_choice_region]:[who_choice_region]],missing[],29,FALSE),VLOOKUP(all_lmics18[[Setting]:[Setting]],all_cause_mort[],25,FALSE))</f>
        <v>0.599943941238131</v>
      </c>
      <c r="AL49">
        <f>VLOOKUP(all_lmics18[[worldbank_region]:[worldbank_region]],Table13[],2,FALSE)</f>
        <v>57.906657999999993</v>
      </c>
      <c r="AM49">
        <f>VLOOKUP(all_lmics18[[worldbank_region]:[worldbank_region]],Table13[],3,FALSE)</f>
        <v>57.906657999999993</v>
      </c>
      <c r="AN49">
        <f>VLOOKUP(all_lmics18[[worldbank_region]:[worldbank_region]],Table13[],4,FALSE)</f>
        <v>105.63551799999999</v>
      </c>
      <c r="AO49">
        <f>VLOOKUP(all_lmics18[[worldbank_region]:[worldbank_region]],Table13[],5,FALSE)</f>
        <v>105.63551799999999</v>
      </c>
      <c r="AP49">
        <f>VLOOKUP(all_lmics18[[worldbank_region]:[worldbank_region]],Table13[],6,FALSE)</f>
        <v>105.63551799999999</v>
      </c>
      <c r="AQ49">
        <f>VLOOKUP(all_lmics18[[worldbank_region]:[worldbank_region]],Table14[],2,FALSE)</f>
        <v>1.5037449999999999</v>
      </c>
      <c r="AR49">
        <f>VLOOKUP(all_lmics18[[worldbank_region]:[worldbank_region]],Table14[],3,FALSE)</f>
        <v>2.121245</v>
      </c>
      <c r="AS49">
        <f>VLOOKUP(all_lmics18[[worldbank_region]:[worldbank_region]],Table14[],4,FALSE)</f>
        <v>1.9832129999999999</v>
      </c>
      <c r="AT49">
        <f>VLOOKUP(all_lmics18[[worldbank_region]:[worldbank_region]],Table14[],5,FALSE)</f>
        <v>2.6007129999999998</v>
      </c>
      <c r="AU49">
        <f>VLOOKUP(all_lmics18[[worldbank_region]:[worldbank_region]],Table14[],6,FALSE)</f>
        <v>3.1709649999999998</v>
      </c>
      <c r="AV49">
        <f>IFERROR(VLOOKUP(all_lmics18[[Setting]:[Setting]],nFacSBA[],4,FALSE),VLOOKUP(all_lmics18[[who_choice_region]:[who_choice_region]],missing[],30,FALSE))</f>
        <v>0.19847607365600636</v>
      </c>
      <c r="AW49">
        <f>VLOOKUP(all_lmics18[[worldbank_region]:[worldbank_region]],hbe[],2)</f>
        <v>0.3</v>
      </c>
      <c r="AX49">
        <f>VLOOKUP(all_lmics18[[worldbank_region]:[worldbank_region]],hbe[],5)</f>
        <v>0.875</v>
      </c>
      <c r="AY49">
        <f>VLOOKUP(all_lmics18[[worldbank_region]:[worldbank_region]],hbe[],8)</f>
        <v>0.15</v>
      </c>
    </row>
    <row r="50" spans="1:51" x14ac:dyDescent="0.35">
      <c r="A50" s="8" t="s">
        <v>147</v>
      </c>
      <c r="B50" s="10" t="s">
        <v>36</v>
      </c>
      <c r="C50" s="11" t="s">
        <v>37</v>
      </c>
      <c r="D50">
        <f>VLOOKUP(all_lmics18[[Setting]:[Setting]],populations[],9,FALSE)</f>
        <v>53370609</v>
      </c>
      <c r="E50">
        <f>VLOOKUP(all_lmics18[[Setting]:[Setting]],birthrate[],3,FALSE)</f>
        <v>1.7794000000000001E-2</v>
      </c>
      <c r="F50">
        <f>all_lmics18[[#This Row],[2017_population]]*all_lmics18[[#This Row],[2016_birthrate]]</f>
        <v>949676.616546</v>
      </c>
      <c r="G50">
        <f>VLOOKUP(all_lmics18[[Setting]:[Setting]],birthdose[],4,FALSE)</f>
        <v>0.01</v>
      </c>
      <c r="H50">
        <f>VLOOKUP(all_lmics18[[Setting]:[Setting]],fullvax[],4,FALSE)</f>
        <v>0.89</v>
      </c>
      <c r="I50">
        <f>IFERROR(VLOOKUP(all_lmics18[[Setting]:[Setting]],prev[],3,FALSE),VLOOKUP(all_lmics18[[who_choice_region]:[who_choice_region]],missing[],2,FALSE))</f>
        <v>8.3000000000000004E-2</v>
      </c>
      <c r="J50">
        <f>IFERROR(VLOOKUP(all_lmics18[[Setting]:[Setting]],prev[],4,FALSE),VLOOKUP(all_lmics18[[who_choice_region]:[who_choice_region]],missing[],3,FALSE))</f>
        <v>4.5999999999999999E-2</v>
      </c>
      <c r="K50">
        <f>IFERROR(VLOOKUP(all_lmics18[[Setting]:[Setting]],prev[],5,FALSE),VLOOKUP(all_lmics18[[who_choice_region]:[who_choice_region]],missing[],4,FALSE))</f>
        <v>9.4E-2</v>
      </c>
      <c r="L50">
        <f>IFERROR(VLOOKUP(all_lmics18[[Setting]:[Setting]],prev[],7,FALSE),VLOOKUP(all_lmics18[[who_choice_region]:[who_choice_region]],missing[],5,FALSE))</f>
        <v>5.6122448979591816E-3</v>
      </c>
      <c r="M50">
        <f>IFERROR(VLOOKUP(all_lmics18[[Setting]:[Setting]],prev[],6,FALSE),0)</f>
        <v>53370609</v>
      </c>
      <c r="N50">
        <f>IFERROR(VLOOKUP(all_lmics18[[Setting]:[Setting]],SBA[],4,FALSE),VLOOKUP(all_lmics18[[who_choice_region]:[who_choice_region]],missing[],6,FALSE))</f>
        <v>0.60199999999999998</v>
      </c>
      <c r="O50">
        <f>IFERROR(VLOOKUP(all_lmics18[[Setting]:[Setting]], facility[], 3,FALSE),VLOOKUP(all_lmics18[[who_choice_region]:[who_choice_region]],missing[],7,FALSE))</f>
        <v>0.371</v>
      </c>
      <c r="P50">
        <f>IF(VLOOKUP(all_lmics18[[Setting]:[Setting]],all_cause_mort[],4,FALSE)="",VLOOKUP(all_lmics18[[who_choice_region]:[who_choice_region]],missing[],8,FALSE),VLOOKUP(all_lmics18[[Setting]:[Setting]],all_cause_mort[],4,FALSE))</f>
        <v>3.9703889999999999E-2</v>
      </c>
      <c r="Q50">
        <f>IF(VLOOKUP(all_lmics18[[Setting]:[Setting]],all_cause_mort[],5,FALSE)="",VLOOKUP(all_lmics18[[who_choice_region]:[who_choice_region]],missing[],9,FALSE),VLOOKUP(all_lmics18[[Setting]:[Setting]],all_cause_mort[],5,FALSE))</f>
        <v>2.5280085000000002E-3</v>
      </c>
      <c r="R50">
        <f>IF(VLOOKUP(all_lmics18[[Setting]:[Setting]],all_cause_mort[],6,FALSE)="",VLOOKUP(all_lmics18[[who_choice_region]:[who_choice_region]],missing[],10,FALSE),VLOOKUP(all_lmics18[[Setting]:[Setting]],all_cause_mort[],6,FALSE))</f>
        <v>1.0758286E-3</v>
      </c>
      <c r="S50">
        <f>IF(VLOOKUP(all_lmics18[[Setting]:[Setting]],all_cause_mort[],7,FALSE)="",VLOOKUP(all_lmics18[[who_choice_region]:[who_choice_region]],missing[],11,FALSE),VLOOKUP(all_lmics18[[Setting]:[Setting]],all_cause_mort[],7,FALSE))</f>
        <v>8.7298252999999995E-4</v>
      </c>
      <c r="T50">
        <f>IF(VLOOKUP(all_lmics18[[Setting]:[Setting]],all_cause_mort[],8,FALSE)="",VLOOKUP(all_lmics18[[who_choice_region]:[who_choice_region]],missing[],12,FALSE),VLOOKUP(all_lmics18[[Setting]:[Setting]],all_cause_mort[],8,FALSE))</f>
        <v>1.4165717E-3</v>
      </c>
      <c r="U50">
        <f>IF(VLOOKUP(all_lmics18[[Setting]:[Setting]],all_cause_mort[],9,FALSE)="",VLOOKUP(all_lmics18[[who_choice_region]:[who_choice_region]],missing[],13,FALSE),VLOOKUP(all_lmics18[[Setting]:[Setting]],all_cause_mort[],9,FALSE))</f>
        <v>2.0049069000000002E-3</v>
      </c>
      <c r="V50">
        <f>IF(VLOOKUP(all_lmics18[[Setting]:[Setting]],all_cause_mort[],10,FALSE)="",VLOOKUP(all_lmics18[[who_choice_region]:[who_choice_region]],missing[],14,FALSE),VLOOKUP(all_lmics18[[Setting]:[Setting]],all_cause_mort[],10,FALSE))</f>
        <v>2.1732853000000002E-3</v>
      </c>
      <c r="W50">
        <f>IF(VLOOKUP(all_lmics18[[Setting]:[Setting]],all_cause_mort[],11,FALSE)="",VLOOKUP(all_lmics18[[who_choice_region]:[who_choice_region]],missing[],15,FALSE),VLOOKUP(all_lmics18[[Setting]:[Setting]],all_cause_mort[],11,FALSE))</f>
        <v>2.5033976999999999E-3</v>
      </c>
      <c r="X50">
        <f>IF(VLOOKUP(all_lmics18[[Setting]:[Setting]],all_cause_mort[],12,FALSE)="",VLOOKUP(all_lmics18[[who_choice_region]:[who_choice_region]],missing[],16,FALSE),VLOOKUP(all_lmics18[[Setting]:[Setting]],all_cause_mort[],12,FALSE))</f>
        <v>3.169411E-3</v>
      </c>
      <c r="Y50">
        <f>IF(VLOOKUP(all_lmics18[[Setting]:[Setting]],all_cause_mort[],13,FALSE)="",VLOOKUP(all_lmics18[[who_choice_region]:[who_choice_region]],missing[],17,FALSE),VLOOKUP(all_lmics18[[Setting]:[Setting]],all_cause_mort[],13,FALSE))</f>
        <v>4.2891203999999997E-3</v>
      </c>
      <c r="Z50">
        <f>IF(VLOOKUP(all_lmics18[[Setting]:[Setting]],all_cause_mort[],14,FALSE)="",VLOOKUP(all_lmics18[[who_choice_region]:[who_choice_region]],missing[],18,FALSE),VLOOKUP(all_lmics18[[Setting]:[Setting]],all_cause_mort[],14,FALSE))</f>
        <v>6.1574480000000003E-3</v>
      </c>
      <c r="AA50">
        <f>IF(VLOOKUP(all_lmics18[[Setting]:[Setting]],all_cause_mort[],15,FALSE)="",VLOOKUP(all_lmics18[[who_choice_region]:[who_choice_region]],missing[],19,FALSE),VLOOKUP(all_lmics18[[Setting]:[Setting]],all_cause_mort[],15,FALSE))</f>
        <v>9.0870881999999993E-3</v>
      </c>
      <c r="AB50">
        <f>IF(VLOOKUP(all_lmics18[[Setting]:[Setting]],all_cause_mort[],16,FALSE)="",VLOOKUP(all_lmics18[[who_choice_region]:[who_choice_region]],missing[],20,FALSE),VLOOKUP(all_lmics18[[Setting]:[Setting]],all_cause_mort[],16,FALSE))</f>
        <v>1.3602105E-2</v>
      </c>
      <c r="AC50">
        <f>IF(VLOOKUP(all_lmics18[[Setting]:[Setting]],all_cause_mort[],17,FALSE)="",VLOOKUP(all_lmics18[[who_choice_region]:[who_choice_region]],missing[],21,FALSE),VLOOKUP(all_lmics18[[Setting]:[Setting]],all_cause_mort[],17,FALSE))</f>
        <v>2.0891752E-2</v>
      </c>
      <c r="AD50">
        <f>IF(VLOOKUP(all_lmics18[[Setting]:[Setting]],all_cause_mort[],18,FALSE)="",VLOOKUP(all_lmics18[[who_choice_region]:[who_choice_region]],missing[],22,FALSE),VLOOKUP(all_lmics18[[Setting]:[Setting]],all_cause_mort[],18,FALSE))</f>
        <v>3.2898747999999998E-2</v>
      </c>
      <c r="AE50">
        <f>IF(VLOOKUP(all_lmics18[[Setting]:[Setting]],all_cause_mort[],19,FALSE)="",VLOOKUP(all_lmics18[[who_choice_region]:[who_choice_region]],missing[],23,FALSE),VLOOKUP(all_lmics18[[Setting]:[Setting]],all_cause_mort[],19,FALSE))</f>
        <v>5.3234761999999998E-2</v>
      </c>
      <c r="AF50">
        <f>IF(VLOOKUP(all_lmics18[[Setting]:[Setting]],all_cause_mort[],20,FALSE)="",VLOOKUP(all_lmics18[[who_choice_region]:[who_choice_region]],missing[],24,FALSE),VLOOKUP(all_lmics18[[Setting]:[Setting]],all_cause_mort[],20,FALSE))</f>
        <v>8.6057529999999993E-2</v>
      </c>
      <c r="AG50">
        <f>IF(VLOOKUP(all_lmics18[[Setting]:[Setting]],all_cause_mort[],21,FALSE)="",VLOOKUP(all_lmics18[[who_choice_region]:[who_choice_region]],missing[],25,FALSE),VLOOKUP(all_lmics18[[Setting]:[Setting]],all_cause_mort[],21,FALSE))</f>
        <v>0.13902987</v>
      </c>
      <c r="AH50">
        <f>IF(VLOOKUP(all_lmics18[[Setting]:[Setting]],all_cause_mort[],22,FALSE)="",VLOOKUP(all_lmics18[[who_choice_region]:[who_choice_region]],missing[],26,FALSE),VLOOKUP(all_lmics18[[Setting]:[Setting]],all_cause_mort[],22,FALSE))</f>
        <v>0.21647015</v>
      </c>
      <c r="AI50">
        <f>IF(VLOOKUP(all_lmics18[[Setting]:[Setting]],all_cause_mort[],23,FALSE)="",VLOOKUP(all_lmics18[[who_choice_region]:[who_choice_region]],missing[],27,FALSE),VLOOKUP(all_lmics18[[Setting]:[Setting]],all_cause_mort[],23,FALSE))</f>
        <v>0.31694612999999999</v>
      </c>
      <c r="AJ50">
        <f>IF(VLOOKUP(all_lmics18[[Setting]:[Setting]],all_cause_mort[],24,FALSE)="",VLOOKUP(all_lmics18[[who_choice_region]:[who_choice_region]],missing[],28,FALSE),VLOOKUP(all_lmics18[[Setting]:[Setting]],all_cause_mort[],24,FALSE))</f>
        <v>0.43120182000000001</v>
      </c>
      <c r="AK50">
        <f>IF(VLOOKUP(all_lmics18[[Setting]:[Setting]],all_cause_mort[],25,FALSE)="",VLOOKUP(all_lmics18[[who_choice_region]:[who_choice_region]],missing[],29,FALSE),VLOOKUP(all_lmics18[[Setting]:[Setting]],all_cause_mort[],25,FALSE))</f>
        <v>0.58714013960666001</v>
      </c>
      <c r="AL50">
        <f>VLOOKUP(all_lmics18[[worldbank_region]:[worldbank_region]],Table13[],2,FALSE)</f>
        <v>57.361807999999996</v>
      </c>
      <c r="AM50">
        <f>VLOOKUP(all_lmics18[[worldbank_region]:[worldbank_region]],Table13[],3,FALSE)</f>
        <v>57.361807999999996</v>
      </c>
      <c r="AN50">
        <f>VLOOKUP(all_lmics18[[worldbank_region]:[worldbank_region]],Table13[],4,FALSE)</f>
        <v>105.09066799999999</v>
      </c>
      <c r="AO50">
        <f>VLOOKUP(all_lmics18[[worldbank_region]:[worldbank_region]],Table13[],5,FALSE)</f>
        <v>105.09066799999999</v>
      </c>
      <c r="AP50">
        <f>VLOOKUP(all_lmics18[[worldbank_region]:[worldbank_region]],Table13[],6,FALSE)</f>
        <v>105.09066799999999</v>
      </c>
      <c r="AQ50">
        <f>VLOOKUP(all_lmics18[[worldbank_region]:[worldbank_region]],Table14[],2,FALSE)</f>
        <v>0.95889500000000005</v>
      </c>
      <c r="AR50">
        <f>VLOOKUP(all_lmics18[[worldbank_region]:[worldbank_region]],Table14[],3,FALSE)</f>
        <v>1.5763950000000002</v>
      </c>
      <c r="AS50">
        <f>VLOOKUP(all_lmics18[[worldbank_region]:[worldbank_region]],Table14[],4,FALSE)</f>
        <v>33.028765999999997</v>
      </c>
      <c r="AT50">
        <f>VLOOKUP(all_lmics18[[worldbank_region]:[worldbank_region]],Table14[],5,FALSE)</f>
        <v>33.646265999999997</v>
      </c>
      <c r="AU50">
        <f>VLOOKUP(all_lmics18[[worldbank_region]:[worldbank_region]],Table14[],6,FALSE)</f>
        <v>34.216518000000001</v>
      </c>
      <c r="AV50">
        <f>IFERROR(VLOOKUP(all_lmics18[[Setting]:[Setting]],nFacSBA[],4,FALSE),VLOOKUP(all_lmics18[[who_choice_region]:[who_choice_region]],missing[],30,FALSE))</f>
        <v>0.12867521426317013</v>
      </c>
      <c r="AW50">
        <f>VLOOKUP(all_lmics18[[worldbank_region]:[worldbank_region]],hbe[],2)</f>
        <v>0.3</v>
      </c>
      <c r="AX50">
        <f>VLOOKUP(all_lmics18[[worldbank_region]:[worldbank_region]],hbe[],5)</f>
        <v>0.875</v>
      </c>
      <c r="AY50">
        <f>VLOOKUP(all_lmics18[[worldbank_region]:[worldbank_region]],hbe[],8)</f>
        <v>0.15</v>
      </c>
    </row>
    <row r="51" spans="1:51" x14ac:dyDescent="0.35">
      <c r="A51" s="12" t="s">
        <v>148</v>
      </c>
      <c r="B51" s="13" t="s">
        <v>49</v>
      </c>
      <c r="C51" s="14" t="s">
        <v>15</v>
      </c>
      <c r="D51">
        <f>VLOOKUP(all_lmics18[[Setting]:[Setting]],populations[],9,FALSE)</f>
        <v>2533794</v>
      </c>
      <c r="E51">
        <f>VLOOKUP(all_lmics18[[Setting]:[Setting]],birthrate[],3,FALSE)</f>
        <v>2.9181000000000002E-2</v>
      </c>
      <c r="F51">
        <f>all_lmics18[[#This Row],[2017_population]]*all_lmics18[[#This Row],[2016_birthrate]]</f>
        <v>73938.642714000001</v>
      </c>
      <c r="G51">
        <f>VLOOKUP(all_lmics18[[Setting]:[Setting]],birthdose[],4,FALSE)</f>
        <v>0.85</v>
      </c>
      <c r="H51">
        <f>VLOOKUP(all_lmics18[[Setting]:[Setting]],fullvax[],4,FALSE)</f>
        <v>0.88</v>
      </c>
      <c r="I51">
        <f>IFERROR(VLOOKUP(all_lmics18[[Setting]:[Setting]],prev[],3,FALSE),VLOOKUP(all_lmics18[[who_choice_region]:[who_choice_region]],missing[],2,FALSE))</f>
        <v>8.6099999999999996E-2</v>
      </c>
      <c r="J51">
        <f>IFERROR(VLOOKUP(all_lmics18[[Setting]:[Setting]],prev[],4,FALSE),VLOOKUP(all_lmics18[[who_choice_region]:[who_choice_region]],missing[],3,FALSE))</f>
        <v>8.1000000000000003E-2</v>
      </c>
      <c r="K51">
        <f>IFERROR(VLOOKUP(all_lmics18[[Setting]:[Setting]],prev[],5,FALSE),VLOOKUP(all_lmics18[[who_choice_region]:[who_choice_region]],missing[],4,FALSE))</f>
        <v>9.1600000000000001E-2</v>
      </c>
      <c r="L51">
        <f>IFERROR(VLOOKUP(all_lmics18[[Setting]:[Setting]],prev[],7,FALSE),VLOOKUP(all_lmics18[[who_choice_region]:[who_choice_region]],missing[],5,FALSE))</f>
        <v>2.8061224489795943E-3</v>
      </c>
      <c r="M51">
        <f>IFERROR(VLOOKUP(all_lmics18[[Setting]:[Setting]],prev[],6,FALSE),0)</f>
        <v>2173170</v>
      </c>
      <c r="N51">
        <f>IFERROR(VLOOKUP(all_lmics18[[Setting]:[Setting]],SBA[],4,FALSE),VLOOKUP(all_lmics18[[who_choice_region]:[who_choice_region]],missing[],6,FALSE))</f>
        <v>0.88200000000000001</v>
      </c>
      <c r="O51">
        <f>IFERROR(VLOOKUP(all_lmics18[[Setting]:[Setting]], facility[], 3,FALSE),VLOOKUP(all_lmics18[[who_choice_region]:[who_choice_region]],missing[],7,FALSE))</f>
        <v>0.87400000000000011</v>
      </c>
      <c r="P51">
        <f>IF(VLOOKUP(all_lmics18[[Setting]:[Setting]],all_cause_mort[],4,FALSE)="",VLOOKUP(all_lmics18[[who_choice_region]:[who_choice_region]],missing[],8,FALSE),VLOOKUP(all_lmics18[[Setting]:[Setting]],all_cause_mort[],4,FALSE))</f>
        <v>3.4377681E-2</v>
      </c>
      <c r="Q51">
        <f>IF(VLOOKUP(all_lmics18[[Setting]:[Setting]],all_cause_mort[],5,FALSE)="",VLOOKUP(all_lmics18[[who_choice_region]:[who_choice_region]],missing[],9,FALSE),VLOOKUP(all_lmics18[[Setting]:[Setting]],all_cause_mort[],5,FALSE))</f>
        <v>2.9099013E-3</v>
      </c>
      <c r="R51">
        <f>IF(VLOOKUP(all_lmics18[[Setting]:[Setting]],all_cause_mort[],6,FALSE)="",VLOOKUP(all_lmics18[[who_choice_region]:[who_choice_region]],missing[],10,FALSE),VLOOKUP(all_lmics18[[Setting]:[Setting]],all_cause_mort[],6,FALSE))</f>
        <v>1.2285111000000001E-3</v>
      </c>
      <c r="S51">
        <f>IF(VLOOKUP(all_lmics18[[Setting]:[Setting]],all_cause_mort[],7,FALSE)="",VLOOKUP(all_lmics18[[who_choice_region]:[who_choice_region]],missing[],11,FALSE),VLOOKUP(all_lmics18[[Setting]:[Setting]],all_cause_mort[],7,FALSE))</f>
        <v>9.9083799999999996E-4</v>
      </c>
      <c r="T51">
        <f>IF(VLOOKUP(all_lmics18[[Setting]:[Setting]],all_cause_mort[],8,FALSE)="",VLOOKUP(all_lmics18[[who_choice_region]:[who_choice_region]],missing[],12,FALSE),VLOOKUP(all_lmics18[[Setting]:[Setting]],all_cause_mort[],8,FALSE))</f>
        <v>1.6716044000000001E-3</v>
      </c>
      <c r="U51">
        <f>IF(VLOOKUP(all_lmics18[[Setting]:[Setting]],all_cause_mort[],9,FALSE)="",VLOOKUP(all_lmics18[[who_choice_region]:[who_choice_region]],missing[],13,FALSE),VLOOKUP(all_lmics18[[Setting]:[Setting]],all_cause_mort[],9,FALSE))</f>
        <v>2.7393644999999999E-3</v>
      </c>
      <c r="V51">
        <f>IF(VLOOKUP(all_lmics18[[Setting]:[Setting]],all_cause_mort[],10,FALSE)="",VLOOKUP(all_lmics18[[who_choice_region]:[who_choice_region]],missing[],14,FALSE),VLOOKUP(all_lmics18[[Setting]:[Setting]],all_cause_mort[],10,FALSE))</f>
        <v>3.9588619999999996E-3</v>
      </c>
      <c r="W51">
        <f>IF(VLOOKUP(all_lmics18[[Setting]:[Setting]],all_cause_mort[],11,FALSE)="",VLOOKUP(all_lmics18[[who_choice_region]:[who_choice_region]],missing[],15,FALSE),VLOOKUP(all_lmics18[[Setting]:[Setting]],all_cause_mort[],11,FALSE))</f>
        <v>5.2867195999999998E-3</v>
      </c>
      <c r="X51">
        <f>IF(VLOOKUP(all_lmics18[[Setting]:[Setting]],all_cause_mort[],12,FALSE)="",VLOOKUP(all_lmics18[[who_choice_region]:[who_choice_region]],missing[],16,FALSE),VLOOKUP(all_lmics18[[Setting]:[Setting]],all_cause_mort[],12,FALSE))</f>
        <v>7.1688393999999999E-3</v>
      </c>
      <c r="Y51">
        <f>IF(VLOOKUP(all_lmics18[[Setting]:[Setting]],all_cause_mort[],13,FALSE)="",VLOOKUP(all_lmics18[[who_choice_region]:[who_choice_region]],missing[],17,FALSE),VLOOKUP(all_lmics18[[Setting]:[Setting]],all_cause_mort[],13,FALSE))</f>
        <v>8.8100721E-3</v>
      </c>
      <c r="Z51">
        <f>IF(VLOOKUP(all_lmics18[[Setting]:[Setting]],all_cause_mort[],14,FALSE)="",VLOOKUP(all_lmics18[[who_choice_region]:[who_choice_region]],missing[],18,FALSE),VLOOKUP(all_lmics18[[Setting]:[Setting]],all_cause_mort[],14,FALSE))</f>
        <v>1.0793336000000001E-2</v>
      </c>
      <c r="AA51">
        <f>IF(VLOOKUP(all_lmics18[[Setting]:[Setting]],all_cause_mort[],15,FALSE)="",VLOOKUP(all_lmics18[[who_choice_region]:[who_choice_region]],missing[],19,FALSE),VLOOKUP(all_lmics18[[Setting]:[Setting]],all_cause_mort[],15,FALSE))</f>
        <v>1.3913755999999999E-2</v>
      </c>
      <c r="AB51">
        <f>IF(VLOOKUP(all_lmics18[[Setting]:[Setting]],all_cause_mort[],16,FALSE)="",VLOOKUP(all_lmics18[[who_choice_region]:[who_choice_region]],missing[],20,FALSE),VLOOKUP(all_lmics18[[Setting]:[Setting]],all_cause_mort[],16,FALSE))</f>
        <v>1.7548792000000001E-2</v>
      </c>
      <c r="AC51">
        <f>IF(VLOOKUP(all_lmics18[[Setting]:[Setting]],all_cause_mort[],17,FALSE)="",VLOOKUP(all_lmics18[[who_choice_region]:[who_choice_region]],missing[],21,FALSE),VLOOKUP(all_lmics18[[Setting]:[Setting]],all_cause_mort[],17,FALSE))</f>
        <v>2.4419335E-2</v>
      </c>
      <c r="AD51">
        <f>IF(VLOOKUP(all_lmics18[[Setting]:[Setting]],all_cause_mort[],18,FALSE)="",VLOOKUP(all_lmics18[[who_choice_region]:[who_choice_region]],missing[],22,FALSE),VLOOKUP(all_lmics18[[Setting]:[Setting]],all_cause_mort[],18,FALSE))</f>
        <v>3.6367178E-2</v>
      </c>
      <c r="AE51">
        <f>IF(VLOOKUP(all_lmics18[[Setting]:[Setting]],all_cause_mort[],19,FALSE)="",VLOOKUP(all_lmics18[[who_choice_region]:[who_choice_region]],missing[],23,FALSE),VLOOKUP(all_lmics18[[Setting]:[Setting]],all_cause_mort[],19,FALSE))</f>
        <v>5.6585254000000001E-2</v>
      </c>
      <c r="AF51">
        <f>IF(VLOOKUP(all_lmics18[[Setting]:[Setting]],all_cause_mort[],20,FALSE)="",VLOOKUP(all_lmics18[[who_choice_region]:[who_choice_region]],missing[],24,FALSE),VLOOKUP(all_lmics18[[Setting]:[Setting]],all_cause_mort[],20,FALSE))</f>
        <v>8.9494286000000006E-2</v>
      </c>
      <c r="AG51">
        <f>IF(VLOOKUP(all_lmics18[[Setting]:[Setting]],all_cause_mort[],21,FALSE)="",VLOOKUP(all_lmics18[[who_choice_region]:[who_choice_region]],missing[],25,FALSE),VLOOKUP(all_lmics18[[Setting]:[Setting]],all_cause_mort[],21,FALSE))</f>
        <v>0.14881496999999999</v>
      </c>
      <c r="AH51">
        <f>IF(VLOOKUP(all_lmics18[[Setting]:[Setting]],all_cause_mort[],22,FALSE)="",VLOOKUP(all_lmics18[[who_choice_region]:[who_choice_region]],missing[],26,FALSE),VLOOKUP(all_lmics18[[Setting]:[Setting]],all_cause_mort[],22,FALSE))</f>
        <v>0.24959838000000001</v>
      </c>
      <c r="AI51">
        <f>IF(VLOOKUP(all_lmics18[[Setting]:[Setting]],all_cause_mort[],23,FALSE)="",VLOOKUP(all_lmics18[[who_choice_region]:[who_choice_region]],missing[],27,FALSE),VLOOKUP(all_lmics18[[Setting]:[Setting]],all_cause_mort[],23,FALSE))</f>
        <v>0.40919012999999999</v>
      </c>
      <c r="AJ51">
        <f>IF(VLOOKUP(all_lmics18[[Setting]:[Setting]],all_cause_mort[],24,FALSE)="",VLOOKUP(all_lmics18[[who_choice_region]:[who_choice_region]],missing[],28,FALSE),VLOOKUP(all_lmics18[[Setting]:[Setting]],all_cause_mort[],24,FALSE))</f>
        <v>0.57870319999999997</v>
      </c>
      <c r="AK51">
        <f>IF(VLOOKUP(all_lmics18[[Setting]:[Setting]],all_cause_mort[],25,FALSE)="",VLOOKUP(all_lmics18[[who_choice_region]:[who_choice_region]],missing[],29,FALSE),VLOOKUP(all_lmics18[[Setting]:[Setting]],all_cause_mort[],25,FALSE))</f>
        <v>0.75565119412913395</v>
      </c>
      <c r="AL51">
        <f>VLOOKUP(all_lmics18[[worldbank_region]:[worldbank_region]],Table13[],2,FALSE)</f>
        <v>29.912264999999998</v>
      </c>
      <c r="AM51">
        <f>VLOOKUP(all_lmics18[[worldbank_region]:[worldbank_region]],Table13[],3,FALSE)</f>
        <v>29.912264999999998</v>
      </c>
      <c r="AN51">
        <f>VLOOKUP(all_lmics18[[worldbank_region]:[worldbank_region]],Table13[],4,FALSE)</f>
        <v>77.641124999999988</v>
      </c>
      <c r="AO51">
        <f>VLOOKUP(all_lmics18[[worldbank_region]:[worldbank_region]],Table13[],5,FALSE)</f>
        <v>77.641124999999988</v>
      </c>
      <c r="AP51">
        <f>VLOOKUP(all_lmics18[[worldbank_region]:[worldbank_region]],Table13[],6,FALSE)</f>
        <v>77.641124999999988</v>
      </c>
      <c r="AQ51">
        <f>VLOOKUP(all_lmics18[[worldbank_region]:[worldbank_region]],Table14[],2,FALSE)</f>
        <v>0.96979199999999999</v>
      </c>
      <c r="AR51">
        <f>VLOOKUP(all_lmics18[[worldbank_region]:[worldbank_region]],Table14[],3,FALSE)</f>
        <v>1.5872920000000001</v>
      </c>
      <c r="AS51">
        <f>VLOOKUP(all_lmics18[[worldbank_region]:[worldbank_region]],Table14[],4,FALSE)</f>
        <v>5.7971629999999994</v>
      </c>
      <c r="AT51">
        <f>VLOOKUP(all_lmics18[[worldbank_region]:[worldbank_region]],Table14[],5,FALSE)</f>
        <v>6.4146629999999991</v>
      </c>
      <c r="AU51">
        <f>VLOOKUP(all_lmics18[[worldbank_region]:[worldbank_region]],Table14[],6,FALSE)</f>
        <v>6.9849149999999991</v>
      </c>
      <c r="AV51">
        <f>IFERROR(VLOOKUP(all_lmics18[[Setting]:[Setting]],nFacSBA[],4,FALSE),VLOOKUP(all_lmics18[[who_choice_region]:[who_choice_region]],missing[],30,FALSE))</f>
        <v>0.10050186106812764</v>
      </c>
      <c r="AW51">
        <f>VLOOKUP(all_lmics18[[worldbank_region]:[worldbank_region]],hbe[],2)</f>
        <v>0.3</v>
      </c>
      <c r="AX51">
        <f>VLOOKUP(all_lmics18[[worldbank_region]:[worldbank_region]],hbe[],5)</f>
        <v>0.875</v>
      </c>
      <c r="AY51">
        <f>VLOOKUP(all_lmics18[[worldbank_region]:[worldbank_region]],hbe[],8)</f>
        <v>0.15</v>
      </c>
    </row>
    <row r="52" spans="1:51" x14ac:dyDescent="0.35">
      <c r="A52" s="8" t="s">
        <v>149</v>
      </c>
      <c r="B52" s="10" t="s">
        <v>57</v>
      </c>
      <c r="C52" s="11" t="s">
        <v>58</v>
      </c>
      <c r="D52">
        <f>VLOOKUP(all_lmics18[[Setting]:[Setting]],populations[],9,FALSE)</f>
        <v>13649</v>
      </c>
      <c r="E52">
        <f>VLOOKUP(all_lmics18[[Setting]:[Setting]],birthrate[],3,FALSE)</f>
        <v>2.4E-2</v>
      </c>
      <c r="F52">
        <f>all_lmics18[[#This Row],[2017_population]]*all_lmics18[[#This Row],[2016_birthrate]]</f>
        <v>327.57600000000002</v>
      </c>
      <c r="G52">
        <f>VLOOKUP(all_lmics18[[Setting]:[Setting]],birthdose[],4,FALSE)</f>
        <v>0.99</v>
      </c>
      <c r="H52">
        <f>VLOOKUP(all_lmics18[[Setting]:[Setting]],fullvax[],4,FALSE)</f>
        <v>0.87</v>
      </c>
      <c r="I52">
        <f>IFERROR(VLOOKUP(all_lmics18[[Setting]:[Setting]],prev[],3,FALSE),VLOOKUP(all_lmics18[[who_choice_region]:[who_choice_region]],missing[],2,FALSE))</f>
        <v>6.2014367393849211E-2</v>
      </c>
      <c r="J52">
        <f>IFERROR(VLOOKUP(all_lmics18[[Setting]:[Setting]],prev[],4,FALSE),VLOOKUP(all_lmics18[[who_choice_region]:[who_choice_region]],missing[],3,FALSE))</f>
        <v>5.5830551219148553E-2</v>
      </c>
      <c r="K52">
        <f>IFERROR(VLOOKUP(all_lmics18[[Setting]:[Setting]],prev[],5,FALSE),VLOOKUP(all_lmics18[[who_choice_region]:[who_choice_region]],missing[],4,FALSE))</f>
        <v>7.0881613218274672E-2</v>
      </c>
      <c r="L52">
        <f>IFERROR(VLOOKUP(all_lmics18[[Setting]:[Setting]],prev[],7,FALSE),VLOOKUP(all_lmics18[[who_choice_region]:[who_choice_region]],missing[],5,FALSE))</f>
        <v>4.5241050124619608E-3</v>
      </c>
      <c r="M52">
        <f>IFERROR(VLOOKUP(all_lmics18[[Setting]:[Setting]],prev[],6,FALSE),0)</f>
        <v>0</v>
      </c>
      <c r="N52">
        <f>IFERROR(VLOOKUP(all_lmics18[[Setting]:[Setting]],SBA[],4,FALSE),VLOOKUP(all_lmics18[[who_choice_region]:[who_choice_region]],missing[],6,FALSE))</f>
        <v>0.97400000000000009</v>
      </c>
      <c r="O52">
        <f>IFERROR(VLOOKUP(all_lmics18[[Setting]:[Setting]], facility[], 3,FALSE),VLOOKUP(all_lmics18[[who_choice_region]:[who_choice_region]],missing[],7,FALSE))</f>
        <v>0.98699999999999999</v>
      </c>
      <c r="P52">
        <f>IF(VLOOKUP(all_lmics18[[Setting]:[Setting]],all_cause_mort[],4,FALSE)="",VLOOKUP(all_lmics18[[who_choice_region]:[who_choice_region]],missing[],8,FALSE),VLOOKUP(all_lmics18[[Setting]:[Setting]],all_cause_mort[],4,FALSE))</f>
        <v>1.2171532658710052E-2</v>
      </c>
      <c r="Q52">
        <f>IF(VLOOKUP(all_lmics18[[Setting]:[Setting]],all_cause_mort[],5,FALSE)="",VLOOKUP(all_lmics18[[who_choice_region]:[who_choice_region]],missing[],9,FALSE),VLOOKUP(all_lmics18[[Setting]:[Setting]],all_cause_mort[],5,FALSE))</f>
        <v>6.8368448875387184E-4</v>
      </c>
      <c r="R52">
        <f>IF(VLOOKUP(all_lmics18[[Setting]:[Setting]],all_cause_mort[],6,FALSE)="",VLOOKUP(all_lmics18[[who_choice_region]:[who_choice_region]],missing[],10,FALSE),VLOOKUP(all_lmics18[[Setting]:[Setting]],all_cause_mort[],6,FALSE))</f>
        <v>3.8826325725348779E-4</v>
      </c>
      <c r="S52">
        <f>IF(VLOOKUP(all_lmics18[[Setting]:[Setting]],all_cause_mort[],7,FALSE)="",VLOOKUP(all_lmics18[[who_choice_region]:[who_choice_region]],missing[],11,FALSE),VLOOKUP(all_lmics18[[Setting]:[Setting]],all_cause_mort[],7,FALSE))</f>
        <v>3.067218710013588E-4</v>
      </c>
      <c r="T52">
        <f>IF(VLOOKUP(all_lmics18[[Setting]:[Setting]],all_cause_mort[],8,FALSE)="",VLOOKUP(all_lmics18[[who_choice_region]:[who_choice_region]],missing[],12,FALSE),VLOOKUP(all_lmics18[[Setting]:[Setting]],all_cause_mort[],8,FALSE))</f>
        <v>4.9254866058896438E-4</v>
      </c>
      <c r="U52">
        <f>IF(VLOOKUP(all_lmics18[[Setting]:[Setting]],all_cause_mort[],9,FALSE)="",VLOOKUP(all_lmics18[[who_choice_region]:[who_choice_region]],missing[],13,FALSE),VLOOKUP(all_lmics18[[Setting]:[Setting]],all_cause_mort[],9,FALSE))</f>
        <v>6.8616198707337195E-4</v>
      </c>
      <c r="V52">
        <f>IF(VLOOKUP(all_lmics18[[Setting]:[Setting]],all_cause_mort[],10,FALSE)="",VLOOKUP(all_lmics18[[who_choice_region]:[who_choice_region]],missing[],14,FALSE),VLOOKUP(all_lmics18[[Setting]:[Setting]],all_cause_mort[],10,FALSE))</f>
        <v>8.5498135156451523E-4</v>
      </c>
      <c r="W52">
        <f>IF(VLOOKUP(all_lmics18[[Setting]:[Setting]],all_cause_mort[],11,FALSE)="",VLOOKUP(all_lmics18[[who_choice_region]:[who_choice_region]],missing[],15,FALSE),VLOOKUP(all_lmics18[[Setting]:[Setting]],all_cause_mort[],11,FALSE))</f>
        <v>1.0646977878212504E-3</v>
      </c>
      <c r="X52">
        <f>IF(VLOOKUP(all_lmics18[[Setting]:[Setting]],all_cause_mort[],12,FALSE)="",VLOOKUP(all_lmics18[[who_choice_region]:[who_choice_region]],missing[],16,FALSE),VLOOKUP(all_lmics18[[Setting]:[Setting]],all_cause_mort[],12,FALSE))</f>
        <v>1.3706185041209306E-3</v>
      </c>
      <c r="Y52">
        <f>IF(VLOOKUP(all_lmics18[[Setting]:[Setting]],all_cause_mort[],13,FALSE)="",VLOOKUP(all_lmics18[[who_choice_region]:[who_choice_region]],missing[],17,FALSE),VLOOKUP(all_lmics18[[Setting]:[Setting]],all_cause_mort[],13,FALSE))</f>
        <v>1.9338704394827476E-3</v>
      </c>
      <c r="Z52">
        <f>IF(VLOOKUP(all_lmics18[[Setting]:[Setting]],all_cause_mort[],14,FALSE)="",VLOOKUP(all_lmics18[[who_choice_region]:[who_choice_region]],missing[],18,FALSE),VLOOKUP(all_lmics18[[Setting]:[Setting]],all_cause_mort[],14,FALSE))</f>
        <v>2.8449210534799521E-3</v>
      </c>
      <c r="AA52">
        <f>IF(VLOOKUP(all_lmics18[[Setting]:[Setting]],all_cause_mort[],15,FALSE)="",VLOOKUP(all_lmics18[[who_choice_region]:[who_choice_region]],missing[],19,FALSE),VLOOKUP(all_lmics18[[Setting]:[Setting]],all_cause_mort[],15,FALSE))</f>
        <v>4.5397258475201952E-3</v>
      </c>
      <c r="AB52">
        <f>IF(VLOOKUP(all_lmics18[[Setting]:[Setting]],all_cause_mort[],16,FALSE)="",VLOOKUP(all_lmics18[[who_choice_region]:[who_choice_region]],missing[],20,FALSE),VLOOKUP(all_lmics18[[Setting]:[Setting]],all_cause_mort[],16,FALSE))</f>
        <v>7.2925005763066087E-3</v>
      </c>
      <c r="AC52">
        <f>IF(VLOOKUP(all_lmics18[[Setting]:[Setting]],all_cause_mort[],17,FALSE)="",VLOOKUP(all_lmics18[[who_choice_region]:[who_choice_region]],missing[],21,FALSE),VLOOKUP(all_lmics18[[Setting]:[Setting]],all_cause_mort[],17,FALSE))</f>
        <v>1.2430011174391166E-2</v>
      </c>
      <c r="AD52">
        <f>IF(VLOOKUP(all_lmics18[[Setting]:[Setting]],all_cause_mort[],18,FALSE)="",VLOOKUP(all_lmics18[[who_choice_region]:[who_choice_region]],missing[],22,FALSE),VLOOKUP(all_lmics18[[Setting]:[Setting]],all_cause_mort[],18,FALSE))</f>
        <v>2.1225223566410715E-2</v>
      </c>
      <c r="AE52">
        <f>IF(VLOOKUP(all_lmics18[[Setting]:[Setting]],all_cause_mort[],19,FALSE)="",VLOOKUP(all_lmics18[[who_choice_region]:[who_choice_region]],missing[],23,FALSE),VLOOKUP(all_lmics18[[Setting]:[Setting]],all_cause_mort[],19,FALSE))</f>
        <v>3.7100898613842075E-2</v>
      </c>
      <c r="AF52">
        <f>IF(VLOOKUP(all_lmics18[[Setting]:[Setting]],all_cause_mort[],20,FALSE)="",VLOOKUP(all_lmics18[[who_choice_region]:[who_choice_region]],missing[],24,FALSE),VLOOKUP(all_lmics18[[Setting]:[Setting]],all_cause_mort[],20,FALSE))</f>
        <v>6.1505862954745437E-2</v>
      </c>
      <c r="AG52">
        <f>IF(VLOOKUP(all_lmics18[[Setting]:[Setting]],all_cause_mort[],21,FALSE)="",VLOOKUP(all_lmics18[[who_choice_region]:[who_choice_region]],missing[],25,FALSE),VLOOKUP(all_lmics18[[Setting]:[Setting]],all_cause_mort[],21,FALSE))</f>
        <v>9.4870341219730828E-2</v>
      </c>
      <c r="AH52">
        <f>IF(VLOOKUP(all_lmics18[[Setting]:[Setting]],all_cause_mort[],22,FALSE)="",VLOOKUP(all_lmics18[[who_choice_region]:[who_choice_region]],missing[],26,FALSE),VLOOKUP(all_lmics18[[Setting]:[Setting]],all_cause_mort[],22,FALSE))</f>
        <v>0.14693633977770637</v>
      </c>
      <c r="AI52">
        <f>IF(VLOOKUP(all_lmics18[[Setting]:[Setting]],all_cause_mort[],23,FALSE)="",VLOOKUP(all_lmics18[[who_choice_region]:[who_choice_region]],missing[],27,FALSE),VLOOKUP(all_lmics18[[Setting]:[Setting]],all_cause_mort[],23,FALSE))</f>
        <v>0.21054250727883506</v>
      </c>
      <c r="AJ52">
        <f>IF(VLOOKUP(all_lmics18[[Setting]:[Setting]],all_cause_mort[],24,FALSE)="",VLOOKUP(all_lmics18[[who_choice_region]:[who_choice_region]],missing[],28,FALSE),VLOOKUP(all_lmics18[[Setting]:[Setting]],all_cause_mort[],24,FALSE))</f>
        <v>0.28760691487723716</v>
      </c>
      <c r="AK52">
        <f>IF(VLOOKUP(all_lmics18[[Setting]:[Setting]],all_cause_mort[],25,FALSE)="",VLOOKUP(all_lmics18[[who_choice_region]:[who_choice_region]],missing[],29,FALSE),VLOOKUP(all_lmics18[[Setting]:[Setting]],all_cause_mort[],25,FALSE))</f>
        <v>0.36209791606833291</v>
      </c>
      <c r="AL52">
        <f>VLOOKUP(all_lmics18[[worldbank_region]:[worldbank_region]],Table13[],2,FALSE)</f>
        <v>73.064384999999987</v>
      </c>
      <c r="AM52">
        <f>VLOOKUP(all_lmics18[[worldbank_region]:[worldbank_region]],Table13[],3,FALSE)</f>
        <v>73.064384999999987</v>
      </c>
      <c r="AN52">
        <f>VLOOKUP(all_lmics18[[worldbank_region]:[worldbank_region]],Table13[],4,FALSE)</f>
        <v>120.79324499999998</v>
      </c>
      <c r="AO52">
        <f>VLOOKUP(all_lmics18[[worldbank_region]:[worldbank_region]],Table13[],5,FALSE)</f>
        <v>120.79324499999998</v>
      </c>
      <c r="AP52">
        <f>VLOOKUP(all_lmics18[[worldbank_region]:[worldbank_region]],Table13[],6,FALSE)</f>
        <v>120.79324499999998</v>
      </c>
      <c r="AQ52">
        <f>VLOOKUP(all_lmics18[[worldbank_region]:[worldbank_region]],Table14[],2,FALSE)</f>
        <v>1.34029</v>
      </c>
      <c r="AR52">
        <f>VLOOKUP(all_lmics18[[worldbank_region]:[worldbank_region]],Table14[],3,FALSE)</f>
        <v>1.9577900000000001</v>
      </c>
      <c r="AS52">
        <f>VLOOKUP(all_lmics18[[worldbank_region]:[worldbank_region]],Table14[],4,FALSE)</f>
        <v>1.9723159999999997</v>
      </c>
      <c r="AT52">
        <f>VLOOKUP(all_lmics18[[worldbank_region]:[worldbank_region]],Table14[],5,FALSE)</f>
        <v>2.5898159999999999</v>
      </c>
      <c r="AU52">
        <f>VLOOKUP(all_lmics18[[worldbank_region]:[worldbank_region]],Table14[],6,FALSE)</f>
        <v>3.1600679999999999</v>
      </c>
      <c r="AV52">
        <f>IFERROR(VLOOKUP(all_lmics18[[Setting]:[Setting]],nFacSBA[],4,FALSE),VLOOKUP(all_lmics18[[who_choice_region]:[who_choice_region]],missing[],30,FALSE))</f>
        <v>0.15985670213371023</v>
      </c>
      <c r="AW52">
        <f>VLOOKUP(all_lmics18[[worldbank_region]:[worldbank_region]],hbe[],2)</f>
        <v>0.3</v>
      </c>
      <c r="AX52">
        <f>VLOOKUP(all_lmics18[[worldbank_region]:[worldbank_region]],hbe[],5)</f>
        <v>0.875</v>
      </c>
      <c r="AY52">
        <f>VLOOKUP(all_lmics18[[worldbank_region]:[worldbank_region]],hbe[],8)</f>
        <v>0.15</v>
      </c>
    </row>
    <row r="53" spans="1:51" x14ac:dyDescent="0.35">
      <c r="A53" s="8" t="s">
        <v>155</v>
      </c>
      <c r="B53" s="10" t="s">
        <v>14</v>
      </c>
      <c r="C53" s="11" t="s">
        <v>15</v>
      </c>
      <c r="D53">
        <f>VLOOKUP(all_lmics18[[Setting]:[Setting]],populations[],9,FALSE)</f>
        <v>190886311</v>
      </c>
      <c r="E53">
        <f>VLOOKUP(all_lmics18[[Setting]:[Setting]],birthrate[],3,FALSE)</f>
        <v>3.8886999999999998E-2</v>
      </c>
      <c r="F53">
        <f>all_lmics18[[#This Row],[2017_population]]*all_lmics18[[#This Row],[2016_birthrate]]</f>
        <v>7422995.9758569999</v>
      </c>
      <c r="G53">
        <f>VLOOKUP(all_lmics18[[Setting]:[Setting]],birthdose[],4,FALSE)</f>
        <v>0.3</v>
      </c>
      <c r="H53">
        <f>VLOOKUP(all_lmics18[[Setting]:[Setting]],fullvax[],4,FALSE)</f>
        <v>0.42</v>
      </c>
      <c r="I53">
        <f>IFERROR(VLOOKUP(all_lmics18[[Setting]:[Setting]],prev[],3,FALSE),VLOOKUP(all_lmics18[[who_choice_region]:[who_choice_region]],missing[],2,FALSE))</f>
        <v>0.112</v>
      </c>
      <c r="J53">
        <f>IFERROR(VLOOKUP(all_lmics18[[Setting]:[Setting]],prev[],4,FALSE),VLOOKUP(all_lmics18[[who_choice_region]:[who_choice_region]],missing[],3,FALSE))</f>
        <v>0.10100000000000001</v>
      </c>
      <c r="K53">
        <f>IFERROR(VLOOKUP(all_lmics18[[Setting]:[Setting]],prev[],5,FALSE),VLOOKUP(all_lmics18[[who_choice_region]:[who_choice_region]],missing[],4,FALSE))</f>
        <v>0.128</v>
      </c>
      <c r="L53">
        <f>IFERROR(VLOOKUP(all_lmics18[[Setting]:[Setting]],prev[],7,FALSE),VLOOKUP(all_lmics18[[who_choice_region]:[who_choice_region]],missing[],5,FALSE))</f>
        <v>8.1632653061224497E-3</v>
      </c>
      <c r="M53">
        <f>IFERROR(VLOOKUP(all_lmics18[[Setting]:[Setting]],prev[],6,FALSE),0)</f>
        <v>190886311</v>
      </c>
      <c r="N53">
        <f>IFERROR(VLOOKUP(all_lmics18[[Setting]:[Setting]],SBA[],4,FALSE),VLOOKUP(all_lmics18[[who_choice_region]:[who_choice_region]],missing[],6,FALSE))</f>
        <v>0.43</v>
      </c>
      <c r="O53">
        <f>IFERROR(VLOOKUP(all_lmics18[[Setting]:[Setting]], facility[], 3,FALSE),VLOOKUP(all_lmics18[[who_choice_region]:[who_choice_region]],missing[],7,FALSE))</f>
        <v>0.375</v>
      </c>
      <c r="P53">
        <f>IF(VLOOKUP(all_lmics18[[Setting]:[Setting]],all_cause_mort[],4,FALSE)="",VLOOKUP(all_lmics18[[who_choice_region]:[who_choice_region]],missing[],8,FALSE),VLOOKUP(all_lmics18[[Setting]:[Setting]],all_cause_mort[],4,FALSE))</f>
        <v>6.5294819000000004E-2</v>
      </c>
      <c r="Q53">
        <f>IF(VLOOKUP(all_lmics18[[Setting]:[Setting]],all_cause_mort[],5,FALSE)="",VLOOKUP(all_lmics18[[who_choice_region]:[who_choice_region]],missing[],9,FALSE),VLOOKUP(all_lmics18[[Setting]:[Setting]],all_cause_mort[],5,FALSE))</f>
        <v>1.0848392E-2</v>
      </c>
      <c r="R53">
        <f>IF(VLOOKUP(all_lmics18[[Setting]:[Setting]],all_cause_mort[],6,FALSE)="",VLOOKUP(all_lmics18[[who_choice_region]:[who_choice_region]],missing[],10,FALSE),VLOOKUP(all_lmics18[[Setting]:[Setting]],all_cause_mort[],6,FALSE))</f>
        <v>5.9987900000000004E-3</v>
      </c>
      <c r="S53">
        <f>IF(VLOOKUP(all_lmics18[[Setting]:[Setting]],all_cause_mort[],7,FALSE)="",VLOOKUP(all_lmics18[[who_choice_region]:[who_choice_region]],missing[],11,FALSE),VLOOKUP(all_lmics18[[Setting]:[Setting]],all_cause_mort[],7,FALSE))</f>
        <v>3.2423768999999998E-3</v>
      </c>
      <c r="T53">
        <f>IF(VLOOKUP(all_lmics18[[Setting]:[Setting]],all_cause_mort[],8,FALSE)="",VLOOKUP(all_lmics18[[who_choice_region]:[who_choice_region]],missing[],12,FALSE),VLOOKUP(all_lmics18[[Setting]:[Setting]],all_cause_mort[],8,FALSE))</f>
        <v>5.1242719000000004E-3</v>
      </c>
      <c r="U53">
        <f>IF(VLOOKUP(all_lmics18[[Setting]:[Setting]],all_cause_mort[],9,FALSE)="",VLOOKUP(all_lmics18[[who_choice_region]:[who_choice_region]],missing[],13,FALSE),VLOOKUP(all_lmics18[[Setting]:[Setting]],all_cause_mort[],9,FALSE))</f>
        <v>6.1989758999999997E-3</v>
      </c>
      <c r="V53">
        <f>IF(VLOOKUP(all_lmics18[[Setting]:[Setting]],all_cause_mort[],10,FALSE)="",VLOOKUP(all_lmics18[[who_choice_region]:[who_choice_region]],missing[],14,FALSE),VLOOKUP(all_lmics18[[Setting]:[Setting]],all_cause_mort[],10,FALSE))</f>
        <v>6.8285647999999999E-3</v>
      </c>
      <c r="W53">
        <f>IF(VLOOKUP(all_lmics18[[Setting]:[Setting]],all_cause_mort[],11,FALSE)="",VLOOKUP(all_lmics18[[who_choice_region]:[who_choice_region]],missing[],15,FALSE),VLOOKUP(all_lmics18[[Setting]:[Setting]],all_cause_mort[],11,FALSE))</f>
        <v>7.1595560000000001E-3</v>
      </c>
      <c r="X53">
        <f>IF(VLOOKUP(all_lmics18[[Setting]:[Setting]],all_cause_mort[],12,FALSE)="",VLOOKUP(all_lmics18[[who_choice_region]:[who_choice_region]],missing[],16,FALSE),VLOOKUP(all_lmics18[[Setting]:[Setting]],all_cause_mort[],12,FALSE))</f>
        <v>7.8513038000000007E-3</v>
      </c>
      <c r="Y53">
        <f>IF(VLOOKUP(all_lmics18[[Setting]:[Setting]],all_cause_mort[],13,FALSE)="",VLOOKUP(all_lmics18[[who_choice_region]:[who_choice_region]],missing[],17,FALSE),VLOOKUP(all_lmics18[[Setting]:[Setting]],all_cause_mort[],13,FALSE))</f>
        <v>8.9428237999999993E-3</v>
      </c>
      <c r="Z53">
        <f>IF(VLOOKUP(all_lmics18[[Setting]:[Setting]],all_cause_mort[],14,FALSE)="",VLOOKUP(all_lmics18[[who_choice_region]:[who_choice_region]],missing[],18,FALSE),VLOOKUP(all_lmics18[[Setting]:[Setting]],all_cause_mort[],14,FALSE))</f>
        <v>1.0388102E-2</v>
      </c>
      <c r="AA53">
        <f>IF(VLOOKUP(all_lmics18[[Setting]:[Setting]],all_cause_mort[],15,FALSE)="",VLOOKUP(all_lmics18[[who_choice_region]:[who_choice_region]],missing[],19,FALSE),VLOOKUP(all_lmics18[[Setting]:[Setting]],all_cause_mort[],15,FALSE))</f>
        <v>1.3824947000000001E-2</v>
      </c>
      <c r="AB53">
        <f>IF(VLOOKUP(all_lmics18[[Setting]:[Setting]],all_cause_mort[],16,FALSE)="",VLOOKUP(all_lmics18[[who_choice_region]:[who_choice_region]],missing[],20,FALSE),VLOOKUP(all_lmics18[[Setting]:[Setting]],all_cause_mort[],16,FALSE))</f>
        <v>1.9146876E-2</v>
      </c>
      <c r="AC53">
        <f>IF(VLOOKUP(all_lmics18[[Setting]:[Setting]],all_cause_mort[],17,FALSE)="",VLOOKUP(all_lmics18[[who_choice_region]:[who_choice_region]],missing[],21,FALSE),VLOOKUP(all_lmics18[[Setting]:[Setting]],all_cause_mort[],17,FALSE))</f>
        <v>3.0204992E-2</v>
      </c>
      <c r="AD53">
        <f>IF(VLOOKUP(all_lmics18[[Setting]:[Setting]],all_cause_mort[],18,FALSE)="",VLOOKUP(all_lmics18[[who_choice_region]:[who_choice_region]],missing[],22,FALSE),VLOOKUP(all_lmics18[[Setting]:[Setting]],all_cause_mort[],18,FALSE))</f>
        <v>4.7216862999999998E-2</v>
      </c>
      <c r="AE53">
        <f>IF(VLOOKUP(all_lmics18[[Setting]:[Setting]],all_cause_mort[],19,FALSE)="",VLOOKUP(all_lmics18[[who_choice_region]:[who_choice_region]],missing[],23,FALSE),VLOOKUP(all_lmics18[[Setting]:[Setting]],all_cause_mort[],19,FALSE))</f>
        <v>7.8340722000000002E-2</v>
      </c>
      <c r="AF53">
        <f>IF(VLOOKUP(all_lmics18[[Setting]:[Setting]],all_cause_mort[],20,FALSE)="",VLOOKUP(all_lmics18[[who_choice_region]:[who_choice_region]],missing[],24,FALSE),VLOOKUP(all_lmics18[[Setting]:[Setting]],all_cause_mort[],20,FALSE))</f>
        <v>0.12895117</v>
      </c>
      <c r="AG53">
        <f>IF(VLOOKUP(all_lmics18[[Setting]:[Setting]],all_cause_mort[],21,FALSE)="",VLOOKUP(all_lmics18[[who_choice_region]:[who_choice_region]],missing[],25,FALSE),VLOOKUP(all_lmics18[[Setting]:[Setting]],all_cause_mort[],21,FALSE))</f>
        <v>0.20864909000000001</v>
      </c>
      <c r="AH53">
        <f>IF(VLOOKUP(all_lmics18[[Setting]:[Setting]],all_cause_mort[],22,FALSE)="",VLOOKUP(all_lmics18[[who_choice_region]:[who_choice_region]],missing[],26,FALSE),VLOOKUP(all_lmics18[[Setting]:[Setting]],all_cause_mort[],22,FALSE))</f>
        <v>0.31698614000000003</v>
      </c>
      <c r="AI53">
        <f>IF(VLOOKUP(all_lmics18[[Setting]:[Setting]],all_cause_mort[],23,FALSE)="",VLOOKUP(all_lmics18[[who_choice_region]:[who_choice_region]],missing[],27,FALSE),VLOOKUP(all_lmics18[[Setting]:[Setting]],all_cause_mort[],23,FALSE))</f>
        <v>0.45581286999999998</v>
      </c>
      <c r="AJ53">
        <f>IF(VLOOKUP(all_lmics18[[Setting]:[Setting]],all_cause_mort[],24,FALSE)="",VLOOKUP(all_lmics18[[who_choice_region]:[who_choice_region]],missing[],28,FALSE),VLOOKUP(all_lmics18[[Setting]:[Setting]],all_cause_mort[],24,FALSE))</f>
        <v>0.55065103999999998</v>
      </c>
      <c r="AK53">
        <f>IF(VLOOKUP(all_lmics18[[Setting]:[Setting]],all_cause_mort[],25,FALSE)="",VLOOKUP(all_lmics18[[who_choice_region]:[who_choice_region]],missing[],29,FALSE),VLOOKUP(all_lmics18[[Setting]:[Setting]],all_cause_mort[],25,FALSE))</f>
        <v>0.66444043683503595</v>
      </c>
      <c r="AL53">
        <f>VLOOKUP(all_lmics18[[worldbank_region]:[worldbank_region]],Table13[],2,FALSE)</f>
        <v>29.912264999999998</v>
      </c>
      <c r="AM53">
        <f>VLOOKUP(all_lmics18[[worldbank_region]:[worldbank_region]],Table13[],3,FALSE)</f>
        <v>29.912264999999998</v>
      </c>
      <c r="AN53">
        <f>VLOOKUP(all_lmics18[[worldbank_region]:[worldbank_region]],Table13[],4,FALSE)</f>
        <v>77.641124999999988</v>
      </c>
      <c r="AO53">
        <f>VLOOKUP(all_lmics18[[worldbank_region]:[worldbank_region]],Table13[],5,FALSE)</f>
        <v>77.641124999999988</v>
      </c>
      <c r="AP53">
        <f>VLOOKUP(all_lmics18[[worldbank_region]:[worldbank_region]],Table13[],6,FALSE)</f>
        <v>77.641124999999988</v>
      </c>
      <c r="AQ53">
        <f>VLOOKUP(all_lmics18[[worldbank_region]:[worldbank_region]],Table14[],2,FALSE)</f>
        <v>0.96979199999999999</v>
      </c>
      <c r="AR53">
        <f>VLOOKUP(all_lmics18[[worldbank_region]:[worldbank_region]],Table14[],3,FALSE)</f>
        <v>1.5872920000000001</v>
      </c>
      <c r="AS53">
        <f>VLOOKUP(all_lmics18[[worldbank_region]:[worldbank_region]],Table14[],4,FALSE)</f>
        <v>5.7971629999999994</v>
      </c>
      <c r="AT53">
        <f>VLOOKUP(all_lmics18[[worldbank_region]:[worldbank_region]],Table14[],5,FALSE)</f>
        <v>6.4146629999999991</v>
      </c>
      <c r="AU53">
        <f>VLOOKUP(all_lmics18[[worldbank_region]:[worldbank_region]],Table14[],6,FALSE)</f>
        <v>6.9849149999999991</v>
      </c>
      <c r="AV53">
        <f>IFERROR(VLOOKUP(all_lmics18[[Setting]:[Setting]],nFacSBA[],4,FALSE),VLOOKUP(all_lmics18[[who_choice_region]:[who_choice_region]],missing[],30,FALSE))</f>
        <v>6.4489403391284436E-2</v>
      </c>
      <c r="AW53">
        <f>VLOOKUP(all_lmics18[[worldbank_region]:[worldbank_region]],hbe[],2)</f>
        <v>0.3</v>
      </c>
      <c r="AX53">
        <f>VLOOKUP(all_lmics18[[worldbank_region]:[worldbank_region]],hbe[],5)</f>
        <v>0.875</v>
      </c>
      <c r="AY53">
        <f>VLOOKUP(all_lmics18[[worldbank_region]:[worldbank_region]],hbe[],8)</f>
        <v>0.15</v>
      </c>
    </row>
    <row r="54" spans="1:51" x14ac:dyDescent="0.35">
      <c r="A54" s="12" t="s">
        <v>156</v>
      </c>
      <c r="B54" s="13" t="s">
        <v>57</v>
      </c>
      <c r="C54" s="14" t="s">
        <v>58</v>
      </c>
      <c r="D54">
        <f>VLOOKUP(all_lmics18[[Setting]:[Setting]],populations[],9,FALSE)</f>
        <v>1627</v>
      </c>
      <c r="E54">
        <f>VLOOKUP(all_lmics18[[Setting]:[Setting]],birthrate[],3,FALSE)</f>
        <v>1.584E-2</v>
      </c>
      <c r="F54">
        <f>all_lmics18[[#This Row],[2017_population]]*all_lmics18[[#This Row],[2016_birthrate]]</f>
        <v>25.77168</v>
      </c>
      <c r="G54">
        <f>VLOOKUP(all_lmics18[[Setting]:[Setting]],birthdose[],4,FALSE)</f>
        <v>0.84</v>
      </c>
      <c r="H54">
        <f>VLOOKUP(all_lmics18[[Setting]:[Setting]],fullvax[],4,FALSE)</f>
        <v>0.99</v>
      </c>
      <c r="I54">
        <f>IFERROR(VLOOKUP(all_lmics18[[Setting]:[Setting]],prev[],3,FALSE),VLOOKUP(all_lmics18[[who_choice_region]:[who_choice_region]],missing[],2,FALSE))</f>
        <v>0.1186</v>
      </c>
      <c r="J54">
        <f>IFERROR(VLOOKUP(all_lmics18[[Setting]:[Setting]],prev[],4,FALSE),VLOOKUP(all_lmics18[[who_choice_region]:[who_choice_region]],missing[],3,FALSE))</f>
        <v>0.1011</v>
      </c>
      <c r="K54">
        <f>IFERROR(VLOOKUP(all_lmics18[[Setting]:[Setting]],prev[],5,FALSE),VLOOKUP(all_lmics18[[who_choice_region]:[who_choice_region]],missing[],4,FALSE))</f>
        <v>0.1386</v>
      </c>
      <c r="L54">
        <f>IFERROR(VLOOKUP(all_lmics18[[Setting]:[Setting]],prev[],7,FALSE),VLOOKUP(all_lmics18[[who_choice_region]:[who_choice_region]],missing[],5,FALSE))</f>
        <v>1.0204081632653064E-2</v>
      </c>
      <c r="M54">
        <f>IFERROR(VLOOKUP(all_lmics18[[Setting]:[Setting]],prev[],6,FALSE),0)</f>
        <v>1630</v>
      </c>
      <c r="N54">
        <f>IFERROR(VLOOKUP(all_lmics18[[Setting]:[Setting]],SBA[],4,FALSE),VLOOKUP(all_lmics18[[who_choice_region]:[who_choice_region]],missing[],6,FALSE))</f>
        <v>0.9998999999999999</v>
      </c>
      <c r="O54">
        <f>IFERROR(VLOOKUP(all_lmics18[[Setting]:[Setting]], facility[], 3,FALSE),VLOOKUP(all_lmics18[[who_choice_region]:[who_choice_region]],missing[],7,FALSE))</f>
        <v>0.93746884801901997</v>
      </c>
      <c r="P54">
        <f>IF(VLOOKUP(all_lmics18[[Setting]:[Setting]],all_cause_mort[],4,FALSE)="",VLOOKUP(all_lmics18[[who_choice_region]:[who_choice_region]],missing[],8,FALSE),VLOOKUP(all_lmics18[[Setting]:[Setting]],all_cause_mort[],4,FALSE))</f>
        <v>1.2171532658710052E-2</v>
      </c>
      <c r="Q54">
        <f>IF(VLOOKUP(all_lmics18[[Setting]:[Setting]],all_cause_mort[],5,FALSE)="",VLOOKUP(all_lmics18[[who_choice_region]:[who_choice_region]],missing[],9,FALSE),VLOOKUP(all_lmics18[[Setting]:[Setting]],all_cause_mort[],5,FALSE))</f>
        <v>6.8368448875387184E-4</v>
      </c>
      <c r="R54">
        <f>IF(VLOOKUP(all_lmics18[[Setting]:[Setting]],all_cause_mort[],6,FALSE)="",VLOOKUP(all_lmics18[[who_choice_region]:[who_choice_region]],missing[],10,FALSE),VLOOKUP(all_lmics18[[Setting]:[Setting]],all_cause_mort[],6,FALSE))</f>
        <v>3.8826325725348779E-4</v>
      </c>
      <c r="S54">
        <f>IF(VLOOKUP(all_lmics18[[Setting]:[Setting]],all_cause_mort[],7,FALSE)="",VLOOKUP(all_lmics18[[who_choice_region]:[who_choice_region]],missing[],11,FALSE),VLOOKUP(all_lmics18[[Setting]:[Setting]],all_cause_mort[],7,FALSE))</f>
        <v>3.067218710013588E-4</v>
      </c>
      <c r="T54">
        <f>IF(VLOOKUP(all_lmics18[[Setting]:[Setting]],all_cause_mort[],8,FALSE)="",VLOOKUP(all_lmics18[[who_choice_region]:[who_choice_region]],missing[],12,FALSE),VLOOKUP(all_lmics18[[Setting]:[Setting]],all_cause_mort[],8,FALSE))</f>
        <v>4.9254866058896438E-4</v>
      </c>
      <c r="U54">
        <f>IF(VLOOKUP(all_lmics18[[Setting]:[Setting]],all_cause_mort[],9,FALSE)="",VLOOKUP(all_lmics18[[who_choice_region]:[who_choice_region]],missing[],13,FALSE),VLOOKUP(all_lmics18[[Setting]:[Setting]],all_cause_mort[],9,FALSE))</f>
        <v>6.8616198707337195E-4</v>
      </c>
      <c r="V54">
        <f>IF(VLOOKUP(all_lmics18[[Setting]:[Setting]],all_cause_mort[],10,FALSE)="",VLOOKUP(all_lmics18[[who_choice_region]:[who_choice_region]],missing[],14,FALSE),VLOOKUP(all_lmics18[[Setting]:[Setting]],all_cause_mort[],10,FALSE))</f>
        <v>8.5498135156451523E-4</v>
      </c>
      <c r="W54">
        <f>IF(VLOOKUP(all_lmics18[[Setting]:[Setting]],all_cause_mort[],11,FALSE)="",VLOOKUP(all_lmics18[[who_choice_region]:[who_choice_region]],missing[],15,FALSE),VLOOKUP(all_lmics18[[Setting]:[Setting]],all_cause_mort[],11,FALSE))</f>
        <v>1.0646977878212504E-3</v>
      </c>
      <c r="X54">
        <f>IF(VLOOKUP(all_lmics18[[Setting]:[Setting]],all_cause_mort[],12,FALSE)="",VLOOKUP(all_lmics18[[who_choice_region]:[who_choice_region]],missing[],16,FALSE),VLOOKUP(all_lmics18[[Setting]:[Setting]],all_cause_mort[],12,FALSE))</f>
        <v>1.3706185041209306E-3</v>
      </c>
      <c r="Y54">
        <f>IF(VLOOKUP(all_lmics18[[Setting]:[Setting]],all_cause_mort[],13,FALSE)="",VLOOKUP(all_lmics18[[who_choice_region]:[who_choice_region]],missing[],17,FALSE),VLOOKUP(all_lmics18[[Setting]:[Setting]],all_cause_mort[],13,FALSE))</f>
        <v>1.9338704394827476E-3</v>
      </c>
      <c r="Z54">
        <f>IF(VLOOKUP(all_lmics18[[Setting]:[Setting]],all_cause_mort[],14,FALSE)="",VLOOKUP(all_lmics18[[who_choice_region]:[who_choice_region]],missing[],18,FALSE),VLOOKUP(all_lmics18[[Setting]:[Setting]],all_cause_mort[],14,FALSE))</f>
        <v>2.8449210534799521E-3</v>
      </c>
      <c r="AA54">
        <f>IF(VLOOKUP(all_lmics18[[Setting]:[Setting]],all_cause_mort[],15,FALSE)="",VLOOKUP(all_lmics18[[who_choice_region]:[who_choice_region]],missing[],19,FALSE),VLOOKUP(all_lmics18[[Setting]:[Setting]],all_cause_mort[],15,FALSE))</f>
        <v>4.5397258475201952E-3</v>
      </c>
      <c r="AB54">
        <f>IF(VLOOKUP(all_lmics18[[Setting]:[Setting]],all_cause_mort[],16,FALSE)="",VLOOKUP(all_lmics18[[who_choice_region]:[who_choice_region]],missing[],20,FALSE),VLOOKUP(all_lmics18[[Setting]:[Setting]],all_cause_mort[],16,FALSE))</f>
        <v>7.2925005763066087E-3</v>
      </c>
      <c r="AC54">
        <f>IF(VLOOKUP(all_lmics18[[Setting]:[Setting]],all_cause_mort[],17,FALSE)="",VLOOKUP(all_lmics18[[who_choice_region]:[who_choice_region]],missing[],21,FALSE),VLOOKUP(all_lmics18[[Setting]:[Setting]],all_cause_mort[],17,FALSE))</f>
        <v>1.2430011174391166E-2</v>
      </c>
      <c r="AD54">
        <f>IF(VLOOKUP(all_lmics18[[Setting]:[Setting]],all_cause_mort[],18,FALSE)="",VLOOKUP(all_lmics18[[who_choice_region]:[who_choice_region]],missing[],22,FALSE),VLOOKUP(all_lmics18[[Setting]:[Setting]],all_cause_mort[],18,FALSE))</f>
        <v>2.1225223566410715E-2</v>
      </c>
      <c r="AE54">
        <f>IF(VLOOKUP(all_lmics18[[Setting]:[Setting]],all_cause_mort[],19,FALSE)="",VLOOKUP(all_lmics18[[who_choice_region]:[who_choice_region]],missing[],23,FALSE),VLOOKUP(all_lmics18[[Setting]:[Setting]],all_cause_mort[],19,FALSE))</f>
        <v>3.7100898613842075E-2</v>
      </c>
      <c r="AF54">
        <f>IF(VLOOKUP(all_lmics18[[Setting]:[Setting]],all_cause_mort[],20,FALSE)="",VLOOKUP(all_lmics18[[who_choice_region]:[who_choice_region]],missing[],24,FALSE),VLOOKUP(all_lmics18[[Setting]:[Setting]],all_cause_mort[],20,FALSE))</f>
        <v>6.1505862954745437E-2</v>
      </c>
      <c r="AG54">
        <f>IF(VLOOKUP(all_lmics18[[Setting]:[Setting]],all_cause_mort[],21,FALSE)="",VLOOKUP(all_lmics18[[who_choice_region]:[who_choice_region]],missing[],25,FALSE),VLOOKUP(all_lmics18[[Setting]:[Setting]],all_cause_mort[],21,FALSE))</f>
        <v>9.4870341219730828E-2</v>
      </c>
      <c r="AH54">
        <f>IF(VLOOKUP(all_lmics18[[Setting]:[Setting]],all_cause_mort[],22,FALSE)="",VLOOKUP(all_lmics18[[who_choice_region]:[who_choice_region]],missing[],26,FALSE),VLOOKUP(all_lmics18[[Setting]:[Setting]],all_cause_mort[],22,FALSE))</f>
        <v>0.14693633977770637</v>
      </c>
      <c r="AI54">
        <f>IF(VLOOKUP(all_lmics18[[Setting]:[Setting]],all_cause_mort[],23,FALSE)="",VLOOKUP(all_lmics18[[who_choice_region]:[who_choice_region]],missing[],27,FALSE),VLOOKUP(all_lmics18[[Setting]:[Setting]],all_cause_mort[],23,FALSE))</f>
        <v>0.21054250727883506</v>
      </c>
      <c r="AJ54">
        <f>IF(VLOOKUP(all_lmics18[[Setting]:[Setting]],all_cause_mort[],24,FALSE)="",VLOOKUP(all_lmics18[[who_choice_region]:[who_choice_region]],missing[],28,FALSE),VLOOKUP(all_lmics18[[Setting]:[Setting]],all_cause_mort[],24,FALSE))</f>
        <v>0.28760691487723716</v>
      </c>
      <c r="AK54">
        <f>IF(VLOOKUP(all_lmics18[[Setting]:[Setting]],all_cause_mort[],25,FALSE)="",VLOOKUP(all_lmics18[[who_choice_region]:[who_choice_region]],missing[],29,FALSE),VLOOKUP(all_lmics18[[Setting]:[Setting]],all_cause_mort[],25,FALSE))</f>
        <v>0.36209791606833291</v>
      </c>
      <c r="AL54">
        <f>VLOOKUP(all_lmics18[[worldbank_region]:[worldbank_region]],Table13[],2,FALSE)</f>
        <v>73.064384999999987</v>
      </c>
      <c r="AM54">
        <f>VLOOKUP(all_lmics18[[worldbank_region]:[worldbank_region]],Table13[],3,FALSE)</f>
        <v>73.064384999999987</v>
      </c>
      <c r="AN54">
        <f>VLOOKUP(all_lmics18[[worldbank_region]:[worldbank_region]],Table13[],4,FALSE)</f>
        <v>120.79324499999998</v>
      </c>
      <c r="AO54">
        <f>VLOOKUP(all_lmics18[[worldbank_region]:[worldbank_region]],Table13[],5,FALSE)</f>
        <v>120.79324499999998</v>
      </c>
      <c r="AP54">
        <f>VLOOKUP(all_lmics18[[worldbank_region]:[worldbank_region]],Table13[],6,FALSE)</f>
        <v>120.79324499999998</v>
      </c>
      <c r="AQ54">
        <f>VLOOKUP(all_lmics18[[worldbank_region]:[worldbank_region]],Table14[],2,FALSE)</f>
        <v>1.34029</v>
      </c>
      <c r="AR54">
        <f>VLOOKUP(all_lmics18[[worldbank_region]:[worldbank_region]],Table14[],3,FALSE)</f>
        <v>1.9577900000000001</v>
      </c>
      <c r="AS54">
        <f>VLOOKUP(all_lmics18[[worldbank_region]:[worldbank_region]],Table14[],4,FALSE)</f>
        <v>1.9723159999999997</v>
      </c>
      <c r="AT54">
        <f>VLOOKUP(all_lmics18[[worldbank_region]:[worldbank_region]],Table14[],5,FALSE)</f>
        <v>2.5898159999999999</v>
      </c>
      <c r="AU54">
        <f>VLOOKUP(all_lmics18[[worldbank_region]:[worldbank_region]],Table14[],6,FALSE)</f>
        <v>3.1600679999999999</v>
      </c>
      <c r="AV54">
        <f>IFERROR(VLOOKUP(all_lmics18[[Setting]:[Setting]],nFacSBA[],4,FALSE),VLOOKUP(all_lmics18[[who_choice_region]:[who_choice_region]],missing[],30,FALSE))</f>
        <v>0.15985670213371023</v>
      </c>
      <c r="AW54">
        <f>VLOOKUP(all_lmics18[[worldbank_region]:[worldbank_region]],hbe[],2)</f>
        <v>0.3</v>
      </c>
      <c r="AX54">
        <f>VLOOKUP(all_lmics18[[worldbank_region]:[worldbank_region]],hbe[],5)</f>
        <v>0.875</v>
      </c>
      <c r="AY54">
        <f>VLOOKUP(all_lmics18[[worldbank_region]:[worldbank_region]],hbe[],8)</f>
        <v>0.15</v>
      </c>
    </row>
    <row r="55" spans="1:51" x14ac:dyDescent="0.35">
      <c r="A55" s="12" t="s">
        <v>158</v>
      </c>
      <c r="B55" s="13" t="s">
        <v>33</v>
      </c>
      <c r="C55" s="14" t="s">
        <v>7</v>
      </c>
      <c r="D55">
        <f>VLOOKUP(all_lmics18[[Setting]:[Setting]],populations[],9,FALSE)</f>
        <v>4636262</v>
      </c>
      <c r="E55">
        <f>VLOOKUP(all_lmics18[[Setting]:[Setting]],birthrate[],3,FALSE)</f>
        <v>1.8731999999999999E-2</v>
      </c>
      <c r="F55">
        <f>all_lmics18[[#This Row],[2017_population]]*all_lmics18[[#This Row],[2016_birthrate]]</f>
        <v>86846.459783999991</v>
      </c>
      <c r="G55">
        <f>VLOOKUP(all_lmics18[[Setting]:[Setting]],birthdose[],4,FALSE)</f>
        <v>0.99</v>
      </c>
      <c r="H55">
        <f>VLOOKUP(all_lmics18[[Setting]:[Setting]],fullvax[],4,FALSE)</f>
        <v>0.99</v>
      </c>
      <c r="I55">
        <f>IFERROR(VLOOKUP(all_lmics18[[Setting]:[Setting]],prev[],3,FALSE),VLOOKUP(all_lmics18[[who_choice_region]:[who_choice_region]],missing[],2,FALSE))</f>
        <v>2.5000000000000001E-2</v>
      </c>
      <c r="J55">
        <f>IFERROR(VLOOKUP(all_lmics18[[Setting]:[Setting]],prev[],4,FALSE),VLOOKUP(all_lmics18[[who_choice_region]:[who_choice_region]],missing[],3,FALSE))</f>
        <v>2.1000000000000001E-2</v>
      </c>
      <c r="K55">
        <f>IFERROR(VLOOKUP(all_lmics18[[Setting]:[Setting]],prev[],5,FALSE),VLOOKUP(all_lmics18[[who_choice_region]:[who_choice_region]],missing[],4,FALSE))</f>
        <v>2.9000000000000001E-2</v>
      </c>
      <c r="L55">
        <f>IFERROR(VLOOKUP(all_lmics18[[Setting]:[Setting]],prev[],7,FALSE),VLOOKUP(all_lmics18[[who_choice_region]:[who_choice_region]],missing[],5,FALSE))</f>
        <v>2.0408163265306124E-3</v>
      </c>
      <c r="M55">
        <f>IFERROR(VLOOKUP(all_lmics18[[Setting]:[Setting]],prev[],6,FALSE),0)</f>
        <v>4636262</v>
      </c>
      <c r="N55">
        <f>IFERROR(VLOOKUP(all_lmics18[[Setting]:[Setting]],SBA[],4,FALSE),VLOOKUP(all_lmics18[[who_choice_region]:[who_choice_region]],missing[],6,FALSE))</f>
        <v>0.997</v>
      </c>
      <c r="O55">
        <f>IFERROR(VLOOKUP(all_lmics18[[Setting]:[Setting]], facility[], 3,FALSE),VLOOKUP(all_lmics18[[who_choice_region]:[who_choice_region]],missing[],7,FALSE))</f>
        <v>0.99199999999999999</v>
      </c>
      <c r="P55">
        <f>IF(VLOOKUP(all_lmics18[[Setting]:[Setting]],all_cause_mort[],4,FALSE)="",VLOOKUP(all_lmics18[[who_choice_region]:[who_choice_region]],missing[],8,FALSE),VLOOKUP(all_lmics18[[Setting]:[Setting]],all_cause_mort[],4,FALSE))</f>
        <v>7.3269965999999999E-3</v>
      </c>
      <c r="Q55">
        <f>IF(VLOOKUP(all_lmics18[[Setting]:[Setting]],all_cause_mort[],5,FALSE)="",VLOOKUP(all_lmics18[[who_choice_region]:[who_choice_region]],missing[],9,FALSE),VLOOKUP(all_lmics18[[Setting]:[Setting]],all_cause_mort[],5,FALSE))</f>
        <v>2.8333212999999999E-4</v>
      </c>
      <c r="R55">
        <f>IF(VLOOKUP(all_lmics18[[Setting]:[Setting]],all_cause_mort[],6,FALSE)="",VLOOKUP(all_lmics18[[who_choice_region]:[who_choice_region]],missing[],10,FALSE),VLOOKUP(all_lmics18[[Setting]:[Setting]],all_cause_mort[],6,FALSE))</f>
        <v>2.1572192E-4</v>
      </c>
      <c r="S55">
        <f>IF(VLOOKUP(all_lmics18[[Setting]:[Setting]],all_cause_mort[],7,FALSE)="",VLOOKUP(all_lmics18[[who_choice_region]:[who_choice_region]],missing[],11,FALSE),VLOOKUP(all_lmics18[[Setting]:[Setting]],all_cause_mort[],7,FALSE))</f>
        <v>2.3969654999999999E-4</v>
      </c>
      <c r="T55">
        <f>IF(VLOOKUP(all_lmics18[[Setting]:[Setting]],all_cause_mort[],8,FALSE)="",VLOOKUP(all_lmics18[[who_choice_region]:[who_choice_region]],missing[],12,FALSE),VLOOKUP(all_lmics18[[Setting]:[Setting]],all_cause_mort[],8,FALSE))</f>
        <v>4.7763377E-4</v>
      </c>
      <c r="U55">
        <f>IF(VLOOKUP(all_lmics18[[Setting]:[Setting]],all_cause_mort[],9,FALSE)="",VLOOKUP(all_lmics18[[who_choice_region]:[who_choice_region]],missing[],13,FALSE),VLOOKUP(all_lmics18[[Setting]:[Setting]],all_cause_mort[],9,FALSE))</f>
        <v>7.6316388000000003E-4</v>
      </c>
      <c r="V55">
        <f>IF(VLOOKUP(all_lmics18[[Setting]:[Setting]],all_cause_mort[],10,FALSE)="",VLOOKUP(all_lmics18[[who_choice_region]:[who_choice_region]],missing[],14,FALSE),VLOOKUP(all_lmics18[[Setting]:[Setting]],all_cause_mort[],10,FALSE))</f>
        <v>8.0965848000000003E-4</v>
      </c>
      <c r="W55">
        <f>IF(VLOOKUP(all_lmics18[[Setting]:[Setting]],all_cause_mort[],11,FALSE)="",VLOOKUP(all_lmics18[[who_choice_region]:[who_choice_region]],missing[],15,FALSE),VLOOKUP(all_lmics18[[Setting]:[Setting]],all_cause_mort[],11,FALSE))</f>
        <v>8.5966996000000004E-4</v>
      </c>
      <c r="X55">
        <f>IF(VLOOKUP(all_lmics18[[Setting]:[Setting]],all_cause_mort[],12,FALSE)="",VLOOKUP(all_lmics18[[who_choice_region]:[who_choice_region]],missing[],16,FALSE),VLOOKUP(all_lmics18[[Setting]:[Setting]],all_cause_mort[],12,FALSE))</f>
        <v>9.5732987999999999E-4</v>
      </c>
      <c r="Y55">
        <f>IF(VLOOKUP(all_lmics18[[Setting]:[Setting]],all_cause_mort[],13,FALSE)="",VLOOKUP(all_lmics18[[who_choice_region]:[who_choice_region]],missing[],17,FALSE),VLOOKUP(all_lmics18[[Setting]:[Setting]],all_cause_mort[],13,FALSE))</f>
        <v>1.4366042E-3</v>
      </c>
      <c r="Z55">
        <f>IF(VLOOKUP(all_lmics18[[Setting]:[Setting]],all_cause_mort[],14,FALSE)="",VLOOKUP(all_lmics18[[who_choice_region]:[who_choice_region]],missing[],18,FALSE),VLOOKUP(all_lmics18[[Setting]:[Setting]],all_cause_mort[],14,FALSE))</f>
        <v>2.3609529999999998E-3</v>
      </c>
      <c r="AA55">
        <f>IF(VLOOKUP(all_lmics18[[Setting]:[Setting]],all_cause_mort[],15,FALSE)="",VLOOKUP(all_lmics18[[who_choice_region]:[who_choice_region]],missing[],19,FALSE),VLOOKUP(all_lmics18[[Setting]:[Setting]],all_cause_mort[],15,FALSE))</f>
        <v>4.1048018000000002E-3</v>
      </c>
      <c r="AB55">
        <f>IF(VLOOKUP(all_lmics18[[Setting]:[Setting]],all_cause_mort[],16,FALSE)="",VLOOKUP(all_lmics18[[who_choice_region]:[who_choice_region]],missing[],20,FALSE),VLOOKUP(all_lmics18[[Setting]:[Setting]],all_cause_mort[],16,FALSE))</f>
        <v>7.3508634999999998E-3</v>
      </c>
      <c r="AC55">
        <f>IF(VLOOKUP(all_lmics18[[Setting]:[Setting]],all_cause_mort[],17,FALSE)="",VLOOKUP(all_lmics18[[who_choice_region]:[who_choice_region]],missing[],21,FALSE),VLOOKUP(all_lmics18[[Setting]:[Setting]],all_cause_mort[],17,FALSE))</f>
        <v>1.1928869999999999E-2</v>
      </c>
      <c r="AD55">
        <f>IF(VLOOKUP(all_lmics18[[Setting]:[Setting]],all_cause_mort[],18,FALSE)="",VLOOKUP(all_lmics18[[who_choice_region]:[who_choice_region]],missing[],22,FALSE),VLOOKUP(all_lmics18[[Setting]:[Setting]],all_cause_mort[],18,FALSE))</f>
        <v>2.4168321E-2</v>
      </c>
      <c r="AE55">
        <f>IF(VLOOKUP(all_lmics18[[Setting]:[Setting]],all_cause_mort[],19,FALSE)="",VLOOKUP(all_lmics18[[who_choice_region]:[who_choice_region]],missing[],23,FALSE),VLOOKUP(all_lmics18[[Setting]:[Setting]],all_cause_mort[],19,FALSE))</f>
        <v>2.9659853999999999E-2</v>
      </c>
      <c r="AF55">
        <f>IF(VLOOKUP(all_lmics18[[Setting]:[Setting]],all_cause_mort[],20,FALSE)="",VLOOKUP(all_lmics18[[who_choice_region]:[who_choice_region]],missing[],24,FALSE),VLOOKUP(all_lmics18[[Setting]:[Setting]],all_cause_mort[],20,FALSE))</f>
        <v>5.2475174999999999E-2</v>
      </c>
      <c r="AG55">
        <f>IF(VLOOKUP(all_lmics18[[Setting]:[Setting]],all_cause_mort[],21,FALSE)="",VLOOKUP(all_lmics18[[who_choice_region]:[who_choice_region]],missing[],25,FALSE),VLOOKUP(all_lmics18[[Setting]:[Setting]],all_cause_mort[],21,FALSE))</f>
        <v>7.9152258000000003E-2</v>
      </c>
      <c r="AH55">
        <f>IF(VLOOKUP(all_lmics18[[Setting]:[Setting]],all_cause_mort[],22,FALSE)="",VLOOKUP(all_lmics18[[who_choice_region]:[who_choice_region]],missing[],26,FALSE),VLOOKUP(all_lmics18[[Setting]:[Setting]],all_cause_mort[],22,FALSE))</f>
        <v>0.11085808</v>
      </c>
      <c r="AI55">
        <f>IF(VLOOKUP(all_lmics18[[Setting]:[Setting]],all_cause_mort[],23,FALSE)="",VLOOKUP(all_lmics18[[who_choice_region]:[who_choice_region]],missing[],27,FALSE),VLOOKUP(all_lmics18[[Setting]:[Setting]],all_cause_mort[],23,FALSE))</f>
        <v>0.14624925999999999</v>
      </c>
      <c r="AJ55">
        <f>IF(VLOOKUP(all_lmics18[[Setting]:[Setting]],all_cause_mort[],24,FALSE)="",VLOOKUP(all_lmics18[[who_choice_region]:[who_choice_region]],missing[],28,FALSE),VLOOKUP(all_lmics18[[Setting]:[Setting]],all_cause_mort[],24,FALSE))</f>
        <v>0.19097700000000001</v>
      </c>
      <c r="AK55">
        <f>IF(VLOOKUP(all_lmics18[[Setting]:[Setting]],all_cause_mort[],25,FALSE)="",VLOOKUP(all_lmics18[[who_choice_region]:[who_choice_region]],missing[],29,FALSE),VLOOKUP(all_lmics18[[Setting]:[Setting]],all_cause_mort[],25,FALSE))</f>
        <v>0.25874695370742701</v>
      </c>
      <c r="AL55">
        <f>VLOOKUP(all_lmics18[[worldbank_region]:[worldbank_region]],Table13[],2,FALSE)</f>
        <v>57.906657999999993</v>
      </c>
      <c r="AM55">
        <f>VLOOKUP(all_lmics18[[worldbank_region]:[worldbank_region]],Table13[],3,FALSE)</f>
        <v>57.906657999999993</v>
      </c>
      <c r="AN55">
        <f>VLOOKUP(all_lmics18[[worldbank_region]:[worldbank_region]],Table13[],4,FALSE)</f>
        <v>105.63551799999999</v>
      </c>
      <c r="AO55">
        <f>VLOOKUP(all_lmics18[[worldbank_region]:[worldbank_region]],Table13[],5,FALSE)</f>
        <v>105.63551799999999</v>
      </c>
      <c r="AP55">
        <f>VLOOKUP(all_lmics18[[worldbank_region]:[worldbank_region]],Table13[],6,FALSE)</f>
        <v>105.63551799999999</v>
      </c>
      <c r="AQ55">
        <f>VLOOKUP(all_lmics18[[worldbank_region]:[worldbank_region]],Table14[],2,FALSE)</f>
        <v>1.5037449999999999</v>
      </c>
      <c r="AR55">
        <f>VLOOKUP(all_lmics18[[worldbank_region]:[worldbank_region]],Table14[],3,FALSE)</f>
        <v>2.121245</v>
      </c>
      <c r="AS55">
        <f>VLOOKUP(all_lmics18[[worldbank_region]:[worldbank_region]],Table14[],4,FALSE)</f>
        <v>1.9832129999999999</v>
      </c>
      <c r="AT55">
        <f>VLOOKUP(all_lmics18[[worldbank_region]:[worldbank_region]],Table14[],5,FALSE)</f>
        <v>2.6007129999999998</v>
      </c>
      <c r="AU55">
        <f>VLOOKUP(all_lmics18[[worldbank_region]:[worldbank_region]],Table14[],6,FALSE)</f>
        <v>3.1709649999999998</v>
      </c>
      <c r="AV55">
        <f>IFERROR(VLOOKUP(all_lmics18[[Setting]:[Setting]],nFacSBA[],4,FALSE),VLOOKUP(all_lmics18[[who_choice_region]:[who_choice_region]],missing[],30,FALSE))</f>
        <v>0.38783437593130843</v>
      </c>
      <c r="AW55">
        <f>VLOOKUP(all_lmics18[[worldbank_region]:[worldbank_region]],hbe[],2)</f>
        <v>0.3</v>
      </c>
      <c r="AX55">
        <f>VLOOKUP(all_lmics18[[worldbank_region]:[worldbank_region]],hbe[],5)</f>
        <v>0.875</v>
      </c>
      <c r="AY55">
        <f>VLOOKUP(all_lmics18[[worldbank_region]:[worldbank_region]],hbe[],8)</f>
        <v>0.15</v>
      </c>
    </row>
    <row r="56" spans="1:51" x14ac:dyDescent="0.35">
      <c r="A56" s="12" t="s">
        <v>160</v>
      </c>
      <c r="B56" s="13" t="s">
        <v>57</v>
      </c>
      <c r="C56" s="14" t="s">
        <v>58</v>
      </c>
      <c r="D56">
        <f>VLOOKUP(all_lmics18[[Setting]:[Setting]],populations[],9,FALSE)</f>
        <v>21729</v>
      </c>
      <c r="E56">
        <f>VLOOKUP(all_lmics18[[Setting]:[Setting]],birthrate[],3,FALSE)</f>
        <v>1.2E-2</v>
      </c>
      <c r="F56">
        <f>all_lmics18[[#This Row],[2017_population]]*all_lmics18[[#This Row],[2016_birthrate]]</f>
        <v>260.74799999999999</v>
      </c>
      <c r="G56">
        <f>VLOOKUP(all_lmics18[[Setting]:[Setting]],birthdose[],4,FALSE)</f>
        <v>0.99</v>
      </c>
      <c r="H56">
        <f>VLOOKUP(all_lmics18[[Setting]:[Setting]],fullvax[],4,FALSE)</f>
        <v>0.98</v>
      </c>
      <c r="I56">
        <f>IFERROR(VLOOKUP(all_lmics18[[Setting]:[Setting]],prev[],3,FALSE),VLOOKUP(all_lmics18[[who_choice_region]:[who_choice_region]],missing[],2,FALSE))</f>
        <v>2.9399999999999999E-2</v>
      </c>
      <c r="J56">
        <f>IFERROR(VLOOKUP(all_lmics18[[Setting]:[Setting]],prev[],4,FALSE),VLOOKUP(all_lmics18[[who_choice_region]:[who_choice_region]],missing[],3,FALSE))</f>
        <v>4.1000000000000003E-3</v>
      </c>
      <c r="K56">
        <f>IFERROR(VLOOKUP(all_lmics18[[Setting]:[Setting]],prev[],5,FALSE),VLOOKUP(all_lmics18[[who_choice_region]:[who_choice_region]],missing[],4,FALSE))</f>
        <v>0.18140000000000001</v>
      </c>
      <c r="L56">
        <f>IFERROR(VLOOKUP(all_lmics18[[Setting]:[Setting]],prev[],7,FALSE),VLOOKUP(all_lmics18[[who_choice_region]:[who_choice_region]],missing[],5,FALSE))</f>
        <v>7.7551020408163265E-2</v>
      </c>
      <c r="M56">
        <f>IFERROR(VLOOKUP(all_lmics18[[Setting]:[Setting]],prev[],6,FALSE),0)</f>
        <v>20470</v>
      </c>
      <c r="N56">
        <f>IFERROR(VLOOKUP(all_lmics18[[Setting]:[Setting]],SBA[],4,FALSE),VLOOKUP(all_lmics18[[who_choice_region]:[who_choice_region]],missing[],6,FALSE))</f>
        <v>0.9998999999999999</v>
      </c>
      <c r="O56">
        <f>IFERROR(VLOOKUP(all_lmics18[[Setting]:[Setting]], facility[], 3,FALSE),VLOOKUP(all_lmics18[[who_choice_region]:[who_choice_region]],missing[],7,FALSE))</f>
        <v>0.9998999999999999</v>
      </c>
      <c r="P56">
        <f>IF(VLOOKUP(all_lmics18[[Setting]:[Setting]],all_cause_mort[],4,FALSE)="",VLOOKUP(all_lmics18[[who_choice_region]:[who_choice_region]],missing[],8,FALSE),VLOOKUP(all_lmics18[[Setting]:[Setting]],all_cause_mort[],4,FALSE))</f>
        <v>1.2171532658710052E-2</v>
      </c>
      <c r="Q56">
        <f>IF(VLOOKUP(all_lmics18[[Setting]:[Setting]],all_cause_mort[],5,FALSE)="",VLOOKUP(all_lmics18[[who_choice_region]:[who_choice_region]],missing[],9,FALSE),VLOOKUP(all_lmics18[[Setting]:[Setting]],all_cause_mort[],5,FALSE))</f>
        <v>6.8368448875387184E-4</v>
      </c>
      <c r="R56">
        <f>IF(VLOOKUP(all_lmics18[[Setting]:[Setting]],all_cause_mort[],6,FALSE)="",VLOOKUP(all_lmics18[[who_choice_region]:[who_choice_region]],missing[],10,FALSE),VLOOKUP(all_lmics18[[Setting]:[Setting]],all_cause_mort[],6,FALSE))</f>
        <v>3.8826325725348779E-4</v>
      </c>
      <c r="S56">
        <f>IF(VLOOKUP(all_lmics18[[Setting]:[Setting]],all_cause_mort[],7,FALSE)="",VLOOKUP(all_lmics18[[who_choice_region]:[who_choice_region]],missing[],11,FALSE),VLOOKUP(all_lmics18[[Setting]:[Setting]],all_cause_mort[],7,FALSE))</f>
        <v>3.067218710013588E-4</v>
      </c>
      <c r="T56">
        <f>IF(VLOOKUP(all_lmics18[[Setting]:[Setting]],all_cause_mort[],8,FALSE)="",VLOOKUP(all_lmics18[[who_choice_region]:[who_choice_region]],missing[],12,FALSE),VLOOKUP(all_lmics18[[Setting]:[Setting]],all_cause_mort[],8,FALSE))</f>
        <v>4.9254866058896438E-4</v>
      </c>
      <c r="U56">
        <f>IF(VLOOKUP(all_lmics18[[Setting]:[Setting]],all_cause_mort[],9,FALSE)="",VLOOKUP(all_lmics18[[who_choice_region]:[who_choice_region]],missing[],13,FALSE),VLOOKUP(all_lmics18[[Setting]:[Setting]],all_cause_mort[],9,FALSE))</f>
        <v>6.8616198707337195E-4</v>
      </c>
      <c r="V56">
        <f>IF(VLOOKUP(all_lmics18[[Setting]:[Setting]],all_cause_mort[],10,FALSE)="",VLOOKUP(all_lmics18[[who_choice_region]:[who_choice_region]],missing[],14,FALSE),VLOOKUP(all_lmics18[[Setting]:[Setting]],all_cause_mort[],10,FALSE))</f>
        <v>8.5498135156451523E-4</v>
      </c>
      <c r="W56">
        <f>IF(VLOOKUP(all_lmics18[[Setting]:[Setting]],all_cause_mort[],11,FALSE)="",VLOOKUP(all_lmics18[[who_choice_region]:[who_choice_region]],missing[],15,FALSE),VLOOKUP(all_lmics18[[Setting]:[Setting]],all_cause_mort[],11,FALSE))</f>
        <v>1.0646977878212504E-3</v>
      </c>
      <c r="X56">
        <f>IF(VLOOKUP(all_lmics18[[Setting]:[Setting]],all_cause_mort[],12,FALSE)="",VLOOKUP(all_lmics18[[who_choice_region]:[who_choice_region]],missing[],16,FALSE),VLOOKUP(all_lmics18[[Setting]:[Setting]],all_cause_mort[],12,FALSE))</f>
        <v>1.3706185041209306E-3</v>
      </c>
      <c r="Y56">
        <f>IF(VLOOKUP(all_lmics18[[Setting]:[Setting]],all_cause_mort[],13,FALSE)="",VLOOKUP(all_lmics18[[who_choice_region]:[who_choice_region]],missing[],17,FALSE),VLOOKUP(all_lmics18[[Setting]:[Setting]],all_cause_mort[],13,FALSE))</f>
        <v>1.9338704394827476E-3</v>
      </c>
      <c r="Z56">
        <f>IF(VLOOKUP(all_lmics18[[Setting]:[Setting]],all_cause_mort[],14,FALSE)="",VLOOKUP(all_lmics18[[who_choice_region]:[who_choice_region]],missing[],18,FALSE),VLOOKUP(all_lmics18[[Setting]:[Setting]],all_cause_mort[],14,FALSE))</f>
        <v>2.8449210534799521E-3</v>
      </c>
      <c r="AA56">
        <f>IF(VLOOKUP(all_lmics18[[Setting]:[Setting]],all_cause_mort[],15,FALSE)="",VLOOKUP(all_lmics18[[who_choice_region]:[who_choice_region]],missing[],19,FALSE),VLOOKUP(all_lmics18[[Setting]:[Setting]],all_cause_mort[],15,FALSE))</f>
        <v>4.5397258475201952E-3</v>
      </c>
      <c r="AB56">
        <f>IF(VLOOKUP(all_lmics18[[Setting]:[Setting]],all_cause_mort[],16,FALSE)="",VLOOKUP(all_lmics18[[who_choice_region]:[who_choice_region]],missing[],20,FALSE),VLOOKUP(all_lmics18[[Setting]:[Setting]],all_cause_mort[],16,FALSE))</f>
        <v>7.2925005763066087E-3</v>
      </c>
      <c r="AC56">
        <f>IF(VLOOKUP(all_lmics18[[Setting]:[Setting]],all_cause_mort[],17,FALSE)="",VLOOKUP(all_lmics18[[who_choice_region]:[who_choice_region]],missing[],21,FALSE),VLOOKUP(all_lmics18[[Setting]:[Setting]],all_cause_mort[],17,FALSE))</f>
        <v>1.2430011174391166E-2</v>
      </c>
      <c r="AD56">
        <f>IF(VLOOKUP(all_lmics18[[Setting]:[Setting]],all_cause_mort[],18,FALSE)="",VLOOKUP(all_lmics18[[who_choice_region]:[who_choice_region]],missing[],22,FALSE),VLOOKUP(all_lmics18[[Setting]:[Setting]],all_cause_mort[],18,FALSE))</f>
        <v>2.1225223566410715E-2</v>
      </c>
      <c r="AE56">
        <f>IF(VLOOKUP(all_lmics18[[Setting]:[Setting]],all_cause_mort[],19,FALSE)="",VLOOKUP(all_lmics18[[who_choice_region]:[who_choice_region]],missing[],23,FALSE),VLOOKUP(all_lmics18[[Setting]:[Setting]],all_cause_mort[],19,FALSE))</f>
        <v>3.7100898613842075E-2</v>
      </c>
      <c r="AF56">
        <f>IF(VLOOKUP(all_lmics18[[Setting]:[Setting]],all_cause_mort[],20,FALSE)="",VLOOKUP(all_lmics18[[who_choice_region]:[who_choice_region]],missing[],24,FALSE),VLOOKUP(all_lmics18[[Setting]:[Setting]],all_cause_mort[],20,FALSE))</f>
        <v>6.1505862954745437E-2</v>
      </c>
      <c r="AG56">
        <f>IF(VLOOKUP(all_lmics18[[Setting]:[Setting]],all_cause_mort[],21,FALSE)="",VLOOKUP(all_lmics18[[who_choice_region]:[who_choice_region]],missing[],25,FALSE),VLOOKUP(all_lmics18[[Setting]:[Setting]],all_cause_mort[],21,FALSE))</f>
        <v>9.4870341219730828E-2</v>
      </c>
      <c r="AH56">
        <f>IF(VLOOKUP(all_lmics18[[Setting]:[Setting]],all_cause_mort[],22,FALSE)="",VLOOKUP(all_lmics18[[who_choice_region]:[who_choice_region]],missing[],26,FALSE),VLOOKUP(all_lmics18[[Setting]:[Setting]],all_cause_mort[],22,FALSE))</f>
        <v>0.14693633977770637</v>
      </c>
      <c r="AI56">
        <f>IF(VLOOKUP(all_lmics18[[Setting]:[Setting]],all_cause_mort[],23,FALSE)="",VLOOKUP(all_lmics18[[who_choice_region]:[who_choice_region]],missing[],27,FALSE),VLOOKUP(all_lmics18[[Setting]:[Setting]],all_cause_mort[],23,FALSE))</f>
        <v>0.21054250727883506</v>
      </c>
      <c r="AJ56">
        <f>IF(VLOOKUP(all_lmics18[[Setting]:[Setting]],all_cause_mort[],24,FALSE)="",VLOOKUP(all_lmics18[[who_choice_region]:[who_choice_region]],missing[],28,FALSE),VLOOKUP(all_lmics18[[Setting]:[Setting]],all_cause_mort[],24,FALSE))</f>
        <v>0.28760691487723716</v>
      </c>
      <c r="AK56">
        <f>IF(VLOOKUP(all_lmics18[[Setting]:[Setting]],all_cause_mort[],25,FALSE)="",VLOOKUP(all_lmics18[[who_choice_region]:[who_choice_region]],missing[],29,FALSE),VLOOKUP(all_lmics18[[Setting]:[Setting]],all_cause_mort[],25,FALSE))</f>
        <v>0.36209791606833291</v>
      </c>
      <c r="AL56">
        <f>VLOOKUP(all_lmics18[[worldbank_region]:[worldbank_region]],Table13[],2,FALSE)</f>
        <v>73.064384999999987</v>
      </c>
      <c r="AM56">
        <f>VLOOKUP(all_lmics18[[worldbank_region]:[worldbank_region]],Table13[],3,FALSE)</f>
        <v>73.064384999999987</v>
      </c>
      <c r="AN56">
        <f>VLOOKUP(all_lmics18[[worldbank_region]:[worldbank_region]],Table13[],4,FALSE)</f>
        <v>120.79324499999998</v>
      </c>
      <c r="AO56">
        <f>VLOOKUP(all_lmics18[[worldbank_region]:[worldbank_region]],Table13[],5,FALSE)</f>
        <v>120.79324499999998</v>
      </c>
      <c r="AP56">
        <f>VLOOKUP(all_lmics18[[worldbank_region]:[worldbank_region]],Table13[],6,FALSE)</f>
        <v>120.79324499999998</v>
      </c>
      <c r="AQ56">
        <f>VLOOKUP(all_lmics18[[worldbank_region]:[worldbank_region]],Table14[],2,FALSE)</f>
        <v>1.34029</v>
      </c>
      <c r="AR56">
        <f>VLOOKUP(all_lmics18[[worldbank_region]:[worldbank_region]],Table14[],3,FALSE)</f>
        <v>1.9577900000000001</v>
      </c>
      <c r="AS56">
        <f>VLOOKUP(all_lmics18[[worldbank_region]:[worldbank_region]],Table14[],4,FALSE)</f>
        <v>1.9723159999999997</v>
      </c>
      <c r="AT56">
        <f>VLOOKUP(all_lmics18[[worldbank_region]:[worldbank_region]],Table14[],5,FALSE)</f>
        <v>2.5898159999999999</v>
      </c>
      <c r="AU56">
        <f>VLOOKUP(all_lmics18[[worldbank_region]:[worldbank_region]],Table14[],6,FALSE)</f>
        <v>3.1600679999999999</v>
      </c>
      <c r="AV56">
        <f>IFERROR(VLOOKUP(all_lmics18[[Setting]:[Setting]],nFacSBA[],4,FALSE),VLOOKUP(all_lmics18[[who_choice_region]:[who_choice_region]],missing[],30,FALSE))</f>
        <v>0.15985670213371023</v>
      </c>
      <c r="AW56">
        <f>VLOOKUP(all_lmics18[[worldbank_region]:[worldbank_region]],hbe[],2)</f>
        <v>0.3</v>
      </c>
      <c r="AX56">
        <f>VLOOKUP(all_lmics18[[worldbank_region]:[worldbank_region]],hbe[],5)</f>
        <v>0.875</v>
      </c>
      <c r="AY56">
        <f>VLOOKUP(all_lmics18[[worldbank_region]:[worldbank_region]],hbe[],8)</f>
        <v>0.15</v>
      </c>
    </row>
    <row r="57" spans="1:51" x14ac:dyDescent="0.35">
      <c r="A57" s="8" t="s">
        <v>161</v>
      </c>
      <c r="B57" s="10" t="s">
        <v>22</v>
      </c>
      <c r="C57" s="11" t="s">
        <v>383</v>
      </c>
      <c r="D57">
        <f>VLOOKUP(all_lmics18[[Setting]:[Setting]],populations[],9,FALSE)</f>
        <v>4098587</v>
      </c>
      <c r="E57">
        <f>VLOOKUP(all_lmics18[[Setting]:[Setting]],birthrate[],3,FALSE)</f>
        <v>1.9533000000000002E-2</v>
      </c>
      <c r="F57">
        <f>all_lmics18[[#This Row],[2017_population]]*all_lmics18[[#This Row],[2016_birthrate]]</f>
        <v>80057.699871000004</v>
      </c>
      <c r="G57">
        <f>VLOOKUP(all_lmics18[[Setting]:[Setting]],birthdose[],4,FALSE)</f>
        <v>0.87</v>
      </c>
      <c r="H57">
        <f>VLOOKUP(all_lmics18[[Setting]:[Setting]],fullvax[],4,FALSE)</f>
        <v>0.81</v>
      </c>
      <c r="I57">
        <f>IFERROR(VLOOKUP(all_lmics18[[Setting]:[Setting]],prev[],3,FALSE),VLOOKUP(all_lmics18[[who_choice_region]:[who_choice_region]],missing[],2,FALSE))</f>
        <v>2.1000000000000001E-2</v>
      </c>
      <c r="J57">
        <f>IFERROR(VLOOKUP(all_lmics18[[Setting]:[Setting]],prev[],4,FALSE),VLOOKUP(all_lmics18[[who_choice_region]:[who_choice_region]],missing[],3,FALSE))</f>
        <v>1.9E-2</v>
      </c>
      <c r="K57">
        <f>IFERROR(VLOOKUP(all_lmics18[[Setting]:[Setting]],prev[],5,FALSE),VLOOKUP(all_lmics18[[who_choice_region]:[who_choice_region]],missing[],4,FALSE))</f>
        <v>2.3199999999999998E-2</v>
      </c>
      <c r="L57">
        <f>IFERROR(VLOOKUP(all_lmics18[[Setting]:[Setting]],prev[],7,FALSE),VLOOKUP(all_lmics18[[who_choice_region]:[who_choice_region]],missing[],5,FALSE))</f>
        <v>1.1224489795918352E-3</v>
      </c>
      <c r="M57">
        <f>IFERROR(VLOOKUP(all_lmics18[[Setting]:[Setting]],prev[],6,FALSE),0)</f>
        <v>3643222</v>
      </c>
      <c r="N57">
        <f>IFERROR(VLOOKUP(all_lmics18[[Setting]:[Setting]],SBA[],4,FALSE),VLOOKUP(all_lmics18[[who_choice_region]:[who_choice_region]],missing[],6,FALSE))</f>
        <v>0.94599999999999995</v>
      </c>
      <c r="O57">
        <f>IFERROR(VLOOKUP(all_lmics18[[Setting]:[Setting]], facility[], 3,FALSE),VLOOKUP(all_lmics18[[who_choice_region]:[who_choice_region]],missing[],7,FALSE))</f>
        <v>0.91200000000000003</v>
      </c>
      <c r="P57">
        <f>IF(VLOOKUP(all_lmics18[[Setting]:[Setting]],all_cause_mort[],4,FALSE)="",VLOOKUP(all_lmics18[[who_choice_region]:[who_choice_region]],missing[],8,FALSE),VLOOKUP(all_lmics18[[Setting]:[Setting]],all_cause_mort[],4,FALSE))</f>
        <v>1.4316863000000001E-2</v>
      </c>
      <c r="Q57">
        <f>IF(VLOOKUP(all_lmics18[[Setting]:[Setting]],all_cause_mort[],5,FALSE)="",VLOOKUP(all_lmics18[[who_choice_region]:[who_choice_region]],missing[],9,FALSE),VLOOKUP(all_lmics18[[Setting]:[Setting]],all_cause_mort[],5,FALSE))</f>
        <v>1.1168910000000001E-3</v>
      </c>
      <c r="R57">
        <f>IF(VLOOKUP(all_lmics18[[Setting]:[Setting]],all_cause_mort[],6,FALSE)="",VLOOKUP(all_lmics18[[who_choice_region]:[who_choice_region]],missing[],10,FALSE),VLOOKUP(all_lmics18[[Setting]:[Setting]],all_cause_mort[],6,FALSE))</f>
        <v>3.0663007E-4</v>
      </c>
      <c r="S57">
        <f>IF(VLOOKUP(all_lmics18[[Setting]:[Setting]],all_cause_mort[],7,FALSE)="",VLOOKUP(all_lmics18[[who_choice_region]:[who_choice_region]],missing[],11,FALSE),VLOOKUP(all_lmics18[[Setting]:[Setting]],all_cause_mort[],7,FALSE))</f>
        <v>3.8203605E-4</v>
      </c>
      <c r="T57">
        <f>IF(VLOOKUP(all_lmics18[[Setting]:[Setting]],all_cause_mort[],8,FALSE)="",VLOOKUP(all_lmics18[[who_choice_region]:[who_choice_region]],missing[],12,FALSE),VLOOKUP(all_lmics18[[Setting]:[Setting]],all_cause_mort[],8,FALSE))</f>
        <v>9.7342136999999996E-4</v>
      </c>
      <c r="U57">
        <f>IF(VLOOKUP(all_lmics18[[Setting]:[Setting]],all_cause_mort[],9,FALSE)="",VLOOKUP(all_lmics18[[who_choice_region]:[who_choice_region]],missing[],13,FALSE),VLOOKUP(all_lmics18[[Setting]:[Setting]],all_cause_mort[],9,FALSE))</f>
        <v>1.6672996999999999E-3</v>
      </c>
      <c r="V57">
        <f>IF(VLOOKUP(all_lmics18[[Setting]:[Setting]],all_cause_mort[],10,FALSE)="",VLOOKUP(all_lmics18[[who_choice_region]:[who_choice_region]],missing[],14,FALSE),VLOOKUP(all_lmics18[[Setting]:[Setting]],all_cause_mort[],10,FALSE))</f>
        <v>1.8989256999999999E-3</v>
      </c>
      <c r="W57">
        <f>IF(VLOOKUP(all_lmics18[[Setting]:[Setting]],all_cause_mort[],11,FALSE)="",VLOOKUP(all_lmics18[[who_choice_region]:[who_choice_region]],missing[],15,FALSE),VLOOKUP(all_lmics18[[Setting]:[Setting]],all_cause_mort[],11,FALSE))</f>
        <v>1.8455957E-3</v>
      </c>
      <c r="X57">
        <f>IF(VLOOKUP(all_lmics18[[Setting]:[Setting]],all_cause_mort[],12,FALSE)="",VLOOKUP(all_lmics18[[who_choice_region]:[who_choice_region]],missing[],16,FALSE),VLOOKUP(all_lmics18[[Setting]:[Setting]],all_cause_mort[],12,FALSE))</f>
        <v>1.8930301E-3</v>
      </c>
      <c r="Y57">
        <f>IF(VLOOKUP(all_lmics18[[Setting]:[Setting]],all_cause_mort[],13,FALSE)="",VLOOKUP(all_lmics18[[who_choice_region]:[who_choice_region]],missing[],17,FALSE),VLOOKUP(all_lmics18[[Setting]:[Setting]],all_cause_mort[],13,FALSE))</f>
        <v>2.2506380000000001E-3</v>
      </c>
      <c r="Z57">
        <f>IF(VLOOKUP(all_lmics18[[Setting]:[Setting]],all_cause_mort[],14,FALSE)="",VLOOKUP(all_lmics18[[who_choice_region]:[who_choice_region]],missing[],18,FALSE),VLOOKUP(all_lmics18[[Setting]:[Setting]],all_cause_mort[],14,FALSE))</f>
        <v>3.0129906999999999E-3</v>
      </c>
      <c r="AA57">
        <f>IF(VLOOKUP(all_lmics18[[Setting]:[Setting]],all_cause_mort[],15,FALSE)="",VLOOKUP(all_lmics18[[who_choice_region]:[who_choice_region]],missing[],19,FALSE),VLOOKUP(all_lmics18[[Setting]:[Setting]],all_cause_mort[],15,FALSE))</f>
        <v>4.3259865999999998E-3</v>
      </c>
      <c r="AB57">
        <f>IF(VLOOKUP(all_lmics18[[Setting]:[Setting]],all_cause_mort[],16,FALSE)="",VLOOKUP(all_lmics18[[who_choice_region]:[who_choice_region]],missing[],20,FALSE),VLOOKUP(all_lmics18[[Setting]:[Setting]],all_cause_mort[],16,FALSE))</f>
        <v>6.4119004E-3</v>
      </c>
      <c r="AC57">
        <f>IF(VLOOKUP(all_lmics18[[Setting]:[Setting]],all_cause_mort[],17,FALSE)="",VLOOKUP(all_lmics18[[who_choice_region]:[who_choice_region]],missing[],21,FALSE),VLOOKUP(all_lmics18[[Setting]:[Setting]],all_cause_mort[],17,FALSE))</f>
        <v>9.6462936999999992E-3</v>
      </c>
      <c r="AD57">
        <f>IF(VLOOKUP(all_lmics18[[Setting]:[Setting]],all_cause_mort[],18,FALSE)="",VLOOKUP(all_lmics18[[who_choice_region]:[who_choice_region]],missing[],22,FALSE),VLOOKUP(all_lmics18[[Setting]:[Setting]],all_cause_mort[],18,FALSE))</f>
        <v>1.4640630999999999E-2</v>
      </c>
      <c r="AE57">
        <f>IF(VLOOKUP(all_lmics18[[Setting]:[Setting]],all_cause_mort[],19,FALSE)="",VLOOKUP(all_lmics18[[who_choice_region]:[who_choice_region]],missing[],23,FALSE),VLOOKUP(all_lmics18[[Setting]:[Setting]],all_cause_mort[],19,FALSE))</f>
        <v>2.2341037000000001E-2</v>
      </c>
      <c r="AF57">
        <f>IF(VLOOKUP(all_lmics18[[Setting]:[Setting]],all_cause_mort[],20,FALSE)="",VLOOKUP(all_lmics18[[who_choice_region]:[who_choice_region]],missing[],24,FALSE),VLOOKUP(all_lmics18[[Setting]:[Setting]],all_cause_mort[],20,FALSE))</f>
        <v>3.4147505000000002E-2</v>
      </c>
      <c r="AG57">
        <f>IF(VLOOKUP(all_lmics18[[Setting]:[Setting]],all_cause_mort[],21,FALSE)="",VLOOKUP(all_lmics18[[who_choice_region]:[who_choice_region]],missing[],25,FALSE),VLOOKUP(all_lmics18[[Setting]:[Setting]],all_cause_mort[],21,FALSE))</f>
        <v>5.2188312000000001E-2</v>
      </c>
      <c r="AH57">
        <f>IF(VLOOKUP(all_lmics18[[Setting]:[Setting]],all_cause_mort[],22,FALSE)="",VLOOKUP(all_lmics18[[who_choice_region]:[who_choice_region]],missing[],26,FALSE),VLOOKUP(all_lmics18[[Setting]:[Setting]],all_cause_mort[],22,FALSE))</f>
        <v>7.9706316999999999E-2</v>
      </c>
      <c r="AI57">
        <f>IF(VLOOKUP(all_lmics18[[Setting]:[Setting]],all_cause_mort[],23,FALSE)="",VLOOKUP(all_lmics18[[who_choice_region]:[who_choice_region]],missing[],27,FALSE),VLOOKUP(all_lmics18[[Setting]:[Setting]],all_cause_mort[],23,FALSE))</f>
        <v>0.12119497999999999</v>
      </c>
      <c r="AJ57">
        <f>IF(VLOOKUP(all_lmics18[[Setting]:[Setting]],all_cause_mort[],24,FALSE)="",VLOOKUP(all_lmics18[[who_choice_region]:[who_choice_region]],missing[],28,FALSE),VLOOKUP(all_lmics18[[Setting]:[Setting]],all_cause_mort[],24,FALSE))</f>
        <v>0.18664743</v>
      </c>
      <c r="AK57">
        <f>IF(VLOOKUP(all_lmics18[[Setting]:[Setting]],all_cause_mort[],25,FALSE)="",VLOOKUP(all_lmics18[[who_choice_region]:[who_choice_region]],missing[],29,FALSE),VLOOKUP(all_lmics18[[Setting]:[Setting]],all_cause_mort[],25,FALSE))</f>
        <v>0.29132941038860299</v>
      </c>
      <c r="AL57">
        <f>VLOOKUP(all_lmics18[[worldbank_region]:[worldbank_region]],Table13[],2,FALSE)</f>
        <v>86.85998699999999</v>
      </c>
      <c r="AM57">
        <f>VLOOKUP(all_lmics18[[worldbank_region]:[worldbank_region]],Table13[],3,FALSE)</f>
        <v>86.85998699999999</v>
      </c>
      <c r="AN57">
        <f>VLOOKUP(all_lmics18[[worldbank_region]:[worldbank_region]],Table13[],4,FALSE)</f>
        <v>134.58884699999999</v>
      </c>
      <c r="AO57">
        <f>VLOOKUP(all_lmics18[[worldbank_region]:[worldbank_region]],Table13[],5,FALSE)</f>
        <v>134.58884699999999</v>
      </c>
      <c r="AP57">
        <f>VLOOKUP(all_lmics18[[worldbank_region]:[worldbank_region]],Table13[],6,FALSE)</f>
        <v>134.58884699999999</v>
      </c>
      <c r="AQ57">
        <f>VLOOKUP(all_lmics18[[worldbank_region]:[worldbank_region]],Table14[],2,FALSE)</f>
        <v>1.514642</v>
      </c>
      <c r="AR57">
        <f>VLOOKUP(all_lmics18[[worldbank_region]:[worldbank_region]],Table14[],3,FALSE)</f>
        <v>2.132142</v>
      </c>
      <c r="AS57">
        <f>VLOOKUP(all_lmics18[[worldbank_region]:[worldbank_region]],Table14[],4,FALSE)</f>
        <v>1.5364360000000001</v>
      </c>
      <c r="AT57">
        <f>VLOOKUP(all_lmics18[[worldbank_region]:[worldbank_region]],Table14[],5,FALSE)</f>
        <v>2.1539359999999999</v>
      </c>
      <c r="AU57">
        <f>VLOOKUP(all_lmics18[[worldbank_region]:[worldbank_region]],Table14[],6,FALSE)</f>
        <v>2.7241879999999998</v>
      </c>
      <c r="AV57">
        <f>IFERROR(VLOOKUP(all_lmics18[[Setting]:[Setting]],nFacSBA[],4,FALSE),VLOOKUP(all_lmics18[[who_choice_region]:[who_choice_region]],missing[],30,FALSE))</f>
        <v>0.204083371647339</v>
      </c>
      <c r="AW57">
        <f>VLOOKUP(all_lmics18[[worldbank_region]:[worldbank_region]],hbe[],2)</f>
        <v>0.3</v>
      </c>
      <c r="AX57">
        <f>VLOOKUP(all_lmics18[[worldbank_region]:[worldbank_region]],hbe[],5)</f>
        <v>0.875</v>
      </c>
      <c r="AY57">
        <f>VLOOKUP(all_lmics18[[worldbank_region]:[worldbank_region]],hbe[],8)</f>
        <v>0.15</v>
      </c>
    </row>
    <row r="58" spans="1:51" x14ac:dyDescent="0.35">
      <c r="A58" s="12" t="s">
        <v>162</v>
      </c>
      <c r="B58" s="13" t="s">
        <v>57</v>
      </c>
      <c r="C58" s="14" t="s">
        <v>58</v>
      </c>
      <c r="D58">
        <f>VLOOKUP(all_lmics18[[Setting]:[Setting]],populations[],9,FALSE)</f>
        <v>8251162</v>
      </c>
      <c r="E58">
        <f>VLOOKUP(all_lmics18[[Setting]:[Setting]],birthrate[],3,FALSE)</f>
        <v>2.7606000000000002E-2</v>
      </c>
      <c r="F58">
        <f>all_lmics18[[#This Row],[2017_population]]*all_lmics18[[#This Row],[2016_birthrate]]</f>
        <v>227781.57817200001</v>
      </c>
      <c r="G58">
        <f>VLOOKUP(all_lmics18[[Setting]:[Setting]],birthdose[],4,FALSE)</f>
        <v>0.33</v>
      </c>
      <c r="H58">
        <f>VLOOKUP(all_lmics18[[Setting]:[Setting]],fullvax[],4,FALSE)</f>
        <v>0.56000000000000005</v>
      </c>
      <c r="I58">
        <f>IFERROR(VLOOKUP(all_lmics18[[Setting]:[Setting]],prev[],3,FALSE),VLOOKUP(all_lmics18[[who_choice_region]:[who_choice_region]],missing[],2,FALSE))</f>
        <v>6.6000000000000003E-2</v>
      </c>
      <c r="J58">
        <f>IFERROR(VLOOKUP(all_lmics18[[Setting]:[Setting]],prev[],4,FALSE),VLOOKUP(all_lmics18[[who_choice_region]:[who_choice_region]],missing[],3,FALSE))</f>
        <v>0.06</v>
      </c>
      <c r="K58">
        <f>IFERROR(VLOOKUP(all_lmics18[[Setting]:[Setting]],prev[],5,FALSE),VLOOKUP(all_lmics18[[who_choice_region]:[who_choice_region]],missing[],4,FALSE))</f>
        <v>7.6999999999999999E-2</v>
      </c>
      <c r="L58">
        <f>IFERROR(VLOOKUP(all_lmics18[[Setting]:[Setting]],prev[],7,FALSE),VLOOKUP(all_lmics18[[who_choice_region]:[who_choice_region]],missing[],5,FALSE))</f>
        <v>5.6122448979591816E-3</v>
      </c>
      <c r="M58">
        <f>IFERROR(VLOOKUP(all_lmics18[[Setting]:[Setting]],prev[],6,FALSE),0)</f>
        <v>8251162</v>
      </c>
      <c r="N58">
        <f>IFERROR(VLOOKUP(all_lmics18[[Setting]:[Setting]],SBA[],4,FALSE),VLOOKUP(all_lmics18[[who_choice_region]:[who_choice_region]],missing[],6,FALSE))</f>
        <v>0.4</v>
      </c>
      <c r="O58">
        <f>IFERROR(VLOOKUP(all_lmics18[[Setting]:[Setting]], facility[], 3,FALSE),VLOOKUP(all_lmics18[[who_choice_region]:[who_choice_region]],missing[],7,FALSE))</f>
        <v>0.43</v>
      </c>
      <c r="P58">
        <f>IF(VLOOKUP(all_lmics18[[Setting]:[Setting]],all_cause_mort[],4,FALSE)="",VLOOKUP(all_lmics18[[who_choice_region]:[who_choice_region]],missing[],8,FALSE),VLOOKUP(all_lmics18[[Setting]:[Setting]],all_cause_mort[],4,FALSE))</f>
        <v>4.3476411E-2</v>
      </c>
      <c r="Q58">
        <f>IF(VLOOKUP(all_lmics18[[Setting]:[Setting]],all_cause_mort[],5,FALSE)="",VLOOKUP(all_lmics18[[who_choice_region]:[who_choice_region]],missing[],9,FALSE),VLOOKUP(all_lmics18[[Setting]:[Setting]],all_cause_mort[],5,FALSE))</f>
        <v>2.9079266000000001E-3</v>
      </c>
      <c r="R58">
        <f>IF(VLOOKUP(all_lmics18[[Setting]:[Setting]],all_cause_mort[],6,FALSE)="",VLOOKUP(all_lmics18[[who_choice_region]:[who_choice_region]],missing[],10,FALSE),VLOOKUP(all_lmics18[[Setting]:[Setting]],all_cause_mort[],6,FALSE))</f>
        <v>1.1746701000000001E-3</v>
      </c>
      <c r="S58">
        <f>IF(VLOOKUP(all_lmics18[[Setting]:[Setting]],all_cause_mort[],7,FALSE)="",VLOOKUP(all_lmics18[[who_choice_region]:[who_choice_region]],missing[],11,FALSE),VLOOKUP(all_lmics18[[Setting]:[Setting]],all_cause_mort[],7,FALSE))</f>
        <v>9.2688373999999995E-4</v>
      </c>
      <c r="T58">
        <f>IF(VLOOKUP(all_lmics18[[Setting]:[Setting]],all_cause_mort[],8,FALSE)="",VLOOKUP(all_lmics18[[who_choice_region]:[who_choice_region]],missing[],12,FALSE),VLOOKUP(all_lmics18[[Setting]:[Setting]],all_cause_mort[],8,FALSE))</f>
        <v>1.6822899999999999E-3</v>
      </c>
      <c r="U58">
        <f>IF(VLOOKUP(all_lmics18[[Setting]:[Setting]],all_cause_mort[],9,FALSE)="",VLOOKUP(all_lmics18[[who_choice_region]:[who_choice_region]],missing[],13,FALSE),VLOOKUP(all_lmics18[[Setting]:[Setting]],all_cause_mort[],9,FALSE))</f>
        <v>2.2730177999999998E-3</v>
      </c>
      <c r="V58">
        <f>IF(VLOOKUP(all_lmics18[[Setting]:[Setting]],all_cause_mort[],10,FALSE)="",VLOOKUP(all_lmics18[[who_choice_region]:[who_choice_region]],missing[],14,FALSE),VLOOKUP(all_lmics18[[Setting]:[Setting]],all_cause_mort[],10,FALSE))</f>
        <v>2.4715621000000001E-3</v>
      </c>
      <c r="W58">
        <f>IF(VLOOKUP(all_lmics18[[Setting]:[Setting]],all_cause_mort[],11,FALSE)="",VLOOKUP(all_lmics18[[who_choice_region]:[who_choice_region]],missing[],15,FALSE),VLOOKUP(all_lmics18[[Setting]:[Setting]],all_cause_mort[],11,FALSE))</f>
        <v>2.8759676999999999E-3</v>
      </c>
      <c r="X58">
        <f>IF(VLOOKUP(all_lmics18[[Setting]:[Setting]],all_cause_mort[],12,FALSE)="",VLOOKUP(all_lmics18[[who_choice_region]:[who_choice_region]],missing[],16,FALSE),VLOOKUP(all_lmics18[[Setting]:[Setting]],all_cause_mort[],12,FALSE))</f>
        <v>3.6746067000000002E-3</v>
      </c>
      <c r="Y58">
        <f>IF(VLOOKUP(all_lmics18[[Setting]:[Setting]],all_cause_mort[],13,FALSE)="",VLOOKUP(all_lmics18[[who_choice_region]:[who_choice_region]],missing[],17,FALSE),VLOOKUP(all_lmics18[[Setting]:[Setting]],all_cause_mort[],13,FALSE))</f>
        <v>4.9171900999999997E-3</v>
      </c>
      <c r="Z58">
        <f>IF(VLOOKUP(all_lmics18[[Setting]:[Setting]],all_cause_mort[],14,FALSE)="",VLOOKUP(all_lmics18[[who_choice_region]:[who_choice_region]],missing[],18,FALSE),VLOOKUP(all_lmics18[[Setting]:[Setting]],all_cause_mort[],14,FALSE))</f>
        <v>6.9776673000000004E-3</v>
      </c>
      <c r="AA58">
        <f>IF(VLOOKUP(all_lmics18[[Setting]:[Setting]],all_cause_mort[],15,FALSE)="",VLOOKUP(all_lmics18[[who_choice_region]:[who_choice_region]],missing[],19,FALSE),VLOOKUP(all_lmics18[[Setting]:[Setting]],all_cause_mort[],15,FALSE))</f>
        <v>1.0231395000000001E-2</v>
      </c>
      <c r="AB58">
        <f>IF(VLOOKUP(all_lmics18[[Setting]:[Setting]],all_cause_mort[],16,FALSE)="",VLOOKUP(all_lmics18[[who_choice_region]:[who_choice_region]],missing[],20,FALSE),VLOOKUP(all_lmics18[[Setting]:[Setting]],all_cause_mort[],16,FALSE))</f>
        <v>1.5188722999999999E-2</v>
      </c>
      <c r="AC58">
        <f>IF(VLOOKUP(all_lmics18[[Setting]:[Setting]],all_cause_mort[],17,FALSE)="",VLOOKUP(all_lmics18[[who_choice_region]:[who_choice_region]],missing[],21,FALSE),VLOOKUP(all_lmics18[[Setting]:[Setting]],all_cause_mort[],17,FALSE))</f>
        <v>2.573133E-2</v>
      </c>
      <c r="AD58">
        <f>IF(VLOOKUP(all_lmics18[[Setting]:[Setting]],all_cause_mort[],18,FALSE)="",VLOOKUP(all_lmics18[[who_choice_region]:[who_choice_region]],missing[],22,FALSE),VLOOKUP(all_lmics18[[Setting]:[Setting]],all_cause_mort[],18,FALSE))</f>
        <v>4.4059527000000001E-2</v>
      </c>
      <c r="AE58">
        <f>IF(VLOOKUP(all_lmics18[[Setting]:[Setting]],all_cause_mort[],19,FALSE)="",VLOOKUP(all_lmics18[[who_choice_region]:[who_choice_region]],missing[],23,FALSE),VLOOKUP(all_lmics18[[Setting]:[Setting]],all_cause_mort[],19,FALSE))</f>
        <v>7.3067984000000002E-2</v>
      </c>
      <c r="AF58">
        <f>IF(VLOOKUP(all_lmics18[[Setting]:[Setting]],all_cause_mort[],20,FALSE)="",VLOOKUP(all_lmics18[[who_choice_region]:[who_choice_region]],missing[],24,FALSE),VLOOKUP(all_lmics18[[Setting]:[Setting]],all_cause_mort[],20,FALSE))</f>
        <v>0.11621322000000001</v>
      </c>
      <c r="AG58">
        <f>IF(VLOOKUP(all_lmics18[[Setting]:[Setting]],all_cause_mort[],21,FALSE)="",VLOOKUP(all_lmics18[[who_choice_region]:[who_choice_region]],missing[],25,FALSE),VLOOKUP(all_lmics18[[Setting]:[Setting]],all_cause_mort[],21,FALSE))</f>
        <v>0.18128772000000001</v>
      </c>
      <c r="AH58">
        <f>IF(VLOOKUP(all_lmics18[[Setting]:[Setting]],all_cause_mort[],22,FALSE)="",VLOOKUP(all_lmics18[[who_choice_region]:[who_choice_region]],missing[],26,FALSE),VLOOKUP(all_lmics18[[Setting]:[Setting]],all_cause_mort[],22,FALSE))</f>
        <v>0.27647423999999998</v>
      </c>
      <c r="AI58">
        <f>IF(VLOOKUP(all_lmics18[[Setting]:[Setting]],all_cause_mort[],23,FALSE)="",VLOOKUP(all_lmics18[[who_choice_region]:[who_choice_region]],missing[],27,FALSE),VLOOKUP(all_lmics18[[Setting]:[Setting]],all_cause_mort[],23,FALSE))</f>
        <v>0.39408220999999999</v>
      </c>
      <c r="AJ58">
        <f>IF(VLOOKUP(all_lmics18[[Setting]:[Setting]],all_cause_mort[],24,FALSE)="",VLOOKUP(all_lmics18[[who_choice_region]:[who_choice_region]],missing[],28,FALSE),VLOOKUP(all_lmics18[[Setting]:[Setting]],all_cause_mort[],24,FALSE))</f>
        <v>0.53360748999999996</v>
      </c>
      <c r="AK58">
        <f>IF(VLOOKUP(all_lmics18[[Setting]:[Setting]],all_cause_mort[],25,FALSE)="",VLOOKUP(all_lmics18[[who_choice_region]:[who_choice_region]],missing[],29,FALSE),VLOOKUP(all_lmics18[[Setting]:[Setting]],all_cause_mort[],25,FALSE))</f>
        <v>0.69123285180900795</v>
      </c>
      <c r="AL58">
        <f>VLOOKUP(all_lmics18[[worldbank_region]:[worldbank_region]],Table13[],2,FALSE)</f>
        <v>73.064384999999987</v>
      </c>
      <c r="AM58">
        <f>VLOOKUP(all_lmics18[[worldbank_region]:[worldbank_region]],Table13[],3,FALSE)</f>
        <v>73.064384999999987</v>
      </c>
      <c r="AN58">
        <f>VLOOKUP(all_lmics18[[worldbank_region]:[worldbank_region]],Table13[],4,FALSE)</f>
        <v>120.79324499999998</v>
      </c>
      <c r="AO58">
        <f>VLOOKUP(all_lmics18[[worldbank_region]:[worldbank_region]],Table13[],5,FALSE)</f>
        <v>120.79324499999998</v>
      </c>
      <c r="AP58">
        <f>VLOOKUP(all_lmics18[[worldbank_region]:[worldbank_region]],Table13[],6,FALSE)</f>
        <v>120.79324499999998</v>
      </c>
      <c r="AQ58">
        <f>VLOOKUP(all_lmics18[[worldbank_region]:[worldbank_region]],Table14[],2,FALSE)</f>
        <v>1.34029</v>
      </c>
      <c r="AR58">
        <f>VLOOKUP(all_lmics18[[worldbank_region]:[worldbank_region]],Table14[],3,FALSE)</f>
        <v>1.9577900000000001</v>
      </c>
      <c r="AS58">
        <f>VLOOKUP(all_lmics18[[worldbank_region]:[worldbank_region]],Table14[],4,FALSE)</f>
        <v>1.9723159999999997</v>
      </c>
      <c r="AT58">
        <f>VLOOKUP(all_lmics18[[worldbank_region]:[worldbank_region]],Table14[],5,FALSE)</f>
        <v>2.5898159999999999</v>
      </c>
      <c r="AU58">
        <f>VLOOKUP(all_lmics18[[worldbank_region]:[worldbank_region]],Table14[],6,FALSE)</f>
        <v>3.1600679999999999</v>
      </c>
      <c r="AV58">
        <f>IFERROR(VLOOKUP(all_lmics18[[Setting]:[Setting]],nFacSBA[],4,FALSE),VLOOKUP(all_lmics18[[who_choice_region]:[who_choice_region]],missing[],30,FALSE))</f>
        <v>0.15985670213371023</v>
      </c>
      <c r="AW58">
        <f>VLOOKUP(all_lmics18[[worldbank_region]:[worldbank_region]],hbe[],2)</f>
        <v>0.3</v>
      </c>
      <c r="AX58">
        <f>VLOOKUP(all_lmics18[[worldbank_region]:[worldbank_region]],hbe[],5)</f>
        <v>0.875</v>
      </c>
      <c r="AY58">
        <f>VLOOKUP(all_lmics18[[worldbank_region]:[worldbank_region]],hbe[],8)</f>
        <v>0.15</v>
      </c>
    </row>
    <row r="59" spans="1:51" x14ac:dyDescent="0.35">
      <c r="A59" s="8" t="s">
        <v>163</v>
      </c>
      <c r="B59" s="10" t="s">
        <v>22</v>
      </c>
      <c r="C59" s="11" t="s">
        <v>383</v>
      </c>
      <c r="D59">
        <f>VLOOKUP(all_lmics18[[Setting]:[Setting]],populations[],9,FALSE)</f>
        <v>6811297</v>
      </c>
      <c r="E59">
        <f>VLOOKUP(all_lmics18[[Setting]:[Setting]],birthrate[],3,FALSE)</f>
        <v>2.0947E-2</v>
      </c>
      <c r="F59">
        <f>all_lmics18[[#This Row],[2017_population]]*all_lmics18[[#This Row],[2016_birthrate]]</f>
        <v>142676.23825900001</v>
      </c>
      <c r="G59">
        <f>VLOOKUP(all_lmics18[[Setting]:[Setting]],birthdose[],4,FALSE)</f>
        <v>0.52</v>
      </c>
      <c r="H59">
        <f>VLOOKUP(all_lmics18[[Setting]:[Setting]],fullvax[],4,FALSE)</f>
        <v>0.91</v>
      </c>
      <c r="I59">
        <f>IFERROR(VLOOKUP(all_lmics18[[Setting]:[Setting]],prev[],3,FALSE),VLOOKUP(all_lmics18[[who_choice_region]:[who_choice_region]],missing[],2,FALSE))</f>
        <v>4.1444892127893984E-3</v>
      </c>
      <c r="J59">
        <f>IFERROR(VLOOKUP(all_lmics18[[Setting]:[Setting]],prev[],4,FALSE),VLOOKUP(all_lmics18[[who_choice_region]:[who_choice_region]],missing[],3,FALSE))</f>
        <v>2.6055266579680684E-3</v>
      </c>
      <c r="K59">
        <f>IFERROR(VLOOKUP(all_lmics18[[Setting]:[Setting]],prev[],5,FALSE),VLOOKUP(all_lmics18[[who_choice_region]:[who_choice_region]],missing[],4,FALSE))</f>
        <v>7.7002555713058798E-3</v>
      </c>
      <c r="L59">
        <f>IFERROR(VLOOKUP(all_lmics18[[Setting]:[Setting]],prev[],7,FALSE),VLOOKUP(all_lmics18[[who_choice_region]:[who_choice_region]],missing[],5,FALSE))</f>
        <v>1.8146552860433664E-3</v>
      </c>
      <c r="M59">
        <f>IFERROR(VLOOKUP(all_lmics18[[Setting]:[Setting]],prev[],6,FALSE),0)</f>
        <v>0</v>
      </c>
      <c r="N59">
        <f>IFERROR(VLOOKUP(all_lmics18[[Setting]:[Setting]],SBA[],4,FALSE),VLOOKUP(all_lmics18[[who_choice_region]:[who_choice_region]],missing[],6,FALSE))</f>
        <v>0.95499999999999996</v>
      </c>
      <c r="O59">
        <f>IFERROR(VLOOKUP(all_lmics18[[Setting]:[Setting]], facility[], 3,FALSE),VLOOKUP(all_lmics18[[who_choice_region]:[who_choice_region]],missing[],7,FALSE))</f>
        <v>0.93200000000000005</v>
      </c>
      <c r="P59">
        <f>IF(VLOOKUP(all_lmics18[[Setting]:[Setting]],all_cause_mort[],4,FALSE)="",VLOOKUP(all_lmics18[[who_choice_region]:[who_choice_region]],missing[],8,FALSE),VLOOKUP(all_lmics18[[Setting]:[Setting]],all_cause_mort[],4,FALSE))</f>
        <v>1.9355603999999998E-2</v>
      </c>
      <c r="Q59">
        <f>IF(VLOOKUP(all_lmics18[[Setting]:[Setting]],all_cause_mort[],5,FALSE)="",VLOOKUP(all_lmics18[[who_choice_region]:[who_choice_region]],missing[],9,FALSE),VLOOKUP(all_lmics18[[Setting]:[Setting]],all_cause_mort[],5,FALSE))</f>
        <v>6.2881761999999996E-4</v>
      </c>
      <c r="R59">
        <f>IF(VLOOKUP(all_lmics18[[Setting]:[Setting]],all_cause_mort[],6,FALSE)="",VLOOKUP(all_lmics18[[who_choice_region]:[who_choice_region]],missing[],10,FALSE),VLOOKUP(all_lmics18[[Setting]:[Setting]],all_cause_mort[],6,FALSE))</f>
        <v>5.5234958000000001E-4</v>
      </c>
      <c r="S59">
        <f>IF(VLOOKUP(all_lmics18[[Setting]:[Setting]],all_cause_mort[],7,FALSE)="",VLOOKUP(all_lmics18[[who_choice_region]:[who_choice_region]],missing[],11,FALSE),VLOOKUP(all_lmics18[[Setting]:[Setting]],all_cause_mort[],7,FALSE))</f>
        <v>4.4948789000000001E-4</v>
      </c>
      <c r="T59">
        <f>IF(VLOOKUP(all_lmics18[[Setting]:[Setting]],all_cause_mort[],8,FALSE)="",VLOOKUP(all_lmics18[[who_choice_region]:[who_choice_region]],missing[],12,FALSE),VLOOKUP(all_lmics18[[Setting]:[Setting]],all_cause_mort[],8,FALSE))</f>
        <v>1.0542913000000001E-3</v>
      </c>
      <c r="U59">
        <f>IF(VLOOKUP(all_lmics18[[Setting]:[Setting]],all_cause_mort[],9,FALSE)="",VLOOKUP(all_lmics18[[who_choice_region]:[who_choice_region]],missing[],13,FALSE),VLOOKUP(all_lmics18[[Setting]:[Setting]],all_cause_mort[],9,FALSE))</f>
        <v>1.6059035000000001E-3</v>
      </c>
      <c r="V59">
        <f>IF(VLOOKUP(all_lmics18[[Setting]:[Setting]],all_cause_mort[],10,FALSE)="",VLOOKUP(all_lmics18[[who_choice_region]:[who_choice_region]],missing[],14,FALSE),VLOOKUP(all_lmics18[[Setting]:[Setting]],all_cause_mort[],10,FALSE))</f>
        <v>1.9587977999999998E-3</v>
      </c>
      <c r="W59">
        <f>IF(VLOOKUP(all_lmics18[[Setting]:[Setting]],all_cause_mort[],11,FALSE)="",VLOOKUP(all_lmics18[[who_choice_region]:[who_choice_region]],missing[],15,FALSE),VLOOKUP(all_lmics18[[Setting]:[Setting]],all_cause_mort[],11,FALSE))</f>
        <v>1.9953162000000001E-3</v>
      </c>
      <c r="X59">
        <f>IF(VLOOKUP(all_lmics18[[Setting]:[Setting]],all_cause_mort[],12,FALSE)="",VLOOKUP(all_lmics18[[who_choice_region]:[who_choice_region]],missing[],16,FALSE),VLOOKUP(all_lmics18[[Setting]:[Setting]],all_cause_mort[],12,FALSE))</f>
        <v>2.3646519E-3</v>
      </c>
      <c r="Y59">
        <f>IF(VLOOKUP(all_lmics18[[Setting]:[Setting]],all_cause_mort[],13,FALSE)="",VLOOKUP(all_lmics18[[who_choice_region]:[who_choice_region]],missing[],17,FALSE),VLOOKUP(all_lmics18[[Setting]:[Setting]],all_cause_mort[],13,FALSE))</f>
        <v>2.8979647000000001E-3</v>
      </c>
      <c r="Z59">
        <f>IF(VLOOKUP(all_lmics18[[Setting]:[Setting]],all_cause_mort[],14,FALSE)="",VLOOKUP(all_lmics18[[who_choice_region]:[who_choice_region]],missing[],18,FALSE),VLOOKUP(all_lmics18[[Setting]:[Setting]],all_cause_mort[],14,FALSE))</f>
        <v>4.2436922000000004E-3</v>
      </c>
      <c r="AA59">
        <f>IF(VLOOKUP(all_lmics18[[Setting]:[Setting]],all_cause_mort[],15,FALSE)="",VLOOKUP(all_lmics18[[who_choice_region]:[who_choice_region]],missing[],19,FALSE),VLOOKUP(all_lmics18[[Setting]:[Setting]],all_cause_mort[],15,FALSE))</f>
        <v>6.1885048999999999E-3</v>
      </c>
      <c r="AB59">
        <f>IF(VLOOKUP(all_lmics18[[Setting]:[Setting]],all_cause_mort[],16,FALSE)="",VLOOKUP(all_lmics18[[who_choice_region]:[who_choice_region]],missing[],20,FALSE),VLOOKUP(all_lmics18[[Setting]:[Setting]],all_cause_mort[],16,FALSE))</f>
        <v>8.7090715999999999E-3</v>
      </c>
      <c r="AC59">
        <f>IF(VLOOKUP(all_lmics18[[Setting]:[Setting]],all_cause_mort[],17,FALSE)="",VLOOKUP(all_lmics18[[who_choice_region]:[who_choice_region]],missing[],21,FALSE),VLOOKUP(all_lmics18[[Setting]:[Setting]],all_cause_mort[],17,FALSE))</f>
        <v>1.3643486E-2</v>
      </c>
      <c r="AD59">
        <f>IF(VLOOKUP(all_lmics18[[Setting]:[Setting]],all_cause_mort[],18,FALSE)="",VLOOKUP(all_lmics18[[who_choice_region]:[who_choice_region]],missing[],22,FALSE),VLOOKUP(all_lmics18[[Setting]:[Setting]],all_cause_mort[],18,FALSE))</f>
        <v>2.0194107999999999E-2</v>
      </c>
      <c r="AE59">
        <f>IF(VLOOKUP(all_lmics18[[Setting]:[Setting]],all_cause_mort[],19,FALSE)="",VLOOKUP(all_lmics18[[who_choice_region]:[who_choice_region]],missing[],23,FALSE),VLOOKUP(all_lmics18[[Setting]:[Setting]],all_cause_mort[],19,FALSE))</f>
        <v>2.9681827000000001E-2</v>
      </c>
      <c r="AF59">
        <f>IF(VLOOKUP(all_lmics18[[Setting]:[Setting]],all_cause_mort[],20,FALSE)="",VLOOKUP(all_lmics18[[who_choice_region]:[who_choice_region]],missing[],24,FALSE),VLOOKUP(all_lmics18[[Setting]:[Setting]],all_cause_mort[],20,FALSE))</f>
        <v>4.2919825000000002E-2</v>
      </c>
      <c r="AG59">
        <f>IF(VLOOKUP(all_lmics18[[Setting]:[Setting]],all_cause_mort[],21,FALSE)="",VLOOKUP(all_lmics18[[who_choice_region]:[who_choice_region]],missing[],25,FALSE),VLOOKUP(all_lmics18[[Setting]:[Setting]],all_cause_mort[],21,FALSE))</f>
        <v>8.4247589999999997E-2</v>
      </c>
      <c r="AH59">
        <f>IF(VLOOKUP(all_lmics18[[Setting]:[Setting]],all_cause_mort[],22,FALSE)="",VLOOKUP(all_lmics18[[who_choice_region]:[who_choice_region]],missing[],26,FALSE),VLOOKUP(all_lmics18[[Setting]:[Setting]],all_cause_mort[],22,FALSE))</f>
        <v>0.134908</v>
      </c>
      <c r="AI59">
        <f>IF(VLOOKUP(all_lmics18[[Setting]:[Setting]],all_cause_mort[],23,FALSE)="",VLOOKUP(all_lmics18[[who_choice_region]:[who_choice_region]],missing[],27,FALSE),VLOOKUP(all_lmics18[[Setting]:[Setting]],all_cause_mort[],23,FALSE))</f>
        <v>0.20061775000000001</v>
      </c>
      <c r="AJ59">
        <f>IF(VLOOKUP(all_lmics18[[Setting]:[Setting]],all_cause_mort[],24,FALSE)="",VLOOKUP(all_lmics18[[who_choice_region]:[who_choice_region]],missing[],28,FALSE),VLOOKUP(all_lmics18[[Setting]:[Setting]],all_cause_mort[],24,FALSE))</f>
        <v>0.27725865999999999</v>
      </c>
      <c r="AK59">
        <f>IF(VLOOKUP(all_lmics18[[Setting]:[Setting]],all_cause_mort[],25,FALSE)="",VLOOKUP(all_lmics18[[who_choice_region]:[who_choice_region]],missing[],29,FALSE),VLOOKUP(all_lmics18[[Setting]:[Setting]],all_cause_mort[],25,FALSE))</f>
        <v>0.38506899589254601</v>
      </c>
      <c r="AL59">
        <f>VLOOKUP(all_lmics18[[worldbank_region]:[worldbank_region]],Table13[],2,FALSE)</f>
        <v>86.85998699999999</v>
      </c>
      <c r="AM59">
        <f>VLOOKUP(all_lmics18[[worldbank_region]:[worldbank_region]],Table13[],3,FALSE)</f>
        <v>86.85998699999999</v>
      </c>
      <c r="AN59">
        <f>VLOOKUP(all_lmics18[[worldbank_region]:[worldbank_region]],Table13[],4,FALSE)</f>
        <v>134.58884699999999</v>
      </c>
      <c r="AO59">
        <f>VLOOKUP(all_lmics18[[worldbank_region]:[worldbank_region]],Table13[],5,FALSE)</f>
        <v>134.58884699999999</v>
      </c>
      <c r="AP59">
        <f>VLOOKUP(all_lmics18[[worldbank_region]:[worldbank_region]],Table13[],6,FALSE)</f>
        <v>134.58884699999999</v>
      </c>
      <c r="AQ59">
        <f>VLOOKUP(all_lmics18[[worldbank_region]:[worldbank_region]],Table14[],2,FALSE)</f>
        <v>1.514642</v>
      </c>
      <c r="AR59">
        <f>VLOOKUP(all_lmics18[[worldbank_region]:[worldbank_region]],Table14[],3,FALSE)</f>
        <v>2.132142</v>
      </c>
      <c r="AS59">
        <f>VLOOKUP(all_lmics18[[worldbank_region]:[worldbank_region]],Table14[],4,FALSE)</f>
        <v>1.5364360000000001</v>
      </c>
      <c r="AT59">
        <f>VLOOKUP(all_lmics18[[worldbank_region]:[worldbank_region]],Table14[],5,FALSE)</f>
        <v>2.1539359999999999</v>
      </c>
      <c r="AU59">
        <f>VLOOKUP(all_lmics18[[worldbank_region]:[worldbank_region]],Table14[],6,FALSE)</f>
        <v>2.7241879999999998</v>
      </c>
      <c r="AV59">
        <f>IFERROR(VLOOKUP(all_lmics18[[Setting]:[Setting]],nFacSBA[],4,FALSE),VLOOKUP(all_lmics18[[who_choice_region]:[who_choice_region]],missing[],30,FALSE))</f>
        <v>0.204083371647339</v>
      </c>
      <c r="AW59">
        <f>VLOOKUP(all_lmics18[[worldbank_region]:[worldbank_region]],hbe[],2)</f>
        <v>0.3</v>
      </c>
      <c r="AX59">
        <f>VLOOKUP(all_lmics18[[worldbank_region]:[worldbank_region]],hbe[],5)</f>
        <v>0.875</v>
      </c>
      <c r="AY59">
        <f>VLOOKUP(all_lmics18[[worldbank_region]:[worldbank_region]],hbe[],8)</f>
        <v>0.15</v>
      </c>
    </row>
    <row r="60" spans="1:51" x14ac:dyDescent="0.35">
      <c r="A60" s="12" t="s">
        <v>164</v>
      </c>
      <c r="B60" s="13" t="s">
        <v>46</v>
      </c>
      <c r="C60" s="14" t="s">
        <v>383</v>
      </c>
      <c r="D60">
        <f>VLOOKUP(all_lmics18[[Setting]:[Setting]],populations[],9,FALSE)</f>
        <v>32165485</v>
      </c>
      <c r="E60">
        <f>VLOOKUP(all_lmics18[[Setting]:[Setting]],birthrate[],3,FALSE)</f>
        <v>1.9281E-2</v>
      </c>
      <c r="F60">
        <f>all_lmics18[[#This Row],[2017_population]]*all_lmics18[[#This Row],[2016_birthrate]]</f>
        <v>620182.71628499997</v>
      </c>
      <c r="G60">
        <f>VLOOKUP(all_lmics18[[Setting]:[Setting]],birthdose[],4,FALSE)</f>
        <v>0.75</v>
      </c>
      <c r="H60">
        <f>VLOOKUP(all_lmics18[[Setting]:[Setting]],fullvax[],4,FALSE)</f>
        <v>0.83</v>
      </c>
      <c r="I60">
        <f>IFERROR(VLOOKUP(all_lmics18[[Setting]:[Setting]],prev[],3,FALSE),VLOOKUP(all_lmics18[[who_choice_region]:[who_choice_region]],missing[],2,FALSE))</f>
        <v>3.0000000000000001E-3</v>
      </c>
      <c r="J60">
        <f>IFERROR(VLOOKUP(all_lmics18[[Setting]:[Setting]],prev[],4,FALSE),VLOOKUP(all_lmics18[[who_choice_region]:[who_choice_region]],missing[],3,FALSE))</f>
        <v>3.0000000000000001E-3</v>
      </c>
      <c r="K60">
        <f>IFERROR(VLOOKUP(all_lmics18[[Setting]:[Setting]],prev[],5,FALSE),VLOOKUP(all_lmics18[[who_choice_region]:[who_choice_region]],missing[],4,FALSE))</f>
        <v>4.0000000000000001E-3</v>
      </c>
      <c r="L60">
        <f>IFERROR(VLOOKUP(all_lmics18[[Setting]:[Setting]],prev[],7,FALSE),VLOOKUP(all_lmics18[[who_choice_region]:[who_choice_region]],missing[],5,FALSE))</f>
        <v>5.1020408163265311E-4</v>
      </c>
      <c r="M60">
        <f>IFERROR(VLOOKUP(all_lmics18[[Setting]:[Setting]],prev[],6,FALSE),0)</f>
        <v>32165485</v>
      </c>
      <c r="N60">
        <f>IFERROR(VLOOKUP(all_lmics18[[Setting]:[Setting]],SBA[],4,FALSE),VLOOKUP(all_lmics18[[who_choice_region]:[who_choice_region]],missing[],6,FALSE))</f>
        <v>0.92400000000000004</v>
      </c>
      <c r="O60">
        <f>IFERROR(VLOOKUP(all_lmics18[[Setting]:[Setting]], facility[], 3,FALSE),VLOOKUP(all_lmics18[[who_choice_region]:[who_choice_region]],missing[],7,FALSE))</f>
        <v>0.91</v>
      </c>
      <c r="P60">
        <f>IF(VLOOKUP(all_lmics18[[Setting]:[Setting]],all_cause_mort[],4,FALSE)="",VLOOKUP(all_lmics18[[who_choice_region]:[who_choice_region]],missing[],8,FALSE),VLOOKUP(all_lmics18[[Setting]:[Setting]],all_cause_mort[],4,FALSE))</f>
        <v>1.2939015999999999E-2</v>
      </c>
      <c r="Q60">
        <f>IF(VLOOKUP(all_lmics18[[Setting]:[Setting]],all_cause_mort[],5,FALSE)="",VLOOKUP(all_lmics18[[who_choice_region]:[who_choice_region]],missing[],9,FALSE),VLOOKUP(all_lmics18[[Setting]:[Setting]],all_cause_mort[],5,FALSE))</f>
        <v>8.7709691999999996E-4</v>
      </c>
      <c r="R60">
        <f>IF(VLOOKUP(all_lmics18[[Setting]:[Setting]],all_cause_mort[],6,FALSE)="",VLOOKUP(all_lmics18[[who_choice_region]:[who_choice_region]],missing[],10,FALSE),VLOOKUP(all_lmics18[[Setting]:[Setting]],all_cause_mort[],6,FALSE))</f>
        <v>4.9556572000000005E-4</v>
      </c>
      <c r="S60">
        <f>IF(VLOOKUP(all_lmics18[[Setting]:[Setting]],all_cause_mort[],7,FALSE)="",VLOOKUP(all_lmics18[[who_choice_region]:[who_choice_region]],missing[],11,FALSE),VLOOKUP(all_lmics18[[Setting]:[Setting]],all_cause_mort[],7,FALSE))</f>
        <v>3.3616119999999998E-4</v>
      </c>
      <c r="T60">
        <f>IF(VLOOKUP(all_lmics18[[Setting]:[Setting]],all_cause_mort[],8,FALSE)="",VLOOKUP(all_lmics18[[who_choice_region]:[who_choice_region]],missing[],12,FALSE),VLOOKUP(all_lmics18[[Setting]:[Setting]],all_cause_mort[],8,FALSE))</f>
        <v>7.9592344000000001E-4</v>
      </c>
      <c r="U60">
        <f>IF(VLOOKUP(all_lmics18[[Setting]:[Setting]],all_cause_mort[],9,FALSE)="",VLOOKUP(all_lmics18[[who_choice_region]:[who_choice_region]],missing[],13,FALSE),VLOOKUP(all_lmics18[[Setting]:[Setting]],all_cause_mort[],9,FALSE))</f>
        <v>1.1835925E-3</v>
      </c>
      <c r="V60">
        <f>IF(VLOOKUP(all_lmics18[[Setting]:[Setting]],all_cause_mort[],10,FALSE)="",VLOOKUP(all_lmics18[[who_choice_region]:[who_choice_region]],missing[],14,FALSE),VLOOKUP(all_lmics18[[Setting]:[Setting]],all_cause_mort[],10,FALSE))</f>
        <v>1.5371274E-3</v>
      </c>
      <c r="W60">
        <f>IF(VLOOKUP(all_lmics18[[Setting]:[Setting]],all_cause_mort[],11,FALSE)="",VLOOKUP(all_lmics18[[who_choice_region]:[who_choice_region]],missing[],15,FALSE),VLOOKUP(all_lmics18[[Setting]:[Setting]],all_cause_mort[],11,FALSE))</f>
        <v>1.6903962999999999E-3</v>
      </c>
      <c r="X60">
        <f>IF(VLOOKUP(all_lmics18[[Setting]:[Setting]],all_cause_mort[],12,FALSE)="",VLOOKUP(all_lmics18[[who_choice_region]:[who_choice_region]],missing[],16,FALSE),VLOOKUP(all_lmics18[[Setting]:[Setting]],all_cause_mort[],12,FALSE))</f>
        <v>2.0229324E-3</v>
      </c>
      <c r="Y60">
        <f>IF(VLOOKUP(all_lmics18[[Setting]:[Setting]],all_cause_mort[],13,FALSE)="",VLOOKUP(all_lmics18[[who_choice_region]:[who_choice_region]],missing[],17,FALSE),VLOOKUP(all_lmics18[[Setting]:[Setting]],all_cause_mort[],13,FALSE))</f>
        <v>2.5814811000000001E-3</v>
      </c>
      <c r="Z60">
        <f>IF(VLOOKUP(all_lmics18[[Setting]:[Setting]],all_cause_mort[],14,FALSE)="",VLOOKUP(all_lmics18[[who_choice_region]:[who_choice_region]],missing[],18,FALSE),VLOOKUP(all_lmics18[[Setting]:[Setting]],all_cause_mort[],14,FALSE))</f>
        <v>3.4505136999999999E-3</v>
      </c>
      <c r="AA60">
        <f>IF(VLOOKUP(all_lmics18[[Setting]:[Setting]],all_cause_mort[],15,FALSE)="",VLOOKUP(all_lmics18[[who_choice_region]:[who_choice_region]],missing[],19,FALSE),VLOOKUP(all_lmics18[[Setting]:[Setting]],all_cause_mort[],15,FALSE))</f>
        <v>4.8137229000000002E-3</v>
      </c>
      <c r="AB60">
        <f>IF(VLOOKUP(all_lmics18[[Setting]:[Setting]],all_cause_mort[],16,FALSE)="",VLOOKUP(all_lmics18[[who_choice_region]:[who_choice_region]],missing[],20,FALSE),VLOOKUP(all_lmics18[[Setting]:[Setting]],all_cause_mort[],16,FALSE))</f>
        <v>6.9027120999999997E-3</v>
      </c>
      <c r="AC60">
        <f>IF(VLOOKUP(all_lmics18[[Setting]:[Setting]],all_cause_mort[],17,FALSE)="",VLOOKUP(all_lmics18[[who_choice_region]:[who_choice_region]],missing[],21,FALSE),VLOOKUP(all_lmics18[[Setting]:[Setting]],all_cause_mort[],17,FALSE))</f>
        <v>1.0495192E-2</v>
      </c>
      <c r="AD60">
        <f>IF(VLOOKUP(all_lmics18[[Setting]:[Setting]],all_cause_mort[],18,FALSE)="",VLOOKUP(all_lmics18[[who_choice_region]:[who_choice_region]],missing[],22,FALSE),VLOOKUP(all_lmics18[[Setting]:[Setting]],all_cause_mort[],18,FALSE))</f>
        <v>1.5838555000000001E-2</v>
      </c>
      <c r="AE60">
        <f>IF(VLOOKUP(all_lmics18[[Setting]:[Setting]],all_cause_mort[],19,FALSE)="",VLOOKUP(all_lmics18[[who_choice_region]:[who_choice_region]],missing[],23,FALSE),VLOOKUP(all_lmics18[[Setting]:[Setting]],all_cause_mort[],19,FALSE))</f>
        <v>2.7426079999999999E-2</v>
      </c>
      <c r="AF60">
        <f>IF(VLOOKUP(all_lmics18[[Setting]:[Setting]],all_cause_mort[],20,FALSE)="",VLOOKUP(all_lmics18[[who_choice_region]:[who_choice_region]],missing[],24,FALSE),VLOOKUP(all_lmics18[[Setting]:[Setting]],all_cause_mort[],20,FALSE))</f>
        <v>4.4070781000000003E-2</v>
      </c>
      <c r="AG60">
        <f>IF(VLOOKUP(all_lmics18[[Setting]:[Setting]],all_cause_mort[],21,FALSE)="",VLOOKUP(all_lmics18[[who_choice_region]:[who_choice_region]],missing[],25,FALSE),VLOOKUP(all_lmics18[[Setting]:[Setting]],all_cause_mort[],21,FALSE))</f>
        <v>7.3844919999999994E-2</v>
      </c>
      <c r="AH60">
        <f>IF(VLOOKUP(all_lmics18[[Setting]:[Setting]],all_cause_mort[],22,FALSE)="",VLOOKUP(all_lmics18[[who_choice_region]:[who_choice_region]],missing[],26,FALSE),VLOOKUP(all_lmics18[[Setting]:[Setting]],all_cause_mort[],22,FALSE))</f>
        <v>0.12225401</v>
      </c>
      <c r="AI60">
        <f>IF(VLOOKUP(all_lmics18[[Setting]:[Setting]],all_cause_mort[],23,FALSE)="",VLOOKUP(all_lmics18[[who_choice_region]:[who_choice_region]],missing[],27,FALSE),VLOOKUP(all_lmics18[[Setting]:[Setting]],all_cause_mort[],23,FALSE))</f>
        <v>0.18637312</v>
      </c>
      <c r="AJ60">
        <f>IF(VLOOKUP(all_lmics18[[Setting]:[Setting]],all_cause_mort[],24,FALSE)="",VLOOKUP(all_lmics18[[who_choice_region]:[who_choice_region]],missing[],28,FALSE),VLOOKUP(all_lmics18[[Setting]:[Setting]],all_cause_mort[],24,FALSE))</f>
        <v>0.26399128999999999</v>
      </c>
      <c r="AK60">
        <f>IF(VLOOKUP(all_lmics18[[Setting]:[Setting]],all_cause_mort[],25,FALSE)="",VLOOKUP(all_lmics18[[who_choice_region]:[who_choice_region]],missing[],29,FALSE),VLOOKUP(all_lmics18[[Setting]:[Setting]],all_cause_mort[],25,FALSE))</f>
        <v>0.37807237681475703</v>
      </c>
      <c r="AL60">
        <f>VLOOKUP(all_lmics18[[worldbank_region]:[worldbank_region]],Table13[],2,FALSE)</f>
        <v>86.85998699999999</v>
      </c>
      <c r="AM60">
        <f>VLOOKUP(all_lmics18[[worldbank_region]:[worldbank_region]],Table13[],3,FALSE)</f>
        <v>86.85998699999999</v>
      </c>
      <c r="AN60">
        <f>VLOOKUP(all_lmics18[[worldbank_region]:[worldbank_region]],Table13[],4,FALSE)</f>
        <v>134.58884699999999</v>
      </c>
      <c r="AO60">
        <f>VLOOKUP(all_lmics18[[worldbank_region]:[worldbank_region]],Table13[],5,FALSE)</f>
        <v>134.58884699999999</v>
      </c>
      <c r="AP60">
        <f>VLOOKUP(all_lmics18[[worldbank_region]:[worldbank_region]],Table13[],6,FALSE)</f>
        <v>134.58884699999999</v>
      </c>
      <c r="AQ60">
        <f>VLOOKUP(all_lmics18[[worldbank_region]:[worldbank_region]],Table14[],2,FALSE)</f>
        <v>1.514642</v>
      </c>
      <c r="AR60">
        <f>VLOOKUP(all_lmics18[[worldbank_region]:[worldbank_region]],Table14[],3,FALSE)</f>
        <v>2.132142</v>
      </c>
      <c r="AS60">
        <f>VLOOKUP(all_lmics18[[worldbank_region]:[worldbank_region]],Table14[],4,FALSE)</f>
        <v>1.5364360000000001</v>
      </c>
      <c r="AT60">
        <f>VLOOKUP(all_lmics18[[worldbank_region]:[worldbank_region]],Table14[],5,FALSE)</f>
        <v>2.1539359999999999</v>
      </c>
      <c r="AU60">
        <f>VLOOKUP(all_lmics18[[worldbank_region]:[worldbank_region]],Table14[],6,FALSE)</f>
        <v>2.7241879999999998</v>
      </c>
      <c r="AV60">
        <f>IFERROR(VLOOKUP(all_lmics18[[Setting]:[Setting]],nFacSBA[],4,FALSE),VLOOKUP(all_lmics18[[who_choice_region]:[who_choice_region]],missing[],30,FALSE))</f>
        <v>0.18261387062666498</v>
      </c>
      <c r="AW60">
        <f>VLOOKUP(all_lmics18[[worldbank_region]:[worldbank_region]],hbe[],2)</f>
        <v>0.3</v>
      </c>
      <c r="AX60">
        <f>VLOOKUP(all_lmics18[[worldbank_region]:[worldbank_region]],hbe[],5)</f>
        <v>0.875</v>
      </c>
      <c r="AY60">
        <f>VLOOKUP(all_lmics18[[worldbank_region]:[worldbank_region]],hbe[],8)</f>
        <v>0.15</v>
      </c>
    </row>
    <row r="61" spans="1:51" x14ac:dyDescent="0.35">
      <c r="A61" s="8" t="s">
        <v>165</v>
      </c>
      <c r="B61" s="10" t="s">
        <v>57</v>
      </c>
      <c r="C61" s="11" t="s">
        <v>58</v>
      </c>
      <c r="D61">
        <f>VLOOKUP(all_lmics18[[Setting]:[Setting]],populations[],9,FALSE)</f>
        <v>104918090</v>
      </c>
      <c r="E61">
        <f>VLOOKUP(all_lmics18[[Setting]:[Setting]],birthrate[],3,FALSE)</f>
        <v>2.3210000000000001E-2</v>
      </c>
      <c r="F61">
        <f>all_lmics18[[#This Row],[2017_population]]*all_lmics18[[#This Row],[2016_birthrate]]</f>
        <v>2435148.8689000001</v>
      </c>
      <c r="G61">
        <f>VLOOKUP(all_lmics18[[Setting]:[Setting]],birthdose[],4,FALSE)</f>
        <v>0.67</v>
      </c>
      <c r="H61">
        <f>VLOOKUP(all_lmics18[[Setting]:[Setting]],fullvax[],4,FALSE)</f>
        <v>0.88</v>
      </c>
      <c r="I61">
        <f>IFERROR(VLOOKUP(all_lmics18[[Setting]:[Setting]],prev[],3,FALSE),VLOOKUP(all_lmics18[[who_choice_region]:[who_choice_region]],missing[],2,FALSE))</f>
        <v>9.8000000000000004E-2</v>
      </c>
      <c r="J61">
        <f>IFERROR(VLOOKUP(all_lmics18[[Setting]:[Setting]],prev[],4,FALSE),VLOOKUP(all_lmics18[[who_choice_region]:[who_choice_region]],missing[],3,FALSE))</f>
        <v>8.7999999999999995E-2</v>
      </c>
      <c r="K61">
        <f>IFERROR(VLOOKUP(all_lmics18[[Setting]:[Setting]],prev[],5,FALSE),VLOOKUP(all_lmics18[[who_choice_region]:[who_choice_region]],missing[],4,FALSE))</f>
        <v>0.109</v>
      </c>
      <c r="L61">
        <f>IFERROR(VLOOKUP(all_lmics18[[Setting]:[Setting]],prev[],7,FALSE),VLOOKUP(all_lmics18[[who_choice_region]:[who_choice_region]],missing[],5,FALSE))</f>
        <v>5.6122448979591816E-3</v>
      </c>
      <c r="M61">
        <f>IFERROR(VLOOKUP(all_lmics18[[Setting]:[Setting]],prev[],6,FALSE),0)</f>
        <v>104918090</v>
      </c>
      <c r="N61">
        <f>IFERROR(VLOOKUP(all_lmics18[[Setting]:[Setting]],SBA[],4,FALSE),VLOOKUP(all_lmics18[[who_choice_region]:[who_choice_region]],missing[],6,FALSE))</f>
        <v>0.72799999999999998</v>
      </c>
      <c r="O61">
        <f>IFERROR(VLOOKUP(all_lmics18[[Setting]:[Setting]], facility[], 3,FALSE),VLOOKUP(all_lmics18[[who_choice_region]:[who_choice_region]],missing[],7,FALSE))</f>
        <v>0.61099999999999999</v>
      </c>
      <c r="P61">
        <f>IF(VLOOKUP(all_lmics18[[Setting]:[Setting]],all_cause_mort[],4,FALSE)="",VLOOKUP(all_lmics18[[who_choice_region]:[who_choice_region]],missing[],8,FALSE),VLOOKUP(all_lmics18[[Setting]:[Setting]],all_cause_mort[],4,FALSE))</f>
        <v>2.0008061000000001E-2</v>
      </c>
      <c r="Q61">
        <f>IF(VLOOKUP(all_lmics18[[Setting]:[Setting]],all_cause_mort[],5,FALSE)="",VLOOKUP(all_lmics18[[who_choice_region]:[who_choice_region]],missing[],9,FALSE),VLOOKUP(all_lmics18[[Setting]:[Setting]],all_cause_mort[],5,FALSE))</f>
        <v>2.0546607000000001E-3</v>
      </c>
      <c r="R61">
        <f>IF(VLOOKUP(all_lmics18[[Setting]:[Setting]],all_cause_mort[],6,FALSE)="",VLOOKUP(all_lmics18[[who_choice_region]:[who_choice_region]],missing[],10,FALSE),VLOOKUP(all_lmics18[[Setting]:[Setting]],all_cause_mort[],6,FALSE))</f>
        <v>6.1392798999999995E-4</v>
      </c>
      <c r="S61">
        <f>IF(VLOOKUP(all_lmics18[[Setting]:[Setting]],all_cause_mort[],7,FALSE)="",VLOOKUP(all_lmics18[[who_choice_region]:[who_choice_region]],missing[],11,FALSE),VLOOKUP(all_lmics18[[Setting]:[Setting]],all_cause_mort[],7,FALSE))</f>
        <v>5.3274137999999999E-4</v>
      </c>
      <c r="T61">
        <f>IF(VLOOKUP(all_lmics18[[Setting]:[Setting]],all_cause_mort[],8,FALSE)="",VLOOKUP(all_lmics18[[who_choice_region]:[who_choice_region]],missing[],12,FALSE),VLOOKUP(all_lmics18[[Setting]:[Setting]],all_cause_mort[],8,FALSE))</f>
        <v>1.1410983E-3</v>
      </c>
      <c r="U61">
        <f>IF(VLOOKUP(all_lmics18[[Setting]:[Setting]],all_cause_mort[],9,FALSE)="",VLOOKUP(all_lmics18[[who_choice_region]:[who_choice_region]],missing[],13,FALSE),VLOOKUP(all_lmics18[[Setting]:[Setting]],all_cause_mort[],9,FALSE))</f>
        <v>1.598159E-3</v>
      </c>
      <c r="V61">
        <f>IF(VLOOKUP(all_lmics18[[Setting]:[Setting]],all_cause_mort[],10,FALSE)="",VLOOKUP(all_lmics18[[who_choice_region]:[who_choice_region]],missing[],14,FALSE),VLOOKUP(all_lmics18[[Setting]:[Setting]],all_cause_mort[],10,FALSE))</f>
        <v>1.747333E-3</v>
      </c>
      <c r="W61">
        <f>IF(VLOOKUP(all_lmics18[[Setting]:[Setting]],all_cause_mort[],11,FALSE)="",VLOOKUP(all_lmics18[[who_choice_region]:[who_choice_region]],missing[],15,FALSE),VLOOKUP(all_lmics18[[Setting]:[Setting]],all_cause_mort[],11,FALSE))</f>
        <v>2.0867637E-3</v>
      </c>
      <c r="X61">
        <f>IF(VLOOKUP(all_lmics18[[Setting]:[Setting]],all_cause_mort[],12,FALSE)="",VLOOKUP(all_lmics18[[who_choice_region]:[who_choice_region]],missing[],16,FALSE),VLOOKUP(all_lmics18[[Setting]:[Setting]],all_cause_mort[],12,FALSE))</f>
        <v>2.7738117E-3</v>
      </c>
      <c r="Y61">
        <f>IF(VLOOKUP(all_lmics18[[Setting]:[Setting]],all_cause_mort[],13,FALSE)="",VLOOKUP(all_lmics18[[who_choice_region]:[who_choice_region]],missing[],17,FALSE),VLOOKUP(all_lmics18[[Setting]:[Setting]],all_cause_mort[],13,FALSE))</f>
        <v>3.9041178000000002E-3</v>
      </c>
      <c r="Z61">
        <f>IF(VLOOKUP(all_lmics18[[Setting]:[Setting]],all_cause_mort[],14,FALSE)="",VLOOKUP(all_lmics18[[who_choice_region]:[who_choice_region]],missing[],18,FALSE),VLOOKUP(all_lmics18[[Setting]:[Setting]],all_cause_mort[],14,FALSE))</f>
        <v>5.8097141999999997E-3</v>
      </c>
      <c r="AA61">
        <f>IF(VLOOKUP(all_lmics18[[Setting]:[Setting]],all_cause_mort[],15,FALSE)="",VLOOKUP(all_lmics18[[who_choice_region]:[who_choice_region]],missing[],19,FALSE),VLOOKUP(all_lmics18[[Setting]:[Setting]],all_cause_mort[],15,FALSE))</f>
        <v>8.7515739000000002E-3</v>
      </c>
      <c r="AB61">
        <f>IF(VLOOKUP(all_lmics18[[Setting]:[Setting]],all_cause_mort[],16,FALSE)="",VLOOKUP(all_lmics18[[who_choice_region]:[who_choice_region]],missing[],20,FALSE),VLOOKUP(all_lmics18[[Setting]:[Setting]],all_cause_mort[],16,FALSE))</f>
        <v>1.3195676999999999E-2</v>
      </c>
      <c r="AC61">
        <f>IF(VLOOKUP(all_lmics18[[Setting]:[Setting]],all_cause_mort[],17,FALSE)="",VLOOKUP(all_lmics18[[who_choice_region]:[who_choice_region]],missing[],21,FALSE),VLOOKUP(all_lmics18[[Setting]:[Setting]],all_cause_mort[],17,FALSE))</f>
        <v>1.8202122000000001E-2</v>
      </c>
      <c r="AD61">
        <f>IF(VLOOKUP(all_lmics18[[Setting]:[Setting]],all_cause_mort[],18,FALSE)="",VLOOKUP(all_lmics18[[who_choice_region]:[who_choice_region]],missing[],22,FALSE),VLOOKUP(all_lmics18[[Setting]:[Setting]],all_cause_mort[],18,FALSE))</f>
        <v>2.4944500000000001E-2</v>
      </c>
      <c r="AE61">
        <f>IF(VLOOKUP(all_lmics18[[Setting]:[Setting]],all_cause_mort[],19,FALSE)="",VLOOKUP(all_lmics18[[who_choice_region]:[who_choice_region]],missing[],23,FALSE),VLOOKUP(all_lmics18[[Setting]:[Setting]],all_cause_mort[],19,FALSE))</f>
        <v>3.6728228000000002E-2</v>
      </c>
      <c r="AF61">
        <f>IF(VLOOKUP(all_lmics18[[Setting]:[Setting]],all_cause_mort[],20,FALSE)="",VLOOKUP(all_lmics18[[who_choice_region]:[who_choice_region]],missing[],24,FALSE),VLOOKUP(all_lmics18[[Setting]:[Setting]],all_cause_mort[],20,FALSE))</f>
        <v>5.9166007E-2</v>
      </c>
      <c r="AG61">
        <f>IF(VLOOKUP(all_lmics18[[Setting]:[Setting]],all_cause_mort[],21,FALSE)="",VLOOKUP(all_lmics18[[who_choice_region]:[who_choice_region]],missing[],25,FALSE),VLOOKUP(all_lmics18[[Setting]:[Setting]],all_cause_mort[],21,FALSE))</f>
        <v>9.3905343000000002E-2</v>
      </c>
      <c r="AH61">
        <f>IF(VLOOKUP(all_lmics18[[Setting]:[Setting]],all_cause_mort[],22,FALSE)="",VLOOKUP(all_lmics18[[who_choice_region]:[who_choice_region]],missing[],26,FALSE),VLOOKUP(all_lmics18[[Setting]:[Setting]],all_cause_mort[],22,FALSE))</f>
        <v>0.14436562999999999</v>
      </c>
      <c r="AI61">
        <f>IF(VLOOKUP(all_lmics18[[Setting]:[Setting]],all_cause_mort[],23,FALSE)="",VLOOKUP(all_lmics18[[who_choice_region]:[who_choice_region]],missing[],27,FALSE),VLOOKUP(all_lmics18[[Setting]:[Setting]],all_cause_mort[],23,FALSE))</f>
        <v>0.20891223</v>
      </c>
      <c r="AJ61">
        <f>IF(VLOOKUP(all_lmics18[[Setting]:[Setting]],all_cause_mort[],24,FALSE)="",VLOOKUP(all_lmics18[[who_choice_region]:[who_choice_region]],missing[],28,FALSE),VLOOKUP(all_lmics18[[Setting]:[Setting]],all_cause_mort[],24,FALSE))</f>
        <v>0.29338666000000002</v>
      </c>
      <c r="AK61">
        <f>IF(VLOOKUP(all_lmics18[[Setting]:[Setting]],all_cause_mort[],25,FALSE)="",VLOOKUP(all_lmics18[[who_choice_region]:[who_choice_region]],missing[],29,FALSE),VLOOKUP(all_lmics18[[Setting]:[Setting]],all_cause_mort[],25,FALSE))</f>
        <v>0.39832271086328003</v>
      </c>
      <c r="AL61">
        <f>VLOOKUP(all_lmics18[[worldbank_region]:[worldbank_region]],Table13[],2,FALSE)</f>
        <v>73.064384999999987</v>
      </c>
      <c r="AM61">
        <f>VLOOKUP(all_lmics18[[worldbank_region]:[worldbank_region]],Table13[],3,FALSE)</f>
        <v>73.064384999999987</v>
      </c>
      <c r="AN61">
        <f>VLOOKUP(all_lmics18[[worldbank_region]:[worldbank_region]],Table13[],4,FALSE)</f>
        <v>120.79324499999998</v>
      </c>
      <c r="AO61">
        <f>VLOOKUP(all_lmics18[[worldbank_region]:[worldbank_region]],Table13[],5,FALSE)</f>
        <v>120.79324499999998</v>
      </c>
      <c r="AP61">
        <f>VLOOKUP(all_lmics18[[worldbank_region]:[worldbank_region]],Table13[],6,FALSE)</f>
        <v>120.79324499999998</v>
      </c>
      <c r="AQ61">
        <f>VLOOKUP(all_lmics18[[worldbank_region]:[worldbank_region]],Table14[],2,FALSE)</f>
        <v>1.34029</v>
      </c>
      <c r="AR61">
        <f>VLOOKUP(all_lmics18[[worldbank_region]:[worldbank_region]],Table14[],3,FALSE)</f>
        <v>1.9577900000000001</v>
      </c>
      <c r="AS61">
        <f>VLOOKUP(all_lmics18[[worldbank_region]:[worldbank_region]],Table14[],4,FALSE)</f>
        <v>1.9723159999999997</v>
      </c>
      <c r="AT61">
        <f>VLOOKUP(all_lmics18[[worldbank_region]:[worldbank_region]],Table14[],5,FALSE)</f>
        <v>2.5898159999999999</v>
      </c>
      <c r="AU61">
        <f>VLOOKUP(all_lmics18[[worldbank_region]:[worldbank_region]],Table14[],6,FALSE)</f>
        <v>3.1600679999999999</v>
      </c>
      <c r="AV61">
        <f>IFERROR(VLOOKUP(all_lmics18[[Setting]:[Setting]],nFacSBA[],4,FALSE),VLOOKUP(all_lmics18[[who_choice_region]:[who_choice_region]],missing[],30,FALSE))</f>
        <v>0.15985670213371023</v>
      </c>
      <c r="AW61">
        <f>VLOOKUP(all_lmics18[[worldbank_region]:[worldbank_region]],hbe[],2)</f>
        <v>0.3</v>
      </c>
      <c r="AX61">
        <f>VLOOKUP(all_lmics18[[worldbank_region]:[worldbank_region]],hbe[],5)</f>
        <v>0.875</v>
      </c>
      <c r="AY61">
        <f>VLOOKUP(all_lmics18[[worldbank_region]:[worldbank_region]],hbe[],8)</f>
        <v>0.15</v>
      </c>
    </row>
    <row r="62" spans="1:51" x14ac:dyDescent="0.35">
      <c r="A62" s="12" t="s">
        <v>166</v>
      </c>
      <c r="B62" s="13" t="s">
        <v>10</v>
      </c>
      <c r="C62" s="14" t="s">
        <v>11</v>
      </c>
      <c r="D62">
        <f>VLOOKUP(all_lmics18[[Setting]:[Setting]],populations[],9,FALSE)</f>
        <v>37975841</v>
      </c>
      <c r="E62">
        <f>VLOOKUP(all_lmics18[[Setting]:[Setting]],birthrate[],3,FALSE)</f>
        <v>1.01E-2</v>
      </c>
      <c r="F62">
        <f>all_lmics18[[#This Row],[2017_population]]*all_lmics18[[#This Row],[2016_birthrate]]</f>
        <v>383555.99410000001</v>
      </c>
      <c r="G62">
        <f>VLOOKUP(all_lmics18[[Setting]:[Setting]],birthdose[],4,FALSE)</f>
        <v>0.93</v>
      </c>
      <c r="H62">
        <f>VLOOKUP(all_lmics18[[Setting]:[Setting]],fullvax[],4,FALSE)</f>
        <v>0.95</v>
      </c>
      <c r="I62">
        <f>IFERROR(VLOOKUP(all_lmics18[[Setting]:[Setting]],prev[],3,FALSE),VLOOKUP(all_lmics18[[who_choice_region]:[who_choice_region]],missing[],2,FALSE))</f>
        <v>8.9999999999999993E-3</v>
      </c>
      <c r="J62">
        <f>IFERROR(VLOOKUP(all_lmics18[[Setting]:[Setting]],prev[],4,FALSE),VLOOKUP(all_lmics18[[who_choice_region]:[who_choice_region]],missing[],3,FALSE))</f>
        <v>7.0000000000000001E-3</v>
      </c>
      <c r="K62">
        <f>IFERROR(VLOOKUP(all_lmics18[[Setting]:[Setting]],prev[],5,FALSE),VLOOKUP(all_lmics18[[who_choice_region]:[who_choice_region]],missing[],4,FALSE))</f>
        <v>1.0999999999999999E-2</v>
      </c>
      <c r="L62">
        <f>IFERROR(VLOOKUP(all_lmics18[[Setting]:[Setting]],prev[],7,FALSE),VLOOKUP(all_lmics18[[who_choice_region]:[who_choice_region]],missing[],5,FALSE))</f>
        <v>1.0204081632653062E-3</v>
      </c>
      <c r="M62">
        <f>IFERROR(VLOOKUP(all_lmics18[[Setting]:[Setting]],prev[],6,FALSE),0)</f>
        <v>37975841</v>
      </c>
      <c r="N62">
        <f>IFERROR(VLOOKUP(all_lmics18[[Setting]:[Setting]],SBA[],4,FALSE),VLOOKUP(all_lmics18[[who_choice_region]:[who_choice_region]],missing[],6,FALSE))</f>
        <v>0.998</v>
      </c>
      <c r="O62">
        <f>IFERROR(VLOOKUP(all_lmics18[[Setting]:[Setting]], facility[], 3,FALSE),VLOOKUP(all_lmics18[[who_choice_region]:[who_choice_region]],missing[],7,FALSE))</f>
        <v>0.998</v>
      </c>
      <c r="P62">
        <f>IF(VLOOKUP(all_lmics18[[Setting]:[Setting]],all_cause_mort[],4,FALSE)="",VLOOKUP(all_lmics18[[who_choice_region]:[who_choice_region]],missing[],8,FALSE),VLOOKUP(all_lmics18[[Setting]:[Setting]],all_cause_mort[],4,FALSE))</f>
        <v>3.2868499E-3</v>
      </c>
      <c r="Q62">
        <f>IF(VLOOKUP(all_lmics18[[Setting]:[Setting]],all_cause_mort[],5,FALSE)="",VLOOKUP(all_lmics18[[who_choice_region]:[who_choice_region]],missing[],9,FALSE),VLOOKUP(all_lmics18[[Setting]:[Setting]],all_cause_mort[],5,FALSE))</f>
        <v>1.4441934000000001E-4</v>
      </c>
      <c r="R62">
        <f>IF(VLOOKUP(all_lmics18[[Setting]:[Setting]],all_cause_mort[],6,FALSE)="",VLOOKUP(all_lmics18[[who_choice_region]:[who_choice_region]],missing[],10,FALSE),VLOOKUP(all_lmics18[[Setting]:[Setting]],all_cause_mort[],6,FALSE))</f>
        <v>8.0743470999999998E-5</v>
      </c>
      <c r="S62">
        <f>IF(VLOOKUP(all_lmics18[[Setting]:[Setting]],all_cause_mort[],7,FALSE)="",VLOOKUP(all_lmics18[[who_choice_region]:[who_choice_region]],missing[],11,FALSE),VLOOKUP(all_lmics18[[Setting]:[Setting]],all_cause_mort[],7,FALSE))</f>
        <v>1.1545408E-4</v>
      </c>
      <c r="T62">
        <f>IF(VLOOKUP(all_lmics18[[Setting]:[Setting]],all_cause_mort[],8,FALSE)="",VLOOKUP(all_lmics18[[who_choice_region]:[who_choice_region]],missing[],12,FALSE),VLOOKUP(all_lmics18[[Setting]:[Setting]],all_cause_mort[],8,FALSE))</f>
        <v>3.4240079999999998E-4</v>
      </c>
      <c r="U62">
        <f>IF(VLOOKUP(all_lmics18[[Setting]:[Setting]],all_cause_mort[],9,FALSE)="",VLOOKUP(all_lmics18[[who_choice_region]:[who_choice_region]],missing[],13,FALSE),VLOOKUP(all_lmics18[[Setting]:[Setting]],all_cause_mort[],9,FALSE))</f>
        <v>5.4388965999999995E-4</v>
      </c>
      <c r="V62">
        <f>IF(VLOOKUP(all_lmics18[[Setting]:[Setting]],all_cause_mort[],10,FALSE)="",VLOOKUP(all_lmics18[[who_choice_region]:[who_choice_region]],missing[],14,FALSE),VLOOKUP(all_lmics18[[Setting]:[Setting]],all_cause_mort[],10,FALSE))</f>
        <v>6.0641749000000004E-4</v>
      </c>
      <c r="W62">
        <f>IF(VLOOKUP(all_lmics18[[Setting]:[Setting]],all_cause_mort[],11,FALSE)="",VLOOKUP(all_lmics18[[who_choice_region]:[who_choice_region]],missing[],15,FALSE),VLOOKUP(all_lmics18[[Setting]:[Setting]],all_cause_mort[],11,FALSE))</f>
        <v>7.9691007999999996E-4</v>
      </c>
      <c r="X62">
        <f>IF(VLOOKUP(all_lmics18[[Setting]:[Setting]],all_cause_mort[],12,FALSE)="",VLOOKUP(all_lmics18[[who_choice_region]:[who_choice_region]],missing[],16,FALSE),VLOOKUP(all_lmics18[[Setting]:[Setting]],all_cause_mort[],12,FALSE))</f>
        <v>1.1931641000000001E-3</v>
      </c>
      <c r="Y62">
        <f>IF(VLOOKUP(all_lmics18[[Setting]:[Setting]],all_cause_mort[],13,FALSE)="",VLOOKUP(all_lmics18[[who_choice_region]:[who_choice_region]],missing[],17,FALSE),VLOOKUP(all_lmics18[[Setting]:[Setting]],all_cause_mort[],13,FALSE))</f>
        <v>1.9504971000000001E-3</v>
      </c>
      <c r="Z62">
        <f>IF(VLOOKUP(all_lmics18[[Setting]:[Setting]],all_cause_mort[],14,FALSE)="",VLOOKUP(all_lmics18[[who_choice_region]:[who_choice_region]],missing[],18,FALSE),VLOOKUP(all_lmics18[[Setting]:[Setting]],all_cause_mort[],14,FALSE))</f>
        <v>3.3166645000000002E-3</v>
      </c>
      <c r="AA62">
        <f>IF(VLOOKUP(all_lmics18[[Setting]:[Setting]],all_cause_mort[],15,FALSE)="",VLOOKUP(all_lmics18[[who_choice_region]:[who_choice_region]],missing[],19,FALSE),VLOOKUP(all_lmics18[[Setting]:[Setting]],all_cause_mort[],15,FALSE))</f>
        <v>5.5350829000000001E-3</v>
      </c>
      <c r="AB62">
        <f>IF(VLOOKUP(all_lmics18[[Setting]:[Setting]],all_cause_mort[],16,FALSE)="",VLOOKUP(all_lmics18[[who_choice_region]:[who_choice_region]],missing[],20,FALSE),VLOOKUP(all_lmics18[[Setting]:[Setting]],all_cause_mort[],16,FALSE))</f>
        <v>8.7180399999999998E-3</v>
      </c>
      <c r="AC62">
        <f>IF(VLOOKUP(all_lmics18[[Setting]:[Setting]],all_cause_mort[],17,FALSE)="",VLOOKUP(all_lmics18[[who_choice_region]:[who_choice_region]],missing[],21,FALSE),VLOOKUP(all_lmics18[[Setting]:[Setting]],all_cause_mort[],17,FALSE))</f>
        <v>1.2937382000000001E-2</v>
      </c>
      <c r="AD62">
        <f>IF(VLOOKUP(all_lmics18[[Setting]:[Setting]],all_cause_mort[],18,FALSE)="",VLOOKUP(all_lmics18[[who_choice_region]:[who_choice_region]],missing[],22,FALSE),VLOOKUP(all_lmics18[[Setting]:[Setting]],all_cause_mort[],18,FALSE))</f>
        <v>1.815172E-2</v>
      </c>
      <c r="AE62">
        <f>IF(VLOOKUP(all_lmics18[[Setting]:[Setting]],all_cause_mort[],19,FALSE)="",VLOOKUP(all_lmics18[[who_choice_region]:[who_choice_region]],missing[],23,FALSE),VLOOKUP(all_lmics18[[Setting]:[Setting]],all_cause_mort[],19,FALSE))</f>
        <v>2.5476608000000001E-2</v>
      </c>
      <c r="AF62">
        <f>IF(VLOOKUP(all_lmics18[[Setting]:[Setting]],all_cause_mort[],20,FALSE)="",VLOOKUP(all_lmics18[[who_choice_region]:[who_choice_region]],missing[],24,FALSE),VLOOKUP(all_lmics18[[Setting]:[Setting]],all_cause_mort[],20,FALSE))</f>
        <v>3.9213273E-2</v>
      </c>
      <c r="AG62">
        <f>IF(VLOOKUP(all_lmics18[[Setting]:[Setting]],all_cause_mort[],21,FALSE)="",VLOOKUP(all_lmics18[[who_choice_region]:[who_choice_region]],missing[],25,FALSE),VLOOKUP(all_lmics18[[Setting]:[Setting]],all_cause_mort[],21,FALSE))</f>
        <v>6.5766910999999997E-2</v>
      </c>
      <c r="AH62">
        <f>IF(VLOOKUP(all_lmics18[[Setting]:[Setting]],all_cause_mort[],22,FALSE)="",VLOOKUP(all_lmics18[[who_choice_region]:[who_choice_region]],missing[],26,FALSE),VLOOKUP(all_lmics18[[Setting]:[Setting]],all_cause_mort[],22,FALSE))</f>
        <v>0.10937877</v>
      </c>
      <c r="AI62">
        <f>IF(VLOOKUP(all_lmics18[[Setting]:[Setting]],all_cause_mort[],23,FALSE)="",VLOOKUP(all_lmics18[[who_choice_region]:[who_choice_region]],missing[],27,FALSE),VLOOKUP(all_lmics18[[Setting]:[Setting]],all_cause_mort[],23,FALSE))</f>
        <v>0.17670791999999999</v>
      </c>
      <c r="AJ62">
        <f>IF(VLOOKUP(all_lmics18[[Setting]:[Setting]],all_cause_mort[],24,FALSE)="",VLOOKUP(all_lmics18[[who_choice_region]:[who_choice_region]],missing[],28,FALSE),VLOOKUP(all_lmics18[[Setting]:[Setting]],all_cause_mort[],24,FALSE))</f>
        <v>0.26991391999999997</v>
      </c>
      <c r="AK62">
        <f>IF(VLOOKUP(all_lmics18[[Setting]:[Setting]],all_cause_mort[],25,FALSE)="",VLOOKUP(all_lmics18[[who_choice_region]:[who_choice_region]],missing[],29,FALSE),VLOOKUP(all_lmics18[[Setting]:[Setting]],all_cause_mort[],25,FALSE))</f>
        <v>0.40399169651626698</v>
      </c>
      <c r="AL62">
        <f>VLOOKUP(all_lmics18[[worldbank_region]:[worldbank_region]],Table13[],2,FALSE)</f>
        <v>44.525141999999995</v>
      </c>
      <c r="AM62">
        <f>VLOOKUP(all_lmics18[[worldbank_region]:[worldbank_region]],Table13[],3,FALSE)</f>
        <v>44.525141999999995</v>
      </c>
      <c r="AN62">
        <f>VLOOKUP(all_lmics18[[worldbank_region]:[worldbank_region]],Table13[],4,FALSE)</f>
        <v>92.254001999999986</v>
      </c>
      <c r="AO62">
        <f>VLOOKUP(all_lmics18[[worldbank_region]:[worldbank_region]],Table13[],5,FALSE)</f>
        <v>92.254001999999986</v>
      </c>
      <c r="AP62">
        <f>VLOOKUP(all_lmics18[[worldbank_region]:[worldbank_region]],Table13[],6,FALSE)</f>
        <v>92.254001999999986</v>
      </c>
      <c r="AQ62">
        <f>VLOOKUP(all_lmics18[[worldbank_region]:[worldbank_region]],Table14[],2,FALSE)</f>
        <v>6.4182919999999992</v>
      </c>
      <c r="AR62">
        <f>VLOOKUP(all_lmics18[[worldbank_region]:[worldbank_region]],Table14[],3,FALSE)</f>
        <v>7.0357919999999998</v>
      </c>
      <c r="AS62">
        <f>VLOOKUP(all_lmics18[[worldbank_region]:[worldbank_region]],Table14[],4,FALSE)</f>
        <v>10.482872999999998</v>
      </c>
      <c r="AT62">
        <f>VLOOKUP(all_lmics18[[worldbank_region]:[worldbank_region]],Table14[],5,FALSE)</f>
        <v>11.100372999999999</v>
      </c>
      <c r="AU62">
        <f>VLOOKUP(all_lmics18[[worldbank_region]:[worldbank_region]],Table14[],6,FALSE)</f>
        <v>11.670624999999999</v>
      </c>
      <c r="AV62">
        <f>IFERROR(VLOOKUP(all_lmics18[[Setting]:[Setting]],nFacSBA[],4,FALSE),VLOOKUP(all_lmics18[[who_choice_region]:[who_choice_region]],missing[],30,FALSE))</f>
        <v>0.53357812104952496</v>
      </c>
      <c r="AW62">
        <f>VLOOKUP(all_lmics18[[worldbank_region]:[worldbank_region]],hbe[],2)</f>
        <v>0.3</v>
      </c>
      <c r="AX62">
        <f>VLOOKUP(all_lmics18[[worldbank_region]:[worldbank_region]],hbe[],5)</f>
        <v>0.875</v>
      </c>
      <c r="AY62">
        <f>VLOOKUP(all_lmics18[[worldbank_region]:[worldbank_region]],hbe[],8)</f>
        <v>0.15</v>
      </c>
    </row>
    <row r="63" spans="1:51" x14ac:dyDescent="0.35">
      <c r="A63" s="12" t="s">
        <v>168</v>
      </c>
      <c r="B63" s="13" t="s">
        <v>33</v>
      </c>
      <c r="C63" s="14" t="s">
        <v>7</v>
      </c>
      <c r="D63">
        <f>VLOOKUP(all_lmics18[[Setting]:[Setting]],populations[],9,FALSE)</f>
        <v>2639211</v>
      </c>
      <c r="E63">
        <f>VLOOKUP(all_lmics18[[Setting]:[Setting]],birthrate[],3,FALSE)</f>
        <v>1.0146000000000001E-2</v>
      </c>
      <c r="F63">
        <f>all_lmics18[[#This Row],[2017_population]]*all_lmics18[[#This Row],[2016_birthrate]]</f>
        <v>26777.434806000001</v>
      </c>
      <c r="G63">
        <f>VLOOKUP(all_lmics18[[Setting]:[Setting]],birthdose[],4,FALSE)</f>
        <v>0.97</v>
      </c>
      <c r="H63">
        <f>VLOOKUP(all_lmics18[[Setting]:[Setting]],fullvax[],4,FALSE)</f>
        <v>0.97</v>
      </c>
      <c r="I63">
        <f>IFERROR(VLOOKUP(all_lmics18[[Setting]:[Setting]],prev[],3,FALSE),VLOOKUP(all_lmics18[[who_choice_region]:[who_choice_region]],missing[],2,FALSE))</f>
        <v>1.2E-2</v>
      </c>
      <c r="J63">
        <f>IFERROR(VLOOKUP(all_lmics18[[Setting]:[Setting]],prev[],4,FALSE),VLOOKUP(all_lmics18[[who_choice_region]:[who_choice_region]],missing[],3,FALSE))</f>
        <v>1.0999999999999999E-2</v>
      </c>
      <c r="K63">
        <f>IFERROR(VLOOKUP(all_lmics18[[Setting]:[Setting]],prev[],5,FALSE),VLOOKUP(all_lmics18[[who_choice_region]:[who_choice_region]],missing[],4,FALSE))</f>
        <v>1.4E-2</v>
      </c>
      <c r="L63">
        <f>IFERROR(VLOOKUP(all_lmics18[[Setting]:[Setting]],prev[],7,FALSE),VLOOKUP(all_lmics18[[who_choice_region]:[who_choice_region]],missing[],5,FALSE))</f>
        <v>1.0204081632653062E-3</v>
      </c>
      <c r="M63">
        <f>IFERROR(VLOOKUP(all_lmics18[[Setting]:[Setting]],prev[],6,FALSE),0)</f>
        <v>2639211</v>
      </c>
      <c r="N63">
        <f>IFERROR(VLOOKUP(all_lmics18[[Setting]:[Setting]],SBA[],4,FALSE),VLOOKUP(all_lmics18[[who_choice_region]:[who_choice_region]],missing[],6,FALSE))</f>
        <v>0.99900000000000011</v>
      </c>
      <c r="O63">
        <f>IFERROR(VLOOKUP(all_lmics18[[Setting]:[Setting]], facility[], 3,FALSE),VLOOKUP(all_lmics18[[who_choice_region]:[who_choice_region]],missing[],7,FALSE))</f>
        <v>0.9890000000000001</v>
      </c>
      <c r="P63">
        <f>IF(VLOOKUP(all_lmics18[[Setting]:[Setting]],all_cause_mort[],4,FALSE)="",VLOOKUP(all_lmics18[[who_choice_region]:[who_choice_region]],missing[],8,FALSE),VLOOKUP(all_lmics18[[Setting]:[Setting]],all_cause_mort[],4,FALSE))</f>
        <v>6.3255604000000002E-3</v>
      </c>
      <c r="Q63">
        <f>IF(VLOOKUP(all_lmics18[[Setting]:[Setting]],all_cause_mort[],5,FALSE)="",VLOOKUP(all_lmics18[[who_choice_region]:[who_choice_region]],missing[],9,FALSE),VLOOKUP(all_lmics18[[Setting]:[Setting]],all_cause_mort[],5,FALSE))</f>
        <v>3.2014465999999998E-4</v>
      </c>
      <c r="R63">
        <f>IF(VLOOKUP(all_lmics18[[Setting]:[Setting]],all_cause_mort[],6,FALSE)="",VLOOKUP(all_lmics18[[who_choice_region]:[who_choice_region]],missing[],10,FALSE),VLOOKUP(all_lmics18[[Setting]:[Setting]],all_cause_mort[],6,FALSE))</f>
        <v>1.8425658000000001E-4</v>
      </c>
      <c r="S63">
        <f>IF(VLOOKUP(all_lmics18[[Setting]:[Setting]],all_cause_mort[],7,FALSE)="",VLOOKUP(all_lmics18[[who_choice_region]:[who_choice_region]],missing[],11,FALSE),VLOOKUP(all_lmics18[[Setting]:[Setting]],all_cause_mort[],7,FALSE))</f>
        <v>1.8342806E-4</v>
      </c>
      <c r="T63">
        <f>IF(VLOOKUP(all_lmics18[[Setting]:[Setting]],all_cause_mort[],8,FALSE)="",VLOOKUP(all_lmics18[[who_choice_region]:[who_choice_region]],missing[],12,FALSE),VLOOKUP(all_lmics18[[Setting]:[Setting]],all_cause_mort[],8,FALSE))</f>
        <v>3.7802164999999998E-4</v>
      </c>
      <c r="U63">
        <f>IF(VLOOKUP(all_lmics18[[Setting]:[Setting]],all_cause_mort[],9,FALSE)="",VLOOKUP(all_lmics18[[who_choice_region]:[who_choice_region]],missing[],13,FALSE),VLOOKUP(all_lmics18[[Setting]:[Setting]],all_cause_mort[],9,FALSE))</f>
        <v>4.4146757000000002E-4</v>
      </c>
      <c r="V63">
        <f>IF(VLOOKUP(all_lmics18[[Setting]:[Setting]],all_cause_mort[],10,FALSE)="",VLOOKUP(all_lmics18[[who_choice_region]:[who_choice_region]],missing[],14,FALSE),VLOOKUP(all_lmics18[[Setting]:[Setting]],all_cause_mort[],10,FALSE))</f>
        <v>3.9062599000000002E-4</v>
      </c>
      <c r="W63">
        <f>IF(VLOOKUP(all_lmics18[[Setting]:[Setting]],all_cause_mort[],11,FALSE)="",VLOOKUP(all_lmics18[[who_choice_region]:[who_choice_region]],missing[],15,FALSE),VLOOKUP(all_lmics18[[Setting]:[Setting]],all_cause_mort[],11,FALSE))</f>
        <v>4.1452566999999999E-4</v>
      </c>
      <c r="X63">
        <f>IF(VLOOKUP(all_lmics18[[Setting]:[Setting]],all_cause_mort[],12,FALSE)="",VLOOKUP(all_lmics18[[who_choice_region]:[who_choice_region]],missing[],16,FALSE),VLOOKUP(all_lmics18[[Setting]:[Setting]],all_cause_mort[],12,FALSE))</f>
        <v>4.7835339000000001E-4</v>
      </c>
      <c r="Y63">
        <f>IF(VLOOKUP(all_lmics18[[Setting]:[Setting]],all_cause_mort[],13,FALSE)="",VLOOKUP(all_lmics18[[who_choice_region]:[who_choice_region]],missing[],17,FALSE),VLOOKUP(all_lmics18[[Setting]:[Setting]],all_cause_mort[],13,FALSE))</f>
        <v>6.4188159999999995E-4</v>
      </c>
      <c r="Z63">
        <f>IF(VLOOKUP(all_lmics18[[Setting]:[Setting]],all_cause_mort[],14,FALSE)="",VLOOKUP(all_lmics18[[who_choice_region]:[who_choice_region]],missing[],18,FALSE),VLOOKUP(all_lmics18[[Setting]:[Setting]],all_cause_mort[],14,FALSE))</f>
        <v>1.0079031999999999E-3</v>
      </c>
      <c r="AA63">
        <f>IF(VLOOKUP(all_lmics18[[Setting]:[Setting]],all_cause_mort[],15,FALSE)="",VLOOKUP(all_lmics18[[who_choice_region]:[who_choice_region]],missing[],19,FALSE),VLOOKUP(all_lmics18[[Setting]:[Setting]],all_cause_mort[],15,FALSE))</f>
        <v>1.5528612000000001E-3</v>
      </c>
      <c r="AB63">
        <f>IF(VLOOKUP(all_lmics18[[Setting]:[Setting]],all_cause_mort[],16,FALSE)="",VLOOKUP(all_lmics18[[who_choice_region]:[who_choice_region]],missing[],20,FALSE),VLOOKUP(all_lmics18[[Setting]:[Setting]],all_cause_mort[],16,FALSE))</f>
        <v>2.8176884000000002E-3</v>
      </c>
      <c r="AC63">
        <f>IF(VLOOKUP(all_lmics18[[Setting]:[Setting]],all_cause_mort[],17,FALSE)="",VLOOKUP(all_lmics18[[who_choice_region]:[who_choice_region]],missing[],21,FALSE),VLOOKUP(all_lmics18[[Setting]:[Setting]],all_cause_mort[],17,FALSE))</f>
        <v>5.1827158000000003E-3</v>
      </c>
      <c r="AD63">
        <f>IF(VLOOKUP(all_lmics18[[Setting]:[Setting]],all_cause_mort[],18,FALSE)="",VLOOKUP(all_lmics18[[who_choice_region]:[who_choice_region]],missing[],22,FALSE),VLOOKUP(all_lmics18[[Setting]:[Setting]],all_cause_mort[],18,FALSE))</f>
        <v>2.3650461000000001E-2</v>
      </c>
      <c r="AE63">
        <f>IF(VLOOKUP(all_lmics18[[Setting]:[Setting]],all_cause_mort[],19,FALSE)="",VLOOKUP(all_lmics18[[who_choice_region]:[who_choice_region]],missing[],23,FALSE),VLOOKUP(all_lmics18[[Setting]:[Setting]],all_cause_mort[],19,FALSE))</f>
        <v>4.2412170999999999E-2</v>
      </c>
      <c r="AF63">
        <f>IF(VLOOKUP(all_lmics18[[Setting]:[Setting]],all_cause_mort[],20,FALSE)="",VLOOKUP(all_lmics18[[who_choice_region]:[who_choice_region]],missing[],24,FALSE),VLOOKUP(all_lmics18[[Setting]:[Setting]],all_cause_mort[],20,FALSE))</f>
        <v>5.0153741000000002E-2</v>
      </c>
      <c r="AG63">
        <f>IF(VLOOKUP(all_lmics18[[Setting]:[Setting]],all_cause_mort[],21,FALSE)="",VLOOKUP(all_lmics18[[who_choice_region]:[who_choice_region]],missing[],25,FALSE),VLOOKUP(all_lmics18[[Setting]:[Setting]],all_cause_mort[],21,FALSE))</f>
        <v>7.1487710999999995E-2</v>
      </c>
      <c r="AH63">
        <f>IF(VLOOKUP(all_lmics18[[Setting]:[Setting]],all_cause_mort[],22,FALSE)="",VLOOKUP(all_lmics18[[who_choice_region]:[who_choice_region]],missing[],26,FALSE),VLOOKUP(all_lmics18[[Setting]:[Setting]],all_cause_mort[],22,FALSE))</f>
        <v>8.6034737999999999E-2</v>
      </c>
      <c r="AI63">
        <f>IF(VLOOKUP(all_lmics18[[Setting]:[Setting]],all_cause_mort[],23,FALSE)="",VLOOKUP(all_lmics18[[who_choice_region]:[who_choice_region]],missing[],27,FALSE),VLOOKUP(all_lmics18[[Setting]:[Setting]],all_cause_mort[],23,FALSE))</f>
        <v>0.11860568</v>
      </c>
      <c r="AJ63">
        <f>IF(VLOOKUP(all_lmics18[[Setting]:[Setting]],all_cause_mort[],24,FALSE)="",VLOOKUP(all_lmics18[[who_choice_region]:[who_choice_region]],missing[],28,FALSE),VLOOKUP(all_lmics18[[Setting]:[Setting]],all_cause_mort[],24,FALSE))</f>
        <v>0.15691179</v>
      </c>
      <c r="AK63">
        <f>IF(VLOOKUP(all_lmics18[[Setting]:[Setting]],all_cause_mort[],25,FALSE)="",VLOOKUP(all_lmics18[[who_choice_region]:[who_choice_region]],missing[],29,FALSE),VLOOKUP(all_lmics18[[Setting]:[Setting]],all_cause_mort[],25,FALSE))</f>
        <v>0.21732732507312699</v>
      </c>
      <c r="AL63">
        <f>VLOOKUP(all_lmics18[[worldbank_region]:[worldbank_region]],Table13[],2,FALSE)</f>
        <v>57.906657999999993</v>
      </c>
      <c r="AM63">
        <f>VLOOKUP(all_lmics18[[worldbank_region]:[worldbank_region]],Table13[],3,FALSE)</f>
        <v>57.906657999999993</v>
      </c>
      <c r="AN63">
        <f>VLOOKUP(all_lmics18[[worldbank_region]:[worldbank_region]],Table13[],4,FALSE)</f>
        <v>105.63551799999999</v>
      </c>
      <c r="AO63">
        <f>VLOOKUP(all_lmics18[[worldbank_region]:[worldbank_region]],Table13[],5,FALSE)</f>
        <v>105.63551799999999</v>
      </c>
      <c r="AP63">
        <f>VLOOKUP(all_lmics18[[worldbank_region]:[worldbank_region]],Table13[],6,FALSE)</f>
        <v>105.63551799999999</v>
      </c>
      <c r="AQ63">
        <f>VLOOKUP(all_lmics18[[worldbank_region]:[worldbank_region]],Table14[],2,FALSE)</f>
        <v>1.5037449999999999</v>
      </c>
      <c r="AR63">
        <f>VLOOKUP(all_lmics18[[worldbank_region]:[worldbank_region]],Table14[],3,FALSE)</f>
        <v>2.121245</v>
      </c>
      <c r="AS63">
        <f>VLOOKUP(all_lmics18[[worldbank_region]:[worldbank_region]],Table14[],4,FALSE)</f>
        <v>1.9832129999999999</v>
      </c>
      <c r="AT63">
        <f>VLOOKUP(all_lmics18[[worldbank_region]:[worldbank_region]],Table14[],5,FALSE)</f>
        <v>2.6007129999999998</v>
      </c>
      <c r="AU63">
        <f>VLOOKUP(all_lmics18[[worldbank_region]:[worldbank_region]],Table14[],6,FALSE)</f>
        <v>3.1709649999999998</v>
      </c>
      <c r="AV63">
        <f>IFERROR(VLOOKUP(all_lmics18[[Setting]:[Setting]],nFacSBA[],4,FALSE),VLOOKUP(all_lmics18[[who_choice_region]:[who_choice_region]],missing[],30,FALSE))</f>
        <v>0.38783437593130843</v>
      </c>
      <c r="AW63">
        <f>VLOOKUP(all_lmics18[[worldbank_region]:[worldbank_region]],hbe[],2)</f>
        <v>0.3</v>
      </c>
      <c r="AX63">
        <f>VLOOKUP(all_lmics18[[worldbank_region]:[worldbank_region]],hbe[],5)</f>
        <v>0.875</v>
      </c>
      <c r="AY63">
        <f>VLOOKUP(all_lmics18[[worldbank_region]:[worldbank_region]],hbe[],8)</f>
        <v>0.15</v>
      </c>
    </row>
    <row r="64" spans="1:51" x14ac:dyDescent="0.35">
      <c r="A64" s="8" t="s">
        <v>169</v>
      </c>
      <c r="B64" s="10" t="s">
        <v>57</v>
      </c>
      <c r="C64" s="11" t="s">
        <v>58</v>
      </c>
      <c r="D64">
        <f>VLOOKUP(all_lmics18[[Setting]:[Setting]],populations[],9,FALSE)</f>
        <v>51466201</v>
      </c>
      <c r="E64">
        <f>VLOOKUP(all_lmics18[[Setting]:[Setting]],birthrate[],3,FALSE)</f>
        <v>7.9000000000000008E-3</v>
      </c>
      <c r="F64">
        <f>all_lmics18[[#This Row],[2017_population]]*all_lmics18[[#This Row],[2016_birthrate]]</f>
        <v>406582.98790000007</v>
      </c>
      <c r="G64">
        <f>VLOOKUP(all_lmics18[[Setting]:[Setting]],birthdose[],4,FALSE)</f>
        <v>0.92</v>
      </c>
      <c r="H64">
        <f>VLOOKUP(all_lmics18[[Setting]:[Setting]],fullvax[],4,FALSE)</f>
        <v>0.98</v>
      </c>
      <c r="I64">
        <f>IFERROR(VLOOKUP(all_lmics18[[Setting]:[Setting]],prev[],3,FALSE),VLOOKUP(all_lmics18[[who_choice_region]:[who_choice_region]],missing[],2,FALSE))</f>
        <v>2.4E-2</v>
      </c>
      <c r="J64">
        <f>IFERROR(VLOOKUP(all_lmics18[[Setting]:[Setting]],prev[],4,FALSE),VLOOKUP(all_lmics18[[who_choice_region]:[who_choice_region]],missing[],3,FALSE))</f>
        <v>2.3E-2</v>
      </c>
      <c r="K64">
        <f>IFERROR(VLOOKUP(all_lmics18[[Setting]:[Setting]],prev[],5,FALSE),VLOOKUP(all_lmics18[[who_choice_region]:[who_choice_region]],missing[],4,FALSE))</f>
        <v>0.03</v>
      </c>
      <c r="L64">
        <f>IFERROR(VLOOKUP(all_lmics18[[Setting]:[Setting]],prev[],7,FALSE),VLOOKUP(all_lmics18[[who_choice_region]:[who_choice_region]],missing[],5,FALSE))</f>
        <v>3.0612244897959178E-3</v>
      </c>
      <c r="M64">
        <f>IFERROR(VLOOKUP(all_lmics18[[Setting]:[Setting]],prev[],6,FALSE),0)</f>
        <v>51466201</v>
      </c>
      <c r="N64">
        <f>IFERROR(VLOOKUP(all_lmics18[[Setting]:[Setting]],SBA[],4,FALSE),VLOOKUP(all_lmics18[[who_choice_region]:[who_choice_region]],missing[],6,FALSE))</f>
        <v>0.9998999999999999</v>
      </c>
      <c r="O64">
        <f>IFERROR(VLOOKUP(all_lmics18[[Setting]:[Setting]], facility[], 3,FALSE),VLOOKUP(all_lmics18[[who_choice_region]:[who_choice_region]],missing[],7,FALSE))</f>
        <v>0.9998999999999999</v>
      </c>
      <c r="P64">
        <f>IF(VLOOKUP(all_lmics18[[Setting]:[Setting]],all_cause_mort[],4,FALSE)="",VLOOKUP(all_lmics18[[who_choice_region]:[who_choice_region]],missing[],8,FALSE),VLOOKUP(all_lmics18[[Setting]:[Setting]],all_cause_mort[],4,FALSE))</f>
        <v>2.1108488000000001E-3</v>
      </c>
      <c r="Q64">
        <f>IF(VLOOKUP(all_lmics18[[Setting]:[Setting]],all_cause_mort[],5,FALSE)="",VLOOKUP(all_lmics18[[who_choice_region]:[who_choice_region]],missing[],9,FALSE),VLOOKUP(all_lmics18[[Setting]:[Setting]],all_cause_mort[],5,FALSE))</f>
        <v>1.2721904999999999E-4</v>
      </c>
      <c r="R64">
        <f>IF(VLOOKUP(all_lmics18[[Setting]:[Setting]],all_cause_mort[],6,FALSE)="",VLOOKUP(all_lmics18[[who_choice_region]:[who_choice_region]],missing[],10,FALSE),VLOOKUP(all_lmics18[[Setting]:[Setting]],all_cause_mort[],6,FALSE))</f>
        <v>7.0104950000000004E-5</v>
      </c>
      <c r="S64">
        <f>IF(VLOOKUP(all_lmics18[[Setting]:[Setting]],all_cause_mort[],7,FALSE)="",VLOOKUP(all_lmics18[[who_choice_region]:[who_choice_region]],missing[],11,FALSE),VLOOKUP(all_lmics18[[Setting]:[Setting]],all_cause_mort[],7,FALSE))</f>
        <v>7.6186736000000005E-5</v>
      </c>
      <c r="T64">
        <f>IF(VLOOKUP(all_lmics18[[Setting]:[Setting]],all_cause_mort[],8,FALSE)="",VLOOKUP(all_lmics18[[who_choice_region]:[who_choice_region]],missing[],12,FALSE),VLOOKUP(all_lmics18[[Setting]:[Setting]],all_cause_mort[],8,FALSE))</f>
        <v>1.942987E-4</v>
      </c>
      <c r="U64">
        <f>IF(VLOOKUP(all_lmics18[[Setting]:[Setting]],all_cause_mort[],9,FALSE)="",VLOOKUP(all_lmics18[[who_choice_region]:[who_choice_region]],missing[],13,FALSE),VLOOKUP(all_lmics18[[Setting]:[Setting]],all_cause_mort[],9,FALSE))</f>
        <v>2.9824696999999998E-4</v>
      </c>
      <c r="V64">
        <f>IF(VLOOKUP(all_lmics18[[Setting]:[Setting]],all_cause_mort[],10,FALSE)="",VLOOKUP(all_lmics18[[who_choice_region]:[who_choice_region]],missing[],14,FALSE),VLOOKUP(all_lmics18[[Setting]:[Setting]],all_cause_mort[],10,FALSE))</f>
        <v>4.1832342999999998E-4</v>
      </c>
      <c r="W64">
        <f>IF(VLOOKUP(all_lmics18[[Setting]:[Setting]],all_cause_mort[],11,FALSE)="",VLOOKUP(all_lmics18[[who_choice_region]:[who_choice_region]],missing[],15,FALSE),VLOOKUP(all_lmics18[[Setting]:[Setting]],all_cause_mort[],11,FALSE))</f>
        <v>5.5543884000000001E-4</v>
      </c>
      <c r="X64">
        <f>IF(VLOOKUP(all_lmics18[[Setting]:[Setting]],all_cause_mort[],12,FALSE)="",VLOOKUP(all_lmics18[[who_choice_region]:[who_choice_region]],missing[],16,FALSE),VLOOKUP(all_lmics18[[Setting]:[Setting]],all_cause_mort[],12,FALSE))</f>
        <v>7.4561245999999999E-4</v>
      </c>
      <c r="Y64">
        <f>IF(VLOOKUP(all_lmics18[[Setting]:[Setting]],all_cause_mort[],13,FALSE)="",VLOOKUP(all_lmics18[[who_choice_region]:[who_choice_region]],missing[],17,FALSE),VLOOKUP(all_lmics18[[Setting]:[Setting]],all_cause_mort[],13,FALSE))</f>
        <v>1.1482713000000001E-3</v>
      </c>
      <c r="Z64">
        <f>IF(VLOOKUP(all_lmics18[[Setting]:[Setting]],all_cause_mort[],14,FALSE)="",VLOOKUP(all_lmics18[[who_choice_region]:[who_choice_region]],missing[],18,FALSE),VLOOKUP(all_lmics18[[Setting]:[Setting]],all_cause_mort[],14,FALSE))</f>
        <v>1.8248663E-3</v>
      </c>
      <c r="AA64">
        <f>IF(VLOOKUP(all_lmics18[[Setting]:[Setting]],all_cause_mort[],15,FALSE)="",VLOOKUP(all_lmics18[[who_choice_region]:[who_choice_region]],missing[],19,FALSE),VLOOKUP(all_lmics18[[Setting]:[Setting]],all_cause_mort[],15,FALSE))</f>
        <v>2.7369803000000001E-3</v>
      </c>
      <c r="AB64">
        <f>IF(VLOOKUP(all_lmics18[[Setting]:[Setting]],all_cause_mort[],16,FALSE)="",VLOOKUP(all_lmics18[[who_choice_region]:[who_choice_region]],missing[],20,FALSE),VLOOKUP(all_lmics18[[Setting]:[Setting]],all_cause_mort[],16,FALSE))</f>
        <v>3.8686596999999998E-3</v>
      </c>
      <c r="AC64">
        <f>IF(VLOOKUP(all_lmics18[[Setting]:[Setting]],all_cause_mort[],17,FALSE)="",VLOOKUP(all_lmics18[[who_choice_region]:[who_choice_region]],missing[],21,FALSE),VLOOKUP(all_lmics18[[Setting]:[Setting]],all_cause_mort[],17,FALSE))</f>
        <v>5.6378089999999997E-3</v>
      </c>
      <c r="AD64">
        <f>IF(VLOOKUP(all_lmics18[[Setting]:[Setting]],all_cause_mort[],18,FALSE)="",VLOOKUP(all_lmics18[[who_choice_region]:[who_choice_region]],missing[],22,FALSE),VLOOKUP(all_lmics18[[Setting]:[Setting]],all_cause_mort[],18,FALSE))</f>
        <v>8.8808813000000007E-3</v>
      </c>
      <c r="AE64">
        <f>IF(VLOOKUP(all_lmics18[[Setting]:[Setting]],all_cause_mort[],19,FALSE)="",VLOOKUP(all_lmics18[[who_choice_region]:[who_choice_region]],missing[],23,FALSE),VLOOKUP(all_lmics18[[Setting]:[Setting]],all_cause_mort[],19,FALSE))</f>
        <v>1.6377685999999999E-2</v>
      </c>
      <c r="AF64">
        <f>IF(VLOOKUP(all_lmics18[[Setting]:[Setting]],all_cause_mort[],20,FALSE)="",VLOOKUP(all_lmics18[[who_choice_region]:[who_choice_region]],missing[],24,FALSE),VLOOKUP(all_lmics18[[Setting]:[Setting]],all_cause_mort[],20,FALSE))</f>
        <v>3.0525514E-2</v>
      </c>
      <c r="AG64">
        <f>IF(VLOOKUP(all_lmics18[[Setting]:[Setting]],all_cause_mort[],21,FALSE)="",VLOOKUP(all_lmics18[[who_choice_region]:[who_choice_region]],missing[],25,FALSE),VLOOKUP(all_lmics18[[Setting]:[Setting]],all_cause_mort[],21,FALSE))</f>
        <v>5.7129930000000002E-2</v>
      </c>
      <c r="AH64">
        <f>IF(VLOOKUP(all_lmics18[[Setting]:[Setting]],all_cause_mort[],22,FALSE)="",VLOOKUP(all_lmics18[[who_choice_region]:[who_choice_region]],missing[],26,FALSE),VLOOKUP(all_lmics18[[Setting]:[Setting]],all_cause_mort[],22,FALSE))</f>
        <v>0.10283521</v>
      </c>
      <c r="AI64">
        <f>IF(VLOOKUP(all_lmics18[[Setting]:[Setting]],all_cause_mort[],23,FALSE)="",VLOOKUP(all_lmics18[[who_choice_region]:[who_choice_region]],missing[],27,FALSE),VLOOKUP(all_lmics18[[Setting]:[Setting]],all_cause_mort[],23,FALSE))</f>
        <v>0.17527654000000001</v>
      </c>
      <c r="AJ64">
        <f>IF(VLOOKUP(all_lmics18[[Setting]:[Setting]],all_cause_mort[],24,FALSE)="",VLOOKUP(all_lmics18[[who_choice_region]:[who_choice_region]],missing[],28,FALSE),VLOOKUP(all_lmics18[[Setting]:[Setting]],all_cause_mort[],24,FALSE))</f>
        <v>0.27737387000000002</v>
      </c>
      <c r="AK64">
        <f>IF(VLOOKUP(all_lmics18[[Setting]:[Setting]],all_cause_mort[],25,FALSE)="",VLOOKUP(all_lmics18[[who_choice_region]:[who_choice_region]],missing[],29,FALSE),VLOOKUP(all_lmics18[[Setting]:[Setting]],all_cause_mort[],25,FALSE))</f>
        <v>0.42712427052513702</v>
      </c>
      <c r="AL64">
        <f>VLOOKUP(all_lmics18[[worldbank_region]:[worldbank_region]],Table13[],2,FALSE)</f>
        <v>73.064384999999987</v>
      </c>
      <c r="AM64">
        <f>VLOOKUP(all_lmics18[[worldbank_region]:[worldbank_region]],Table13[],3,FALSE)</f>
        <v>73.064384999999987</v>
      </c>
      <c r="AN64">
        <f>VLOOKUP(all_lmics18[[worldbank_region]:[worldbank_region]],Table13[],4,FALSE)</f>
        <v>120.79324499999998</v>
      </c>
      <c r="AO64">
        <f>VLOOKUP(all_lmics18[[worldbank_region]:[worldbank_region]],Table13[],5,FALSE)</f>
        <v>120.79324499999998</v>
      </c>
      <c r="AP64">
        <f>VLOOKUP(all_lmics18[[worldbank_region]:[worldbank_region]],Table13[],6,FALSE)</f>
        <v>120.79324499999998</v>
      </c>
      <c r="AQ64">
        <f>VLOOKUP(all_lmics18[[worldbank_region]:[worldbank_region]],Table14[],2,FALSE)</f>
        <v>1.34029</v>
      </c>
      <c r="AR64">
        <f>VLOOKUP(all_lmics18[[worldbank_region]:[worldbank_region]],Table14[],3,FALSE)</f>
        <v>1.9577900000000001</v>
      </c>
      <c r="AS64">
        <f>VLOOKUP(all_lmics18[[worldbank_region]:[worldbank_region]],Table14[],4,FALSE)</f>
        <v>1.9723159999999997</v>
      </c>
      <c r="AT64">
        <f>VLOOKUP(all_lmics18[[worldbank_region]:[worldbank_region]],Table14[],5,FALSE)</f>
        <v>2.5898159999999999</v>
      </c>
      <c r="AU64">
        <f>VLOOKUP(all_lmics18[[worldbank_region]:[worldbank_region]],Table14[],6,FALSE)</f>
        <v>3.1600679999999999</v>
      </c>
      <c r="AV64">
        <f>IFERROR(VLOOKUP(all_lmics18[[Setting]:[Setting]],nFacSBA[],4,FALSE),VLOOKUP(all_lmics18[[who_choice_region]:[who_choice_region]],missing[],30,FALSE))</f>
        <v>0.15985670213371023</v>
      </c>
      <c r="AW64">
        <f>VLOOKUP(all_lmics18[[worldbank_region]:[worldbank_region]],hbe[],2)</f>
        <v>0.3</v>
      </c>
      <c r="AX64">
        <f>VLOOKUP(all_lmics18[[worldbank_region]:[worldbank_region]],hbe[],5)</f>
        <v>0.875</v>
      </c>
      <c r="AY64">
        <f>VLOOKUP(all_lmics18[[worldbank_region]:[worldbank_region]],hbe[],8)</f>
        <v>0.15</v>
      </c>
    </row>
    <row r="65" spans="1:51" x14ac:dyDescent="0.35">
      <c r="A65" s="12" t="s">
        <v>170</v>
      </c>
      <c r="B65" s="13" t="s">
        <v>40</v>
      </c>
      <c r="C65" s="14" t="s">
        <v>11</v>
      </c>
      <c r="D65">
        <f>VLOOKUP(all_lmics18[[Setting]:[Setting]],populations[],9,FALSE)</f>
        <v>3549750</v>
      </c>
      <c r="E65">
        <f>VLOOKUP(all_lmics18[[Setting]:[Setting]],birthrate[],3,FALSE)</f>
        <v>1.0323000000000001E-2</v>
      </c>
      <c r="F65">
        <f>all_lmics18[[#This Row],[2017_population]]*all_lmics18[[#This Row],[2016_birthrate]]</f>
        <v>36644.06925</v>
      </c>
      <c r="G65">
        <f>VLOOKUP(all_lmics18[[Setting]:[Setting]],birthdose[],4,FALSE)</f>
        <v>0.96</v>
      </c>
      <c r="H65">
        <f>VLOOKUP(all_lmics18[[Setting]:[Setting]],fullvax[],4,FALSE)</f>
        <v>0.89</v>
      </c>
      <c r="I65">
        <f>IFERROR(VLOOKUP(all_lmics18[[Setting]:[Setting]],prev[],3,FALSE),VLOOKUP(all_lmics18[[who_choice_region]:[who_choice_region]],missing[],2,FALSE))</f>
        <v>7.3800000000000004E-2</v>
      </c>
      <c r="J65">
        <f>IFERROR(VLOOKUP(all_lmics18[[Setting]:[Setting]],prev[],4,FALSE),VLOOKUP(all_lmics18[[who_choice_region]:[who_choice_region]],missing[],3,FALSE))</f>
        <v>6.6799999999999998E-2</v>
      </c>
      <c r="K65">
        <f>IFERROR(VLOOKUP(all_lmics18[[Setting]:[Setting]],prev[],5,FALSE),VLOOKUP(all_lmics18[[who_choice_region]:[who_choice_region]],missing[],4,FALSE))</f>
        <v>8.14E-2</v>
      </c>
      <c r="L65">
        <f>IFERROR(VLOOKUP(all_lmics18[[Setting]:[Setting]],prev[],7,FALSE),VLOOKUP(all_lmics18[[who_choice_region]:[who_choice_region]],missing[],5,FALSE))</f>
        <v>3.8775510204081612E-3</v>
      </c>
      <c r="M65">
        <f>IFERROR(VLOOKUP(all_lmics18[[Setting]:[Setting]],prev[],6,FALSE),0)</f>
        <v>3562045</v>
      </c>
      <c r="N65">
        <f>IFERROR(VLOOKUP(all_lmics18[[Setting]:[Setting]],SBA[],4,FALSE),VLOOKUP(all_lmics18[[who_choice_region]:[who_choice_region]],missing[],6,FALSE))</f>
        <v>0.997</v>
      </c>
      <c r="O65">
        <f>IFERROR(VLOOKUP(all_lmics18[[Setting]:[Setting]], facility[], 3,FALSE),VLOOKUP(all_lmics18[[who_choice_region]:[who_choice_region]],missing[],7,FALSE))</f>
        <v>0.99400000000000011</v>
      </c>
      <c r="P65">
        <f>IF(VLOOKUP(all_lmics18[[Setting]:[Setting]],all_cause_mort[],4,FALSE)="",VLOOKUP(all_lmics18[[who_choice_region]:[who_choice_region]],missing[],8,FALSE),VLOOKUP(all_lmics18[[Setting]:[Setting]],all_cause_mort[],4,FALSE))</f>
        <v>1.2497780999999999E-2</v>
      </c>
      <c r="Q65">
        <f>IF(VLOOKUP(all_lmics18[[Setting]:[Setting]],all_cause_mort[],5,FALSE)="",VLOOKUP(all_lmics18[[who_choice_region]:[who_choice_region]],missing[],9,FALSE),VLOOKUP(all_lmics18[[Setting]:[Setting]],all_cause_mort[],5,FALSE))</f>
        <v>5.1718494999999996E-4</v>
      </c>
      <c r="R65">
        <f>IF(VLOOKUP(all_lmics18[[Setting]:[Setting]],all_cause_mort[],6,FALSE)="",VLOOKUP(all_lmics18[[who_choice_region]:[who_choice_region]],missing[],10,FALSE),VLOOKUP(all_lmics18[[Setting]:[Setting]],all_cause_mort[],6,FALSE))</f>
        <v>2.2586022E-4</v>
      </c>
      <c r="S65">
        <f>IF(VLOOKUP(all_lmics18[[Setting]:[Setting]],all_cause_mort[],7,FALSE)="",VLOOKUP(all_lmics18[[who_choice_region]:[who_choice_region]],missing[],11,FALSE),VLOOKUP(all_lmics18[[Setting]:[Setting]],all_cause_mort[],7,FALSE))</f>
        <v>1.7657189000000001E-4</v>
      </c>
      <c r="T65">
        <f>IF(VLOOKUP(all_lmics18[[Setting]:[Setting]],all_cause_mort[],8,FALSE)="",VLOOKUP(all_lmics18[[who_choice_region]:[who_choice_region]],missing[],12,FALSE),VLOOKUP(all_lmics18[[Setting]:[Setting]],all_cause_mort[],8,FALSE))</f>
        <v>4.1260755000000003E-4</v>
      </c>
      <c r="U65">
        <f>IF(VLOOKUP(all_lmics18[[Setting]:[Setting]],all_cause_mort[],9,FALSE)="",VLOOKUP(all_lmics18[[who_choice_region]:[who_choice_region]],missing[],13,FALSE),VLOOKUP(all_lmics18[[Setting]:[Setting]],all_cause_mort[],9,FALSE))</f>
        <v>5.5911975999999996E-4</v>
      </c>
      <c r="V65">
        <f>IF(VLOOKUP(all_lmics18[[Setting]:[Setting]],all_cause_mort[],10,FALSE)="",VLOOKUP(all_lmics18[[who_choice_region]:[who_choice_region]],missing[],14,FALSE),VLOOKUP(all_lmics18[[Setting]:[Setting]],all_cause_mort[],10,FALSE))</f>
        <v>8.4142677999999996E-4</v>
      </c>
      <c r="W65">
        <f>IF(VLOOKUP(all_lmics18[[Setting]:[Setting]],all_cause_mort[],11,FALSE)="",VLOOKUP(all_lmics18[[who_choice_region]:[who_choice_region]],missing[],15,FALSE),VLOOKUP(all_lmics18[[Setting]:[Setting]],all_cause_mort[],11,FALSE))</f>
        <v>1.2949722E-3</v>
      </c>
      <c r="X65">
        <f>IF(VLOOKUP(all_lmics18[[Setting]:[Setting]],all_cause_mort[],12,FALSE)="",VLOOKUP(all_lmics18[[who_choice_region]:[who_choice_region]],missing[],16,FALSE),VLOOKUP(all_lmics18[[Setting]:[Setting]],all_cause_mort[],12,FALSE))</f>
        <v>2.3213779000000002E-3</v>
      </c>
      <c r="Y65">
        <f>IF(VLOOKUP(all_lmics18[[Setting]:[Setting]],all_cause_mort[],13,FALSE)="",VLOOKUP(all_lmics18[[who_choice_region]:[who_choice_region]],missing[],17,FALSE),VLOOKUP(all_lmics18[[Setting]:[Setting]],all_cause_mort[],13,FALSE))</f>
        <v>3.2717982999999999E-3</v>
      </c>
      <c r="Z65">
        <f>IF(VLOOKUP(all_lmics18[[Setting]:[Setting]],all_cause_mort[],14,FALSE)="",VLOOKUP(all_lmics18[[who_choice_region]:[who_choice_region]],missing[],18,FALSE),VLOOKUP(all_lmics18[[Setting]:[Setting]],all_cause_mort[],14,FALSE))</f>
        <v>5.8364449000000004E-3</v>
      </c>
      <c r="AA65">
        <f>IF(VLOOKUP(all_lmics18[[Setting]:[Setting]],all_cause_mort[],15,FALSE)="",VLOOKUP(all_lmics18[[who_choice_region]:[who_choice_region]],missing[],19,FALSE),VLOOKUP(all_lmics18[[Setting]:[Setting]],all_cause_mort[],15,FALSE))</f>
        <v>8.7272137E-3</v>
      </c>
      <c r="AB65">
        <f>IF(VLOOKUP(all_lmics18[[Setting]:[Setting]],all_cause_mort[],16,FALSE)="",VLOOKUP(all_lmics18[[who_choice_region]:[who_choice_region]],missing[],20,FALSE),VLOOKUP(all_lmics18[[Setting]:[Setting]],all_cause_mort[],16,FALSE))</f>
        <v>1.3217298000000001E-2</v>
      </c>
      <c r="AC65">
        <f>IF(VLOOKUP(all_lmics18[[Setting]:[Setting]],all_cause_mort[],17,FALSE)="",VLOOKUP(all_lmics18[[who_choice_region]:[who_choice_region]],missing[],21,FALSE),VLOOKUP(all_lmics18[[Setting]:[Setting]],all_cause_mort[],17,FALSE))</f>
        <v>2.2206703000000001E-2</v>
      </c>
      <c r="AD65">
        <f>IF(VLOOKUP(all_lmics18[[Setting]:[Setting]],all_cause_mort[],18,FALSE)="",VLOOKUP(all_lmics18[[who_choice_region]:[who_choice_region]],missing[],22,FALSE),VLOOKUP(all_lmics18[[Setting]:[Setting]],all_cause_mort[],18,FALSE))</f>
        <v>2.9300192999999999E-2</v>
      </c>
      <c r="AE65">
        <f>IF(VLOOKUP(all_lmics18[[Setting]:[Setting]],all_cause_mort[],19,FALSE)="",VLOOKUP(all_lmics18[[who_choice_region]:[who_choice_region]],missing[],23,FALSE),VLOOKUP(all_lmics18[[Setting]:[Setting]],all_cause_mort[],19,FALSE))</f>
        <v>4.7245299999999997E-2</v>
      </c>
      <c r="AF65">
        <f>IF(VLOOKUP(all_lmics18[[Setting]:[Setting]],all_cause_mort[],20,FALSE)="",VLOOKUP(all_lmics18[[who_choice_region]:[who_choice_region]],missing[],24,FALSE),VLOOKUP(all_lmics18[[Setting]:[Setting]],all_cause_mort[],20,FALSE))</f>
        <v>7.5620133000000006E-2</v>
      </c>
      <c r="AG65">
        <f>IF(VLOOKUP(all_lmics18[[Setting]:[Setting]],all_cause_mort[],21,FALSE)="",VLOOKUP(all_lmics18[[who_choice_region]:[who_choice_region]],missing[],25,FALSE),VLOOKUP(all_lmics18[[Setting]:[Setting]],all_cause_mort[],21,FALSE))</f>
        <v>0.12060365000000001</v>
      </c>
      <c r="AH65">
        <f>IF(VLOOKUP(all_lmics18[[Setting]:[Setting]],all_cause_mort[],22,FALSE)="",VLOOKUP(all_lmics18[[who_choice_region]:[who_choice_region]],missing[],26,FALSE),VLOOKUP(all_lmics18[[Setting]:[Setting]],all_cause_mort[],22,FALSE))</f>
        <v>0.18658807999999999</v>
      </c>
      <c r="AI65">
        <f>IF(VLOOKUP(all_lmics18[[Setting]:[Setting]],all_cause_mort[],23,FALSE)="",VLOOKUP(all_lmics18[[who_choice_region]:[who_choice_region]],missing[],27,FALSE),VLOOKUP(all_lmics18[[Setting]:[Setting]],all_cause_mort[],23,FALSE))</f>
        <v>0.26555773999999999</v>
      </c>
      <c r="AJ65">
        <f>IF(VLOOKUP(all_lmics18[[Setting]:[Setting]],all_cause_mort[],24,FALSE)="",VLOOKUP(all_lmics18[[who_choice_region]:[who_choice_region]],missing[],28,FALSE),VLOOKUP(all_lmics18[[Setting]:[Setting]],all_cause_mort[],24,FALSE))</f>
        <v>0.37921319999999997</v>
      </c>
      <c r="AK65">
        <f>IF(VLOOKUP(all_lmics18[[Setting]:[Setting]],all_cause_mort[],25,FALSE)="",VLOOKUP(all_lmics18[[who_choice_region]:[who_choice_region]],missing[],29,FALSE),VLOOKUP(all_lmics18[[Setting]:[Setting]],all_cause_mort[],25,FALSE))</f>
        <v>0.53613418409250202</v>
      </c>
      <c r="AL65">
        <f>VLOOKUP(all_lmics18[[worldbank_region]:[worldbank_region]],Table13[],2,FALSE)</f>
        <v>44.525141999999995</v>
      </c>
      <c r="AM65">
        <f>VLOOKUP(all_lmics18[[worldbank_region]:[worldbank_region]],Table13[],3,FALSE)</f>
        <v>44.525141999999995</v>
      </c>
      <c r="AN65">
        <f>VLOOKUP(all_lmics18[[worldbank_region]:[worldbank_region]],Table13[],4,FALSE)</f>
        <v>92.254001999999986</v>
      </c>
      <c r="AO65">
        <f>VLOOKUP(all_lmics18[[worldbank_region]:[worldbank_region]],Table13[],5,FALSE)</f>
        <v>92.254001999999986</v>
      </c>
      <c r="AP65">
        <f>VLOOKUP(all_lmics18[[worldbank_region]:[worldbank_region]],Table13[],6,FALSE)</f>
        <v>92.254001999999986</v>
      </c>
      <c r="AQ65">
        <f>VLOOKUP(all_lmics18[[worldbank_region]:[worldbank_region]],Table14[],2,FALSE)</f>
        <v>6.4182919999999992</v>
      </c>
      <c r="AR65">
        <f>VLOOKUP(all_lmics18[[worldbank_region]:[worldbank_region]],Table14[],3,FALSE)</f>
        <v>7.0357919999999998</v>
      </c>
      <c r="AS65">
        <f>VLOOKUP(all_lmics18[[worldbank_region]:[worldbank_region]],Table14[],4,FALSE)</f>
        <v>10.482872999999998</v>
      </c>
      <c r="AT65">
        <f>VLOOKUP(all_lmics18[[worldbank_region]:[worldbank_region]],Table14[],5,FALSE)</f>
        <v>11.100372999999999</v>
      </c>
      <c r="AU65">
        <f>VLOOKUP(all_lmics18[[worldbank_region]:[worldbank_region]],Table14[],6,FALSE)</f>
        <v>11.670624999999999</v>
      </c>
      <c r="AV65">
        <f>IFERROR(VLOOKUP(all_lmics18[[Setting]:[Setting]],nFacSBA[],4,FALSE),VLOOKUP(all_lmics18[[who_choice_region]:[who_choice_region]],missing[],30,FALSE))</f>
        <v>0.27259694394908907</v>
      </c>
      <c r="AW65">
        <f>VLOOKUP(all_lmics18[[worldbank_region]:[worldbank_region]],hbe[],2)</f>
        <v>0.3</v>
      </c>
      <c r="AX65">
        <f>VLOOKUP(all_lmics18[[worldbank_region]:[worldbank_region]],hbe[],5)</f>
        <v>0.875</v>
      </c>
      <c r="AY65">
        <f>VLOOKUP(all_lmics18[[worldbank_region]:[worldbank_region]],hbe[],8)</f>
        <v>0.15</v>
      </c>
    </row>
    <row r="66" spans="1:51" x14ac:dyDescent="0.35">
      <c r="A66" s="8" t="s">
        <v>171</v>
      </c>
      <c r="B66" s="10" t="s">
        <v>10</v>
      </c>
      <c r="C66" s="11" t="s">
        <v>11</v>
      </c>
      <c r="D66">
        <f>VLOOKUP(all_lmics18[[Setting]:[Setting]],populations[],9,FALSE)</f>
        <v>19586539</v>
      </c>
      <c r="E66">
        <f>VLOOKUP(all_lmics18[[Setting]:[Setting]],birthrate[],3,FALSE)</f>
        <v>9.5999999999999992E-3</v>
      </c>
      <c r="F66">
        <f>all_lmics18[[#This Row],[2017_population]]*all_lmics18[[#This Row],[2016_birthrate]]</f>
        <v>188030.77439999999</v>
      </c>
      <c r="G66">
        <f>VLOOKUP(all_lmics18[[Setting]:[Setting]],birthdose[],4,FALSE)</f>
        <v>0.93</v>
      </c>
      <c r="H66">
        <f>VLOOKUP(all_lmics18[[Setting]:[Setting]],fullvax[],4,FALSE)</f>
        <v>0.92</v>
      </c>
      <c r="I66">
        <f>IFERROR(VLOOKUP(all_lmics18[[Setting]:[Setting]],prev[],3,FALSE),VLOOKUP(all_lmics18[[who_choice_region]:[who_choice_region]],missing[],2,FALSE))</f>
        <v>3.4000000000000002E-2</v>
      </c>
      <c r="J66">
        <f>IFERROR(VLOOKUP(all_lmics18[[Setting]:[Setting]],prev[],4,FALSE),VLOOKUP(all_lmics18[[who_choice_region]:[who_choice_region]],missing[],3,FALSE))</f>
        <v>3.2000000000000001E-2</v>
      </c>
      <c r="K66">
        <f>IFERROR(VLOOKUP(all_lmics18[[Setting]:[Setting]],prev[],5,FALSE),VLOOKUP(all_lmics18[[who_choice_region]:[who_choice_region]],missing[],4,FALSE))</f>
        <v>3.6999999999999998E-2</v>
      </c>
      <c r="L66">
        <f>IFERROR(VLOOKUP(all_lmics18[[Setting]:[Setting]],prev[],7,FALSE),VLOOKUP(all_lmics18[[who_choice_region]:[who_choice_region]],missing[],5,FALSE))</f>
        <v>1.5306122448979569E-3</v>
      </c>
      <c r="M66">
        <f>IFERROR(VLOOKUP(all_lmics18[[Setting]:[Setting]],prev[],6,FALSE),0)</f>
        <v>19586539</v>
      </c>
      <c r="N66">
        <f>IFERROR(VLOOKUP(all_lmics18[[Setting]:[Setting]],SBA[],4,FALSE),VLOOKUP(all_lmics18[[who_choice_region]:[who_choice_region]],missing[],6,FALSE))</f>
        <v>0.95200000000000007</v>
      </c>
      <c r="O66">
        <f>IFERROR(VLOOKUP(all_lmics18[[Setting]:[Setting]], facility[], 3,FALSE),VLOOKUP(all_lmics18[[who_choice_region]:[who_choice_region]],missing[],7,FALSE))</f>
        <v>0.94900000000000007</v>
      </c>
      <c r="P66">
        <f>IF(VLOOKUP(all_lmics18[[Setting]:[Setting]],all_cause_mort[],4,FALSE)="",VLOOKUP(all_lmics18[[who_choice_region]:[who_choice_region]],missing[],8,FALSE),VLOOKUP(all_lmics18[[Setting]:[Setting]],all_cause_mort[],4,FALSE))</f>
        <v>6.7261932999999998E-3</v>
      </c>
      <c r="Q66">
        <f>IF(VLOOKUP(all_lmics18[[Setting]:[Setting]],all_cause_mort[],5,FALSE)="",VLOOKUP(all_lmics18[[who_choice_region]:[who_choice_region]],missing[],9,FALSE),VLOOKUP(all_lmics18[[Setting]:[Setting]],all_cause_mort[],5,FALSE))</f>
        <v>3.0340724999999998E-4</v>
      </c>
      <c r="R66">
        <f>IF(VLOOKUP(all_lmics18[[Setting]:[Setting]],all_cause_mort[],6,FALSE)="",VLOOKUP(all_lmics18[[who_choice_region]:[who_choice_region]],missing[],10,FALSE),VLOOKUP(all_lmics18[[Setting]:[Setting]],all_cause_mort[],6,FALSE))</f>
        <v>1.4255436E-4</v>
      </c>
      <c r="S66">
        <f>IF(VLOOKUP(all_lmics18[[Setting]:[Setting]],all_cause_mort[],7,FALSE)="",VLOOKUP(all_lmics18[[who_choice_region]:[who_choice_region]],missing[],11,FALSE),VLOOKUP(all_lmics18[[Setting]:[Setting]],all_cause_mort[],7,FALSE))</f>
        <v>1.9492794E-4</v>
      </c>
      <c r="T66">
        <f>IF(VLOOKUP(all_lmics18[[Setting]:[Setting]],all_cause_mort[],8,FALSE)="",VLOOKUP(all_lmics18[[who_choice_region]:[who_choice_region]],missing[],12,FALSE),VLOOKUP(all_lmics18[[Setting]:[Setting]],all_cause_mort[],8,FALSE))</f>
        <v>3.6145421999999997E-4</v>
      </c>
      <c r="U66">
        <f>IF(VLOOKUP(all_lmics18[[Setting]:[Setting]],all_cause_mort[],9,FALSE)="",VLOOKUP(all_lmics18[[who_choice_region]:[who_choice_region]],missing[],13,FALSE),VLOOKUP(all_lmics18[[Setting]:[Setting]],all_cause_mort[],9,FALSE))</f>
        <v>4.6977742E-4</v>
      </c>
      <c r="V66">
        <f>IF(VLOOKUP(all_lmics18[[Setting]:[Setting]],all_cause_mort[],10,FALSE)="",VLOOKUP(all_lmics18[[who_choice_region]:[who_choice_region]],missing[],14,FALSE),VLOOKUP(all_lmics18[[Setting]:[Setting]],all_cause_mort[],10,FALSE))</f>
        <v>6.5225114000000005E-4</v>
      </c>
      <c r="W66">
        <f>IF(VLOOKUP(all_lmics18[[Setting]:[Setting]],all_cause_mort[],11,FALSE)="",VLOOKUP(all_lmics18[[who_choice_region]:[who_choice_region]],missing[],15,FALSE),VLOOKUP(all_lmics18[[Setting]:[Setting]],all_cause_mort[],11,FALSE))</f>
        <v>7.4660329999999997E-4</v>
      </c>
      <c r="X66">
        <f>IF(VLOOKUP(all_lmics18[[Setting]:[Setting]],all_cause_mort[],12,FALSE)="",VLOOKUP(all_lmics18[[who_choice_region]:[who_choice_region]],missing[],16,FALSE),VLOOKUP(all_lmics18[[Setting]:[Setting]],all_cause_mort[],12,FALSE))</f>
        <v>1.2057799E-3</v>
      </c>
      <c r="Y66">
        <f>IF(VLOOKUP(all_lmics18[[Setting]:[Setting]],all_cause_mort[],13,FALSE)="",VLOOKUP(all_lmics18[[who_choice_region]:[who_choice_region]],missing[],17,FALSE),VLOOKUP(all_lmics18[[Setting]:[Setting]],all_cause_mort[],13,FALSE))</f>
        <v>2.2559578000000001E-3</v>
      </c>
      <c r="Z66">
        <f>IF(VLOOKUP(all_lmics18[[Setting]:[Setting]],all_cause_mort[],14,FALSE)="",VLOOKUP(all_lmics18[[who_choice_region]:[who_choice_region]],missing[],18,FALSE),VLOOKUP(all_lmics18[[Setting]:[Setting]],all_cause_mort[],14,FALSE))</f>
        <v>3.5659852999999999E-3</v>
      </c>
      <c r="AA66">
        <f>IF(VLOOKUP(all_lmics18[[Setting]:[Setting]],all_cause_mort[],15,FALSE)="",VLOOKUP(all_lmics18[[who_choice_region]:[who_choice_region]],missing[],19,FALSE),VLOOKUP(all_lmics18[[Setting]:[Setting]],all_cause_mort[],15,FALSE))</f>
        <v>6.4333741999999996E-3</v>
      </c>
      <c r="AB66">
        <f>IF(VLOOKUP(all_lmics18[[Setting]:[Setting]],all_cause_mort[],16,FALSE)="",VLOOKUP(all_lmics18[[who_choice_region]:[who_choice_region]],missing[],20,FALSE),VLOOKUP(all_lmics18[[Setting]:[Setting]],all_cause_mort[],16,FALSE))</f>
        <v>1.0907198E-2</v>
      </c>
      <c r="AC66">
        <f>IF(VLOOKUP(all_lmics18[[Setting]:[Setting]],all_cause_mort[],17,FALSE)="",VLOOKUP(all_lmics18[[who_choice_region]:[who_choice_region]],missing[],21,FALSE),VLOOKUP(all_lmics18[[Setting]:[Setting]],all_cause_mort[],17,FALSE))</f>
        <v>1.5947491000000001E-2</v>
      </c>
      <c r="AD66">
        <f>IF(VLOOKUP(all_lmics18[[Setting]:[Setting]],all_cause_mort[],18,FALSE)="",VLOOKUP(all_lmics18[[who_choice_region]:[who_choice_region]],missing[],22,FALSE),VLOOKUP(all_lmics18[[Setting]:[Setting]],all_cause_mort[],18,FALSE))</f>
        <v>2.0975173E-2</v>
      </c>
      <c r="AE66">
        <f>IF(VLOOKUP(all_lmics18[[Setting]:[Setting]],all_cause_mort[],19,FALSE)="",VLOOKUP(all_lmics18[[who_choice_region]:[who_choice_region]],missing[],23,FALSE),VLOOKUP(all_lmics18[[Setting]:[Setting]],all_cause_mort[],19,FALSE))</f>
        <v>3.1056001E-2</v>
      </c>
      <c r="AF66">
        <f>IF(VLOOKUP(all_lmics18[[Setting]:[Setting]],all_cause_mort[],20,FALSE)="",VLOOKUP(all_lmics18[[who_choice_region]:[who_choice_region]],missing[],24,FALSE),VLOOKUP(all_lmics18[[Setting]:[Setting]],all_cause_mort[],20,FALSE))</f>
        <v>5.1986715000000003E-2</v>
      </c>
      <c r="AG66">
        <f>IF(VLOOKUP(all_lmics18[[Setting]:[Setting]],all_cause_mort[],21,FALSE)="",VLOOKUP(all_lmics18[[who_choice_region]:[who_choice_region]],missing[],25,FALSE),VLOOKUP(all_lmics18[[Setting]:[Setting]],all_cause_mort[],21,FALSE))</f>
        <v>8.9787669000000001E-2</v>
      </c>
      <c r="AH66">
        <f>IF(VLOOKUP(all_lmics18[[Setting]:[Setting]],all_cause_mort[],22,FALSE)="",VLOOKUP(all_lmics18[[who_choice_region]:[who_choice_region]],missing[],26,FALSE),VLOOKUP(all_lmics18[[Setting]:[Setting]],all_cause_mort[],22,FALSE))</f>
        <v>0.15165044</v>
      </c>
      <c r="AI66">
        <f>IF(VLOOKUP(all_lmics18[[Setting]:[Setting]],all_cause_mort[],23,FALSE)="",VLOOKUP(all_lmics18[[who_choice_region]:[who_choice_region]],missing[],27,FALSE),VLOOKUP(all_lmics18[[Setting]:[Setting]],all_cause_mort[],23,FALSE))</f>
        <v>0.23939450000000001</v>
      </c>
      <c r="AJ66">
        <f>IF(VLOOKUP(all_lmics18[[Setting]:[Setting]],all_cause_mort[],24,FALSE)="",VLOOKUP(all_lmics18[[who_choice_region]:[who_choice_region]],missing[],28,FALSE),VLOOKUP(all_lmics18[[Setting]:[Setting]],all_cause_mort[],24,FALSE))</f>
        <v>0.34927784000000001</v>
      </c>
      <c r="AK66">
        <f>IF(VLOOKUP(all_lmics18[[Setting]:[Setting]],all_cause_mort[],25,FALSE)="",VLOOKUP(all_lmics18[[who_choice_region]:[who_choice_region]],missing[],29,FALSE),VLOOKUP(all_lmics18[[Setting]:[Setting]],all_cause_mort[],25,FALSE))</f>
        <v>0.490322624932366</v>
      </c>
      <c r="AL66">
        <f>VLOOKUP(all_lmics18[[worldbank_region]:[worldbank_region]],Table13[],2,FALSE)</f>
        <v>44.525141999999995</v>
      </c>
      <c r="AM66">
        <f>VLOOKUP(all_lmics18[[worldbank_region]:[worldbank_region]],Table13[],3,FALSE)</f>
        <v>44.525141999999995</v>
      </c>
      <c r="AN66">
        <f>VLOOKUP(all_lmics18[[worldbank_region]:[worldbank_region]],Table13[],4,FALSE)</f>
        <v>92.254001999999986</v>
      </c>
      <c r="AO66">
        <f>VLOOKUP(all_lmics18[[worldbank_region]:[worldbank_region]],Table13[],5,FALSE)</f>
        <v>92.254001999999986</v>
      </c>
      <c r="AP66">
        <f>VLOOKUP(all_lmics18[[worldbank_region]:[worldbank_region]],Table13[],6,FALSE)</f>
        <v>92.254001999999986</v>
      </c>
      <c r="AQ66">
        <f>VLOOKUP(all_lmics18[[worldbank_region]:[worldbank_region]],Table14[],2,FALSE)</f>
        <v>6.4182919999999992</v>
      </c>
      <c r="AR66">
        <f>VLOOKUP(all_lmics18[[worldbank_region]:[worldbank_region]],Table14[],3,FALSE)</f>
        <v>7.0357919999999998</v>
      </c>
      <c r="AS66">
        <f>VLOOKUP(all_lmics18[[worldbank_region]:[worldbank_region]],Table14[],4,FALSE)</f>
        <v>10.482872999999998</v>
      </c>
      <c r="AT66">
        <f>VLOOKUP(all_lmics18[[worldbank_region]:[worldbank_region]],Table14[],5,FALSE)</f>
        <v>11.100372999999999</v>
      </c>
      <c r="AU66">
        <f>VLOOKUP(all_lmics18[[worldbank_region]:[worldbank_region]],Table14[],6,FALSE)</f>
        <v>11.670624999999999</v>
      </c>
      <c r="AV66">
        <f>IFERROR(VLOOKUP(all_lmics18[[Setting]:[Setting]],nFacSBA[],4,FALSE),VLOOKUP(all_lmics18[[who_choice_region]:[who_choice_region]],missing[],30,FALSE))</f>
        <v>0.53357812104952496</v>
      </c>
      <c r="AW66">
        <f>VLOOKUP(all_lmics18[[worldbank_region]:[worldbank_region]],hbe[],2)</f>
        <v>0.3</v>
      </c>
      <c r="AX66">
        <f>VLOOKUP(all_lmics18[[worldbank_region]:[worldbank_region]],hbe[],5)</f>
        <v>0.875</v>
      </c>
      <c r="AY66">
        <f>VLOOKUP(all_lmics18[[worldbank_region]:[worldbank_region]],hbe[],8)</f>
        <v>0.15</v>
      </c>
    </row>
    <row r="67" spans="1:51" x14ac:dyDescent="0.35">
      <c r="A67" s="12" t="s">
        <v>174</v>
      </c>
      <c r="B67" s="13" t="s">
        <v>22</v>
      </c>
      <c r="C67" s="14" t="s">
        <v>383</v>
      </c>
      <c r="D67">
        <f>VLOOKUP(all_lmics18[[Setting]:[Setting]],populations[],9,FALSE)</f>
        <v>55345</v>
      </c>
      <c r="E67">
        <f>VLOOKUP(all_lmics18[[Setting]:[Setting]],birthrate[],3,FALSE)</f>
        <v>1.32E-2</v>
      </c>
      <c r="F67">
        <f>all_lmics18[[#This Row],[2017_population]]*all_lmics18[[#This Row],[2016_birthrate]]</f>
        <v>730.55399999999997</v>
      </c>
      <c r="G67">
        <f>VLOOKUP(all_lmics18[[Setting]:[Setting]],birthdose[],4,FALSE)</f>
        <v>0.83</v>
      </c>
      <c r="H67">
        <f>VLOOKUP(all_lmics18[[Setting]:[Setting]],fullvax[],4,FALSE)</f>
        <v>0.98</v>
      </c>
      <c r="I67">
        <f>IFERROR(VLOOKUP(all_lmics18[[Setting]:[Setting]],prev[],3,FALSE),VLOOKUP(all_lmics18[[who_choice_region]:[who_choice_region]],missing[],2,FALSE))</f>
        <v>4.1444892127893984E-3</v>
      </c>
      <c r="J67">
        <f>IFERROR(VLOOKUP(all_lmics18[[Setting]:[Setting]],prev[],4,FALSE),VLOOKUP(all_lmics18[[who_choice_region]:[who_choice_region]],missing[],3,FALSE))</f>
        <v>2.6055266579680684E-3</v>
      </c>
      <c r="K67">
        <f>IFERROR(VLOOKUP(all_lmics18[[Setting]:[Setting]],prev[],5,FALSE),VLOOKUP(all_lmics18[[who_choice_region]:[who_choice_region]],missing[],4,FALSE))</f>
        <v>7.7002555713058798E-3</v>
      </c>
      <c r="L67">
        <f>IFERROR(VLOOKUP(all_lmics18[[Setting]:[Setting]],prev[],7,FALSE),VLOOKUP(all_lmics18[[who_choice_region]:[who_choice_region]],missing[],5,FALSE))</f>
        <v>1.8146552860433664E-3</v>
      </c>
      <c r="M67">
        <f>IFERROR(VLOOKUP(all_lmics18[[Setting]:[Setting]],prev[],6,FALSE),0)</f>
        <v>0</v>
      </c>
      <c r="N67">
        <f>IFERROR(VLOOKUP(all_lmics18[[Setting]:[Setting]],SBA[],4,FALSE),VLOOKUP(all_lmics18[[who_choice_region]:[who_choice_region]],missing[],6,FALSE))</f>
        <v>0.9998999999999999</v>
      </c>
      <c r="O67">
        <f>IFERROR(VLOOKUP(all_lmics18[[Setting]:[Setting]], facility[], 3,FALSE),VLOOKUP(all_lmics18[[who_choice_region]:[who_choice_region]],missing[],7,FALSE))</f>
        <v>0.97897758427523118</v>
      </c>
      <c r="P67">
        <f>IF(VLOOKUP(all_lmics18[[Setting]:[Setting]],all_cause_mort[],4,FALSE)="",VLOOKUP(all_lmics18[[who_choice_region]:[who_choice_region]],missing[],8,FALSE),VLOOKUP(all_lmics18[[Setting]:[Setting]],all_cause_mort[],4,FALSE))</f>
        <v>1.4248933230069195E-2</v>
      </c>
      <c r="Q67">
        <f>IF(VLOOKUP(all_lmics18[[Setting]:[Setting]],all_cause_mort[],5,FALSE)="",VLOOKUP(all_lmics18[[who_choice_region]:[who_choice_region]],missing[],9,FALSE),VLOOKUP(all_lmics18[[Setting]:[Setting]],all_cause_mort[],5,FALSE))</f>
        <v>6.2059672144430377E-4</v>
      </c>
      <c r="R67">
        <f>IF(VLOOKUP(all_lmics18[[Setting]:[Setting]],all_cause_mort[],6,FALSE)="",VLOOKUP(all_lmics18[[who_choice_region]:[who_choice_region]],missing[],10,FALSE),VLOOKUP(all_lmics18[[Setting]:[Setting]],all_cause_mort[],6,FALSE))</f>
        <v>2.7163641572990901E-4</v>
      </c>
      <c r="S67">
        <f>IF(VLOOKUP(all_lmics18[[Setting]:[Setting]],all_cause_mort[],7,FALSE)="",VLOOKUP(all_lmics18[[who_choice_region]:[who_choice_region]],missing[],11,FALSE),VLOOKUP(all_lmics18[[Setting]:[Setting]],all_cause_mort[],7,FALSE))</f>
        <v>3.3965203446702355E-4</v>
      </c>
      <c r="T67">
        <f>IF(VLOOKUP(all_lmics18[[Setting]:[Setting]],all_cause_mort[],8,FALSE)="",VLOOKUP(all_lmics18[[who_choice_region]:[who_choice_region]],missing[],12,FALSE),VLOOKUP(all_lmics18[[Setting]:[Setting]],all_cause_mort[],8,FALSE))</f>
        <v>9.5235573322869597E-4</v>
      </c>
      <c r="U67">
        <f>IF(VLOOKUP(all_lmics18[[Setting]:[Setting]],all_cause_mort[],9,FALSE)="",VLOOKUP(all_lmics18[[who_choice_region]:[who_choice_region]],missing[],13,FALSE),VLOOKUP(all_lmics18[[Setting]:[Setting]],all_cause_mort[],9,FALSE))</f>
        <v>1.506073942869571E-3</v>
      </c>
      <c r="V67">
        <f>IF(VLOOKUP(all_lmics18[[Setting]:[Setting]],all_cause_mort[],10,FALSE)="",VLOOKUP(all_lmics18[[who_choice_region]:[who_choice_region]],missing[],14,FALSE),VLOOKUP(all_lmics18[[Setting]:[Setting]],all_cause_mort[],10,FALSE))</f>
        <v>1.6186363938697082E-3</v>
      </c>
      <c r="W67">
        <f>IF(VLOOKUP(all_lmics18[[Setting]:[Setting]],all_cause_mort[],11,FALSE)="",VLOOKUP(all_lmics18[[who_choice_region]:[who_choice_region]],missing[],15,FALSE),VLOOKUP(all_lmics18[[Setting]:[Setting]],all_cause_mort[],11,FALSE))</f>
        <v>1.8082087370652829E-3</v>
      </c>
      <c r="X67">
        <f>IF(VLOOKUP(all_lmics18[[Setting]:[Setting]],all_cause_mort[],12,FALSE)="",VLOOKUP(all_lmics18[[who_choice_region]:[who_choice_region]],missing[],16,FALSE),VLOOKUP(all_lmics18[[Setting]:[Setting]],all_cause_mort[],12,FALSE))</f>
        <v>2.1561320182217755E-3</v>
      </c>
      <c r="Y67">
        <f>IF(VLOOKUP(all_lmics18[[Setting]:[Setting]],all_cause_mort[],13,FALSE)="",VLOOKUP(all_lmics18[[who_choice_region]:[who_choice_region]],missing[],17,FALSE),VLOOKUP(all_lmics18[[Setting]:[Setting]],all_cause_mort[],13,FALSE))</f>
        <v>2.7792702875905507E-3</v>
      </c>
      <c r="Z67">
        <f>IF(VLOOKUP(all_lmics18[[Setting]:[Setting]],all_cause_mort[],14,FALSE)="",VLOOKUP(all_lmics18[[who_choice_region]:[who_choice_region]],missing[],18,FALSE),VLOOKUP(all_lmics18[[Setting]:[Setting]],all_cause_mort[],14,FALSE))</f>
        <v>3.9658396160708841E-3</v>
      </c>
      <c r="AA67">
        <f>IF(VLOOKUP(all_lmics18[[Setting]:[Setting]],all_cause_mort[],15,FALSE)="",VLOOKUP(all_lmics18[[who_choice_region]:[who_choice_region]],missing[],19,FALSE),VLOOKUP(all_lmics18[[Setting]:[Setting]],all_cause_mort[],15,FALSE))</f>
        <v>5.8514548590195775E-3</v>
      </c>
      <c r="AB67">
        <f>IF(VLOOKUP(all_lmics18[[Setting]:[Setting]],all_cause_mort[],16,FALSE)="",VLOOKUP(all_lmics18[[who_choice_region]:[who_choice_region]],missing[],20,FALSE),VLOOKUP(all_lmics18[[Setting]:[Setting]],all_cause_mort[],16,FALSE))</f>
        <v>8.6574529952604101E-3</v>
      </c>
      <c r="AC67">
        <f>IF(VLOOKUP(all_lmics18[[Setting]:[Setting]],all_cause_mort[],17,FALSE)="",VLOOKUP(all_lmics18[[who_choice_region]:[who_choice_region]],missing[],21,FALSE),VLOOKUP(all_lmics18[[Setting]:[Setting]],all_cause_mort[],17,FALSE))</f>
        <v>1.3115831217175869E-2</v>
      </c>
      <c r="AD67">
        <f>IF(VLOOKUP(all_lmics18[[Setting]:[Setting]],all_cause_mort[],18,FALSE)="",VLOOKUP(all_lmics18[[who_choice_region]:[who_choice_region]],missing[],22,FALSE),VLOOKUP(all_lmics18[[Setting]:[Setting]],all_cause_mort[],18,FALSE))</f>
        <v>2.0065990759328588E-2</v>
      </c>
      <c r="AE67">
        <f>IF(VLOOKUP(all_lmics18[[Setting]:[Setting]],all_cause_mort[],19,FALSE)="",VLOOKUP(all_lmics18[[who_choice_region]:[who_choice_region]],missing[],23,FALSE),VLOOKUP(all_lmics18[[Setting]:[Setting]],all_cause_mort[],19,FALSE))</f>
        <v>3.002419587261939E-2</v>
      </c>
      <c r="AF67">
        <f>IF(VLOOKUP(all_lmics18[[Setting]:[Setting]],all_cause_mort[],20,FALSE)="",VLOOKUP(all_lmics18[[who_choice_region]:[who_choice_region]],missing[],24,FALSE),VLOOKUP(all_lmics18[[Setting]:[Setting]],all_cause_mort[],20,FALSE))</f>
        <v>4.6158032553931964E-2</v>
      </c>
      <c r="AG67">
        <f>IF(VLOOKUP(all_lmics18[[Setting]:[Setting]],all_cause_mort[],21,FALSE)="",VLOOKUP(all_lmics18[[who_choice_region]:[who_choice_region]],missing[],25,FALSE),VLOOKUP(all_lmics18[[Setting]:[Setting]],all_cause_mort[],21,FALSE))</f>
        <v>7.0928885243889364E-2</v>
      </c>
      <c r="AH67">
        <f>IF(VLOOKUP(all_lmics18[[Setting]:[Setting]],all_cause_mort[],22,FALSE)="",VLOOKUP(all_lmics18[[who_choice_region]:[who_choice_region]],missing[],26,FALSE),VLOOKUP(all_lmics18[[Setting]:[Setting]],all_cause_mort[],22,FALSE))</f>
        <v>0.10967671748198599</v>
      </c>
      <c r="AI67">
        <f>IF(VLOOKUP(all_lmics18[[Setting]:[Setting]],all_cause_mort[],23,FALSE)="",VLOOKUP(all_lmics18[[who_choice_region]:[who_choice_region]],missing[],27,FALSE),VLOOKUP(all_lmics18[[Setting]:[Setting]],all_cause_mort[],23,FALSE))</f>
        <v>0.16124903915003161</v>
      </c>
      <c r="AJ67">
        <f>IF(VLOOKUP(all_lmics18[[Setting]:[Setting]],all_cause_mort[],24,FALSE)="",VLOOKUP(all_lmics18[[who_choice_region]:[who_choice_region]],missing[],28,FALSE),VLOOKUP(all_lmics18[[Setting]:[Setting]],all_cause_mort[],24,FALSE))</f>
        <v>0.25051575065448178</v>
      </c>
      <c r="AK67">
        <f>IF(VLOOKUP(all_lmics18[[Setting]:[Setting]],all_cause_mort[],25,FALSE)="",VLOOKUP(all_lmics18[[who_choice_region]:[who_choice_region]],missing[],29,FALSE),VLOOKUP(all_lmics18[[Setting]:[Setting]],all_cause_mort[],25,FALSE))</f>
        <v>0.38623014361104735</v>
      </c>
      <c r="AL67">
        <f>VLOOKUP(all_lmics18[[worldbank_region]:[worldbank_region]],Table13[],2,FALSE)</f>
        <v>86.85998699999999</v>
      </c>
      <c r="AM67">
        <f>VLOOKUP(all_lmics18[[worldbank_region]:[worldbank_region]],Table13[],3,FALSE)</f>
        <v>86.85998699999999</v>
      </c>
      <c r="AN67">
        <f>VLOOKUP(all_lmics18[[worldbank_region]:[worldbank_region]],Table13[],4,FALSE)</f>
        <v>134.58884699999999</v>
      </c>
      <c r="AO67">
        <f>VLOOKUP(all_lmics18[[worldbank_region]:[worldbank_region]],Table13[],5,FALSE)</f>
        <v>134.58884699999999</v>
      </c>
      <c r="AP67">
        <f>VLOOKUP(all_lmics18[[worldbank_region]:[worldbank_region]],Table13[],6,FALSE)</f>
        <v>134.58884699999999</v>
      </c>
      <c r="AQ67">
        <f>VLOOKUP(all_lmics18[[worldbank_region]:[worldbank_region]],Table14[],2,FALSE)</f>
        <v>1.514642</v>
      </c>
      <c r="AR67">
        <f>VLOOKUP(all_lmics18[[worldbank_region]:[worldbank_region]],Table14[],3,FALSE)</f>
        <v>2.132142</v>
      </c>
      <c r="AS67">
        <f>VLOOKUP(all_lmics18[[worldbank_region]:[worldbank_region]],Table14[],4,FALSE)</f>
        <v>1.5364360000000001</v>
      </c>
      <c r="AT67">
        <f>VLOOKUP(all_lmics18[[worldbank_region]:[worldbank_region]],Table14[],5,FALSE)</f>
        <v>2.1539359999999999</v>
      </c>
      <c r="AU67">
        <f>VLOOKUP(all_lmics18[[worldbank_region]:[worldbank_region]],Table14[],6,FALSE)</f>
        <v>2.7241879999999998</v>
      </c>
      <c r="AV67">
        <f>IFERROR(VLOOKUP(all_lmics18[[Setting]:[Setting]],nFacSBA[],4,FALSE),VLOOKUP(all_lmics18[[who_choice_region]:[who_choice_region]],missing[],30,FALSE))</f>
        <v>0.204083371647339</v>
      </c>
      <c r="AW67">
        <f>VLOOKUP(all_lmics18[[worldbank_region]:[worldbank_region]],hbe[],2)</f>
        <v>0.3</v>
      </c>
      <c r="AX67">
        <f>VLOOKUP(all_lmics18[[worldbank_region]:[worldbank_region]],hbe[],5)</f>
        <v>0.875</v>
      </c>
      <c r="AY67">
        <f>VLOOKUP(all_lmics18[[worldbank_region]:[worldbank_region]],hbe[],8)</f>
        <v>0.15</v>
      </c>
    </row>
    <row r="68" spans="1:51" x14ac:dyDescent="0.35">
      <c r="A68" s="12" t="s">
        <v>176</v>
      </c>
      <c r="B68" s="13" t="s">
        <v>22</v>
      </c>
      <c r="C68" s="14" t="s">
        <v>383</v>
      </c>
      <c r="D68">
        <f>VLOOKUP(all_lmics18[[Setting]:[Setting]],populations[],9,FALSE)</f>
        <v>109897</v>
      </c>
      <c r="E68">
        <f>VLOOKUP(all_lmics18[[Setting]:[Setting]],birthrate[],3,FALSE)</f>
        <v>1.5507E-2</v>
      </c>
      <c r="F68">
        <f>all_lmics18[[#This Row],[2017_population]]*all_lmics18[[#This Row],[2016_birthrate]]</f>
        <v>1704.172779</v>
      </c>
      <c r="G68">
        <f>VLOOKUP(all_lmics18[[Setting]:[Setting]],birthdose[],4,FALSE)</f>
        <v>0.3</v>
      </c>
      <c r="H68">
        <f>VLOOKUP(all_lmics18[[Setting]:[Setting]],fullvax[],4,FALSE)</f>
        <v>0.99</v>
      </c>
      <c r="I68">
        <f>IFERROR(VLOOKUP(all_lmics18[[Setting]:[Setting]],prev[],3,FALSE),VLOOKUP(all_lmics18[[who_choice_region]:[who_choice_region]],missing[],2,FALSE))</f>
        <v>4.1444892127893984E-3</v>
      </c>
      <c r="J68">
        <f>IFERROR(VLOOKUP(all_lmics18[[Setting]:[Setting]],prev[],4,FALSE),VLOOKUP(all_lmics18[[who_choice_region]:[who_choice_region]],missing[],3,FALSE))</f>
        <v>2.6055266579680684E-3</v>
      </c>
      <c r="K68">
        <f>IFERROR(VLOOKUP(all_lmics18[[Setting]:[Setting]],prev[],5,FALSE),VLOOKUP(all_lmics18[[who_choice_region]:[who_choice_region]],missing[],4,FALSE))</f>
        <v>7.7002555713058798E-3</v>
      </c>
      <c r="L68">
        <f>IFERROR(VLOOKUP(all_lmics18[[Setting]:[Setting]],prev[],7,FALSE),VLOOKUP(all_lmics18[[who_choice_region]:[who_choice_region]],missing[],5,FALSE))</f>
        <v>1.8146552860433664E-3</v>
      </c>
      <c r="M68">
        <f>IFERROR(VLOOKUP(all_lmics18[[Setting]:[Setting]],prev[],6,FALSE),0)</f>
        <v>0</v>
      </c>
      <c r="N68">
        <f>IFERROR(VLOOKUP(all_lmics18[[Setting]:[Setting]],SBA[],4,FALSE),VLOOKUP(all_lmics18[[who_choice_region]:[who_choice_region]],missing[],6,FALSE))</f>
        <v>0.99</v>
      </c>
      <c r="O68">
        <f>IFERROR(VLOOKUP(all_lmics18[[Setting]:[Setting]], facility[], 3,FALSE),VLOOKUP(all_lmics18[[who_choice_region]:[who_choice_region]],missing[],7,FALSE))</f>
        <v>0.97897758427523118</v>
      </c>
      <c r="P68">
        <f>IF(VLOOKUP(all_lmics18[[Setting]:[Setting]],all_cause_mort[],4,FALSE)="",VLOOKUP(all_lmics18[[who_choice_region]:[who_choice_region]],missing[],8,FALSE),VLOOKUP(all_lmics18[[Setting]:[Setting]],all_cause_mort[],4,FALSE))</f>
        <v>1.4862032000000001E-2</v>
      </c>
      <c r="Q68">
        <f>IF(VLOOKUP(all_lmics18[[Setting]:[Setting]],all_cause_mort[],5,FALSE)="",VLOOKUP(all_lmics18[[who_choice_region]:[who_choice_region]],missing[],9,FALSE),VLOOKUP(all_lmics18[[Setting]:[Setting]],all_cause_mort[],5,FALSE))</f>
        <v>3.404956E-4</v>
      </c>
      <c r="R68">
        <f>IF(VLOOKUP(all_lmics18[[Setting]:[Setting]],all_cause_mort[],6,FALSE)="",VLOOKUP(all_lmics18[[who_choice_region]:[who_choice_region]],missing[],10,FALSE),VLOOKUP(all_lmics18[[Setting]:[Setting]],all_cause_mort[],6,FALSE))</f>
        <v>4.2683378999999999E-4</v>
      </c>
      <c r="S68">
        <f>IF(VLOOKUP(all_lmics18[[Setting]:[Setting]],all_cause_mort[],7,FALSE)="",VLOOKUP(all_lmics18[[who_choice_region]:[who_choice_region]],missing[],11,FALSE),VLOOKUP(all_lmics18[[Setting]:[Setting]],all_cause_mort[],7,FALSE))</f>
        <v>4.1188520999999999E-4</v>
      </c>
      <c r="T68">
        <f>IF(VLOOKUP(all_lmics18[[Setting]:[Setting]],all_cause_mort[],8,FALSE)="",VLOOKUP(all_lmics18[[who_choice_region]:[who_choice_region]],missing[],12,FALSE),VLOOKUP(all_lmics18[[Setting]:[Setting]],all_cause_mort[],8,FALSE))</f>
        <v>1.0006774999999999E-3</v>
      </c>
      <c r="U68">
        <f>IF(VLOOKUP(all_lmics18[[Setting]:[Setting]],all_cause_mort[],9,FALSE)="",VLOOKUP(all_lmics18[[who_choice_region]:[who_choice_region]],missing[],13,FALSE),VLOOKUP(all_lmics18[[Setting]:[Setting]],all_cause_mort[],9,FALSE))</f>
        <v>1.4096149000000001E-3</v>
      </c>
      <c r="V68">
        <f>IF(VLOOKUP(all_lmics18[[Setting]:[Setting]],all_cause_mort[],10,FALSE)="",VLOOKUP(all_lmics18[[who_choice_region]:[who_choice_region]],missing[],14,FALSE),VLOOKUP(all_lmics18[[Setting]:[Setting]],all_cause_mort[],10,FALSE))</f>
        <v>1.536681E-3</v>
      </c>
      <c r="W68">
        <f>IF(VLOOKUP(all_lmics18[[Setting]:[Setting]],all_cause_mort[],11,FALSE)="",VLOOKUP(all_lmics18[[who_choice_region]:[who_choice_region]],missing[],15,FALSE),VLOOKUP(all_lmics18[[Setting]:[Setting]],all_cause_mort[],11,FALSE))</f>
        <v>1.8326064E-3</v>
      </c>
      <c r="X68">
        <f>IF(VLOOKUP(all_lmics18[[Setting]:[Setting]],all_cause_mort[],12,FALSE)="",VLOOKUP(all_lmics18[[who_choice_region]:[who_choice_region]],missing[],16,FALSE),VLOOKUP(all_lmics18[[Setting]:[Setting]],all_cause_mort[],12,FALSE))</f>
        <v>2.4444193999999999E-3</v>
      </c>
      <c r="Y68">
        <f>IF(VLOOKUP(all_lmics18[[Setting]:[Setting]],all_cause_mort[],13,FALSE)="",VLOOKUP(all_lmics18[[who_choice_region]:[who_choice_region]],missing[],17,FALSE),VLOOKUP(all_lmics18[[Setting]:[Setting]],all_cause_mort[],13,FALSE))</f>
        <v>3.5001016E-3</v>
      </c>
      <c r="Z68">
        <f>IF(VLOOKUP(all_lmics18[[Setting]:[Setting]],all_cause_mort[],14,FALSE)="",VLOOKUP(all_lmics18[[who_choice_region]:[who_choice_region]],missing[],18,FALSE),VLOOKUP(all_lmics18[[Setting]:[Setting]],all_cause_mort[],14,FALSE))</f>
        <v>5.2736989000000001E-3</v>
      </c>
      <c r="AA68">
        <f>IF(VLOOKUP(all_lmics18[[Setting]:[Setting]],all_cause_mort[],15,FALSE)="",VLOOKUP(all_lmics18[[who_choice_region]:[who_choice_region]],missing[],19,FALSE),VLOOKUP(all_lmics18[[Setting]:[Setting]],all_cause_mort[],15,FALSE))</f>
        <v>7.9972917000000008E-3</v>
      </c>
      <c r="AB68">
        <f>IF(VLOOKUP(all_lmics18[[Setting]:[Setting]],all_cause_mort[],16,FALSE)="",VLOOKUP(all_lmics18[[who_choice_region]:[who_choice_region]],missing[],20,FALSE),VLOOKUP(all_lmics18[[Setting]:[Setting]],all_cause_mort[],16,FALSE))</f>
        <v>1.2145157E-2</v>
      </c>
      <c r="AC68">
        <f>IF(VLOOKUP(all_lmics18[[Setting]:[Setting]],all_cause_mort[],17,FALSE)="",VLOOKUP(all_lmics18[[who_choice_region]:[who_choice_region]],missing[],21,FALSE),VLOOKUP(all_lmics18[[Setting]:[Setting]],all_cause_mort[],17,FALSE))</f>
        <v>1.7280294000000002E-2</v>
      </c>
      <c r="AD68">
        <f>IF(VLOOKUP(all_lmics18[[Setting]:[Setting]],all_cause_mort[],18,FALSE)="",VLOOKUP(all_lmics18[[who_choice_region]:[who_choice_region]],missing[],22,FALSE),VLOOKUP(all_lmics18[[Setting]:[Setting]],all_cause_mort[],18,FALSE))</f>
        <v>2.4563299E-2</v>
      </c>
      <c r="AE68">
        <f>IF(VLOOKUP(all_lmics18[[Setting]:[Setting]],all_cause_mort[],19,FALSE)="",VLOOKUP(all_lmics18[[who_choice_region]:[who_choice_region]],missing[],23,FALSE),VLOOKUP(all_lmics18[[Setting]:[Setting]],all_cause_mort[],19,FALSE))</f>
        <v>3.7452007000000002E-2</v>
      </c>
      <c r="AF68">
        <f>IF(VLOOKUP(all_lmics18[[Setting]:[Setting]],all_cause_mort[],20,FALSE)="",VLOOKUP(all_lmics18[[who_choice_region]:[who_choice_region]],missing[],24,FALSE),VLOOKUP(all_lmics18[[Setting]:[Setting]],all_cause_mort[],20,FALSE))</f>
        <v>6.1087258999999998E-2</v>
      </c>
      <c r="AG68">
        <f>IF(VLOOKUP(all_lmics18[[Setting]:[Setting]],all_cause_mort[],21,FALSE)="",VLOOKUP(all_lmics18[[who_choice_region]:[who_choice_region]],missing[],25,FALSE),VLOOKUP(all_lmics18[[Setting]:[Setting]],all_cause_mort[],21,FALSE))</f>
        <v>9.9393161999999993E-2</v>
      </c>
      <c r="AH68">
        <f>IF(VLOOKUP(all_lmics18[[Setting]:[Setting]],all_cause_mort[],22,FALSE)="",VLOOKUP(all_lmics18[[who_choice_region]:[who_choice_region]],missing[],26,FALSE),VLOOKUP(all_lmics18[[Setting]:[Setting]],all_cause_mort[],22,FALSE))</f>
        <v>0.15928957999999999</v>
      </c>
      <c r="AI68">
        <f>IF(VLOOKUP(all_lmics18[[Setting]:[Setting]],all_cause_mort[],23,FALSE)="",VLOOKUP(all_lmics18[[who_choice_region]:[who_choice_region]],missing[],27,FALSE),VLOOKUP(all_lmics18[[Setting]:[Setting]],all_cause_mort[],23,FALSE))</f>
        <v>0.24279701000000001</v>
      </c>
      <c r="AJ68">
        <f>IF(VLOOKUP(all_lmics18[[Setting]:[Setting]],all_cause_mort[],24,FALSE)="",VLOOKUP(all_lmics18[[who_choice_region]:[who_choice_region]],missing[],28,FALSE),VLOOKUP(all_lmics18[[Setting]:[Setting]],all_cause_mort[],24,FALSE))</f>
        <v>0.35271546999999998</v>
      </c>
      <c r="AK68">
        <f>IF(VLOOKUP(all_lmics18[[Setting]:[Setting]],all_cause_mort[],25,FALSE)="",VLOOKUP(all_lmics18[[who_choice_region]:[who_choice_region]],missing[],29,FALSE),VLOOKUP(all_lmics18[[Setting]:[Setting]],all_cause_mort[],25,FALSE))</f>
        <v>0.48479397637666799</v>
      </c>
      <c r="AL68">
        <f>VLOOKUP(all_lmics18[[worldbank_region]:[worldbank_region]],Table13[],2,FALSE)</f>
        <v>86.85998699999999</v>
      </c>
      <c r="AM68">
        <f>VLOOKUP(all_lmics18[[worldbank_region]:[worldbank_region]],Table13[],3,FALSE)</f>
        <v>86.85998699999999</v>
      </c>
      <c r="AN68">
        <f>VLOOKUP(all_lmics18[[worldbank_region]:[worldbank_region]],Table13[],4,FALSE)</f>
        <v>134.58884699999999</v>
      </c>
      <c r="AO68">
        <f>VLOOKUP(all_lmics18[[worldbank_region]:[worldbank_region]],Table13[],5,FALSE)</f>
        <v>134.58884699999999</v>
      </c>
      <c r="AP68">
        <f>VLOOKUP(all_lmics18[[worldbank_region]:[worldbank_region]],Table13[],6,FALSE)</f>
        <v>134.58884699999999</v>
      </c>
      <c r="AQ68">
        <f>VLOOKUP(all_lmics18[[worldbank_region]:[worldbank_region]],Table14[],2,FALSE)</f>
        <v>1.514642</v>
      </c>
      <c r="AR68">
        <f>VLOOKUP(all_lmics18[[worldbank_region]:[worldbank_region]],Table14[],3,FALSE)</f>
        <v>2.132142</v>
      </c>
      <c r="AS68">
        <f>VLOOKUP(all_lmics18[[worldbank_region]:[worldbank_region]],Table14[],4,FALSE)</f>
        <v>1.5364360000000001</v>
      </c>
      <c r="AT68">
        <f>VLOOKUP(all_lmics18[[worldbank_region]:[worldbank_region]],Table14[],5,FALSE)</f>
        <v>2.1539359999999999</v>
      </c>
      <c r="AU68">
        <f>VLOOKUP(all_lmics18[[worldbank_region]:[worldbank_region]],Table14[],6,FALSE)</f>
        <v>2.7241879999999998</v>
      </c>
      <c r="AV68">
        <f>IFERROR(VLOOKUP(all_lmics18[[Setting]:[Setting]],nFacSBA[],4,FALSE),VLOOKUP(all_lmics18[[who_choice_region]:[who_choice_region]],missing[],30,FALSE))</f>
        <v>0.204083371647339</v>
      </c>
      <c r="AW68">
        <f>VLOOKUP(all_lmics18[[worldbank_region]:[worldbank_region]],hbe[],2)</f>
        <v>0.3</v>
      </c>
      <c r="AX68">
        <f>VLOOKUP(all_lmics18[[worldbank_region]:[worldbank_region]],hbe[],5)</f>
        <v>0.875</v>
      </c>
      <c r="AY68">
        <f>VLOOKUP(all_lmics18[[worldbank_region]:[worldbank_region]],hbe[],8)</f>
        <v>0.15</v>
      </c>
    </row>
    <row r="69" spans="1:51" x14ac:dyDescent="0.35">
      <c r="A69" s="8" t="s">
        <v>177</v>
      </c>
      <c r="B69" s="10" t="s">
        <v>57</v>
      </c>
      <c r="C69" s="11" t="s">
        <v>58</v>
      </c>
      <c r="D69">
        <f>VLOOKUP(all_lmics18[[Setting]:[Setting]],populations[],9,FALSE)</f>
        <v>196440</v>
      </c>
      <c r="E69">
        <f>VLOOKUP(all_lmics18[[Setting]:[Setting]],birthrate[],3,FALSE)</f>
        <v>2.4688999999999999E-2</v>
      </c>
      <c r="F69">
        <f>all_lmics18[[#This Row],[2017_population]]*all_lmics18[[#This Row],[2016_birthrate]]</f>
        <v>4849.9071599999997</v>
      </c>
      <c r="G69">
        <f>VLOOKUP(all_lmics18[[Setting]:[Setting]],birthdose[],4,FALSE)</f>
        <v>0.81</v>
      </c>
      <c r="H69">
        <f>VLOOKUP(all_lmics18[[Setting]:[Setting]],fullvax[],4,FALSE)</f>
        <v>0.73</v>
      </c>
      <c r="I69">
        <f>IFERROR(VLOOKUP(all_lmics18[[Setting]:[Setting]],prev[],3,FALSE),VLOOKUP(all_lmics18[[who_choice_region]:[who_choice_region]],missing[],2,FALSE))</f>
        <v>5.5300000000000002E-2</v>
      </c>
      <c r="J69">
        <f>IFERROR(VLOOKUP(all_lmics18[[Setting]:[Setting]],prev[],4,FALSE),VLOOKUP(all_lmics18[[who_choice_region]:[who_choice_region]],missing[],3,FALSE))</f>
        <v>3.6700000000000003E-2</v>
      </c>
      <c r="K69">
        <f>IFERROR(VLOOKUP(all_lmics18[[Setting]:[Setting]],prev[],5,FALSE),VLOOKUP(all_lmics18[[who_choice_region]:[who_choice_region]],missing[],4,FALSE))</f>
        <v>8.2500000000000004E-2</v>
      </c>
      <c r="L69">
        <f>IFERROR(VLOOKUP(all_lmics18[[Setting]:[Setting]],prev[],7,FALSE),VLOOKUP(all_lmics18[[who_choice_region]:[who_choice_region]],missing[],5,FALSE))</f>
        <v>1.3877551020408165E-2</v>
      </c>
      <c r="M69">
        <f>IFERROR(VLOOKUP(all_lmics18[[Setting]:[Setting]],prev[],6,FALSE),0)</f>
        <v>186205</v>
      </c>
      <c r="N69">
        <f>IFERROR(VLOOKUP(all_lmics18[[Setting]:[Setting]],SBA[],4,FALSE),VLOOKUP(all_lmics18[[who_choice_region]:[who_choice_region]],missing[],6,FALSE))</f>
        <v>0.82499999999999996</v>
      </c>
      <c r="O69">
        <f>IFERROR(VLOOKUP(all_lmics18[[Setting]:[Setting]], facility[], 3,FALSE),VLOOKUP(all_lmics18[[who_choice_region]:[who_choice_region]],missing[],7,FALSE))</f>
        <v>0.81900000000000006</v>
      </c>
      <c r="P69">
        <f>IF(VLOOKUP(all_lmics18[[Setting]:[Setting]],all_cause_mort[],4,FALSE)="",VLOOKUP(all_lmics18[[who_choice_region]:[who_choice_region]],missing[],8,FALSE),VLOOKUP(all_lmics18[[Setting]:[Setting]],all_cause_mort[],4,FALSE))</f>
        <v>1.3619459E-2</v>
      </c>
      <c r="Q69">
        <f>IF(VLOOKUP(all_lmics18[[Setting]:[Setting]],all_cause_mort[],5,FALSE)="",VLOOKUP(all_lmics18[[who_choice_region]:[who_choice_region]],missing[],9,FALSE),VLOOKUP(all_lmics18[[Setting]:[Setting]],all_cause_mort[],5,FALSE))</f>
        <v>6.9369883999999998E-4</v>
      </c>
      <c r="R69">
        <f>IF(VLOOKUP(all_lmics18[[Setting]:[Setting]],all_cause_mort[],6,FALSE)="",VLOOKUP(all_lmics18[[who_choice_region]:[who_choice_region]],missing[],10,FALSE),VLOOKUP(all_lmics18[[Setting]:[Setting]],all_cause_mort[],6,FALSE))</f>
        <v>2.7290753999999998E-4</v>
      </c>
      <c r="S69">
        <f>IF(VLOOKUP(all_lmics18[[Setting]:[Setting]],all_cause_mort[],7,FALSE)="",VLOOKUP(all_lmics18[[who_choice_region]:[who_choice_region]],missing[],11,FALSE),VLOOKUP(all_lmics18[[Setting]:[Setting]],all_cause_mort[],7,FALSE))</f>
        <v>2.4881863000000002E-4</v>
      </c>
      <c r="T69">
        <f>IF(VLOOKUP(all_lmics18[[Setting]:[Setting]],all_cause_mort[],8,FALSE)="",VLOOKUP(all_lmics18[[who_choice_region]:[who_choice_region]],missing[],12,FALSE),VLOOKUP(all_lmics18[[Setting]:[Setting]],all_cause_mort[],8,FALSE))</f>
        <v>5.7707774999999999E-4</v>
      </c>
      <c r="U69">
        <f>IF(VLOOKUP(all_lmics18[[Setting]:[Setting]],all_cause_mort[],9,FALSE)="",VLOOKUP(all_lmics18[[who_choice_region]:[who_choice_region]],missing[],13,FALSE),VLOOKUP(all_lmics18[[Setting]:[Setting]],all_cause_mort[],9,FALSE))</f>
        <v>7.5020697999999999E-4</v>
      </c>
      <c r="V69">
        <f>IF(VLOOKUP(all_lmics18[[Setting]:[Setting]],all_cause_mort[],10,FALSE)="",VLOOKUP(all_lmics18[[who_choice_region]:[who_choice_region]],missing[],14,FALSE),VLOOKUP(all_lmics18[[Setting]:[Setting]],all_cause_mort[],10,FALSE))</f>
        <v>7.6786260999999996E-4</v>
      </c>
      <c r="W69">
        <f>IF(VLOOKUP(all_lmics18[[Setting]:[Setting]],all_cause_mort[],11,FALSE)="",VLOOKUP(all_lmics18[[who_choice_region]:[who_choice_region]],missing[],15,FALSE),VLOOKUP(all_lmics18[[Setting]:[Setting]],all_cause_mort[],11,FALSE))</f>
        <v>9.2014482999999995E-4</v>
      </c>
      <c r="X69">
        <f>IF(VLOOKUP(all_lmics18[[Setting]:[Setting]],all_cause_mort[],12,FALSE)="",VLOOKUP(all_lmics18[[who_choice_region]:[who_choice_region]],missing[],16,FALSE),VLOOKUP(all_lmics18[[Setting]:[Setting]],all_cause_mort[],12,FALSE))</f>
        <v>1.2895789000000001E-3</v>
      </c>
      <c r="Y69">
        <f>IF(VLOOKUP(all_lmics18[[Setting]:[Setting]],all_cause_mort[],13,FALSE)="",VLOOKUP(all_lmics18[[who_choice_region]:[who_choice_region]],missing[],17,FALSE),VLOOKUP(all_lmics18[[Setting]:[Setting]],all_cause_mort[],13,FALSE))</f>
        <v>1.9906466000000002E-3</v>
      </c>
      <c r="Z69">
        <f>IF(VLOOKUP(all_lmics18[[Setting]:[Setting]],all_cause_mort[],14,FALSE)="",VLOOKUP(all_lmics18[[who_choice_region]:[who_choice_region]],missing[],18,FALSE),VLOOKUP(all_lmics18[[Setting]:[Setting]],all_cause_mort[],14,FALSE))</f>
        <v>3.2896677999999999E-3</v>
      </c>
      <c r="AA69">
        <f>IF(VLOOKUP(all_lmics18[[Setting]:[Setting]],all_cause_mort[],15,FALSE)="",VLOOKUP(all_lmics18[[who_choice_region]:[who_choice_region]],missing[],19,FALSE),VLOOKUP(all_lmics18[[Setting]:[Setting]],all_cause_mort[],15,FALSE))</f>
        <v>5.3850284000000002E-3</v>
      </c>
      <c r="AB69">
        <f>IF(VLOOKUP(all_lmics18[[Setting]:[Setting]],all_cause_mort[],16,FALSE)="",VLOOKUP(all_lmics18[[who_choice_region]:[who_choice_region]],missing[],20,FALSE),VLOOKUP(all_lmics18[[Setting]:[Setting]],all_cause_mort[],16,FALSE))</f>
        <v>8.7768015000000005E-3</v>
      </c>
      <c r="AC69">
        <f>IF(VLOOKUP(all_lmics18[[Setting]:[Setting]],all_cause_mort[],17,FALSE)="",VLOOKUP(all_lmics18[[who_choice_region]:[who_choice_region]],missing[],21,FALSE),VLOOKUP(all_lmics18[[Setting]:[Setting]],all_cause_mort[],17,FALSE))</f>
        <v>1.5764291E-2</v>
      </c>
      <c r="AD69">
        <f>IF(VLOOKUP(all_lmics18[[Setting]:[Setting]],all_cause_mort[],18,FALSE)="",VLOOKUP(all_lmics18[[who_choice_region]:[who_choice_region]],missing[],22,FALSE),VLOOKUP(all_lmics18[[Setting]:[Setting]],all_cause_mort[],18,FALSE))</f>
        <v>2.8201343E-2</v>
      </c>
      <c r="AE69">
        <f>IF(VLOOKUP(all_lmics18[[Setting]:[Setting]],all_cause_mort[],19,FALSE)="",VLOOKUP(all_lmics18[[who_choice_region]:[who_choice_region]],missing[],23,FALSE),VLOOKUP(all_lmics18[[Setting]:[Setting]],all_cause_mort[],19,FALSE))</f>
        <v>4.8257095E-2</v>
      </c>
      <c r="AF69">
        <f>IF(VLOOKUP(all_lmics18[[Setting]:[Setting]],all_cause_mort[],20,FALSE)="",VLOOKUP(all_lmics18[[who_choice_region]:[who_choice_region]],missing[],24,FALSE),VLOOKUP(all_lmics18[[Setting]:[Setting]],all_cause_mort[],20,FALSE))</f>
        <v>8.0932924000000003E-2</v>
      </c>
      <c r="AG69">
        <f>IF(VLOOKUP(all_lmics18[[Setting]:[Setting]],all_cause_mort[],21,FALSE)="",VLOOKUP(all_lmics18[[who_choice_region]:[who_choice_region]],missing[],25,FALSE),VLOOKUP(all_lmics18[[Setting]:[Setting]],all_cause_mort[],21,FALSE))</f>
        <v>0.13405503999999999</v>
      </c>
      <c r="AH69">
        <f>IF(VLOOKUP(all_lmics18[[Setting]:[Setting]],all_cause_mort[],22,FALSE)="",VLOOKUP(all_lmics18[[who_choice_region]:[who_choice_region]],missing[],26,FALSE),VLOOKUP(all_lmics18[[Setting]:[Setting]],all_cause_mort[],22,FALSE))</f>
        <v>0.21751577</v>
      </c>
      <c r="AI69">
        <f>IF(VLOOKUP(all_lmics18[[Setting]:[Setting]],all_cause_mort[],23,FALSE)="",VLOOKUP(all_lmics18[[who_choice_region]:[who_choice_region]],missing[],27,FALSE),VLOOKUP(all_lmics18[[Setting]:[Setting]],all_cause_mort[],23,FALSE))</f>
        <v>0.33408251</v>
      </c>
      <c r="AJ69">
        <f>IF(VLOOKUP(all_lmics18[[Setting]:[Setting]],all_cause_mort[],24,FALSE)="",VLOOKUP(all_lmics18[[who_choice_region]:[who_choice_region]],missing[],28,FALSE),VLOOKUP(all_lmics18[[Setting]:[Setting]],all_cause_mort[],24,FALSE))</f>
        <v>0.48425148000000001</v>
      </c>
      <c r="AK69">
        <f>IF(VLOOKUP(all_lmics18[[Setting]:[Setting]],all_cause_mort[],25,FALSE)="",VLOOKUP(all_lmics18[[who_choice_region]:[who_choice_region]],missing[],29,FALSE),VLOOKUP(all_lmics18[[Setting]:[Setting]],all_cause_mort[],25,FALSE))</f>
        <v>0.66030855558493895</v>
      </c>
      <c r="AL69">
        <f>VLOOKUP(all_lmics18[[worldbank_region]:[worldbank_region]],Table13[],2,FALSE)</f>
        <v>73.064384999999987</v>
      </c>
      <c r="AM69">
        <f>VLOOKUP(all_lmics18[[worldbank_region]:[worldbank_region]],Table13[],3,FALSE)</f>
        <v>73.064384999999987</v>
      </c>
      <c r="AN69">
        <f>VLOOKUP(all_lmics18[[worldbank_region]:[worldbank_region]],Table13[],4,FALSE)</f>
        <v>120.79324499999998</v>
      </c>
      <c r="AO69">
        <f>VLOOKUP(all_lmics18[[worldbank_region]:[worldbank_region]],Table13[],5,FALSE)</f>
        <v>120.79324499999998</v>
      </c>
      <c r="AP69">
        <f>VLOOKUP(all_lmics18[[worldbank_region]:[worldbank_region]],Table13[],6,FALSE)</f>
        <v>120.79324499999998</v>
      </c>
      <c r="AQ69">
        <f>VLOOKUP(all_lmics18[[worldbank_region]:[worldbank_region]],Table14[],2,FALSE)</f>
        <v>1.34029</v>
      </c>
      <c r="AR69">
        <f>VLOOKUP(all_lmics18[[worldbank_region]:[worldbank_region]],Table14[],3,FALSE)</f>
        <v>1.9577900000000001</v>
      </c>
      <c r="AS69">
        <f>VLOOKUP(all_lmics18[[worldbank_region]:[worldbank_region]],Table14[],4,FALSE)</f>
        <v>1.9723159999999997</v>
      </c>
      <c r="AT69">
        <f>VLOOKUP(all_lmics18[[worldbank_region]:[worldbank_region]],Table14[],5,FALSE)</f>
        <v>2.5898159999999999</v>
      </c>
      <c r="AU69">
        <f>VLOOKUP(all_lmics18[[worldbank_region]:[worldbank_region]],Table14[],6,FALSE)</f>
        <v>3.1600679999999999</v>
      </c>
      <c r="AV69">
        <f>IFERROR(VLOOKUP(all_lmics18[[Setting]:[Setting]],nFacSBA[],4,FALSE),VLOOKUP(all_lmics18[[who_choice_region]:[who_choice_region]],missing[],30,FALSE))</f>
        <v>0.15985670213371023</v>
      </c>
      <c r="AW69">
        <f>VLOOKUP(all_lmics18[[worldbank_region]:[worldbank_region]],hbe[],2)</f>
        <v>0.3</v>
      </c>
      <c r="AX69">
        <f>VLOOKUP(all_lmics18[[worldbank_region]:[worldbank_region]],hbe[],5)</f>
        <v>0.875</v>
      </c>
      <c r="AY69">
        <f>VLOOKUP(all_lmics18[[worldbank_region]:[worldbank_region]],hbe[],8)</f>
        <v>0.15</v>
      </c>
    </row>
    <row r="70" spans="1:51" x14ac:dyDescent="0.35">
      <c r="A70" s="12" t="s">
        <v>180</v>
      </c>
      <c r="B70" s="13" t="s">
        <v>33</v>
      </c>
      <c r="C70" s="14" t="s">
        <v>7</v>
      </c>
      <c r="D70">
        <f>VLOOKUP(all_lmics18[[Setting]:[Setting]],populations[],9,FALSE)</f>
        <v>32938213</v>
      </c>
      <c r="E70">
        <f>VLOOKUP(all_lmics18[[Setting]:[Setting]],birthrate[],3,FALSE)</f>
        <v>1.9562E-2</v>
      </c>
      <c r="F70">
        <f>all_lmics18[[#This Row],[2017_population]]*all_lmics18[[#This Row],[2016_birthrate]]</f>
        <v>644337.32270599995</v>
      </c>
      <c r="G70">
        <f>VLOOKUP(all_lmics18[[Setting]:[Setting]],birthdose[],4,FALSE)</f>
        <v>0.96</v>
      </c>
      <c r="H70">
        <f>VLOOKUP(all_lmics18[[Setting]:[Setting]],fullvax[],4,FALSE)</f>
        <v>0.98</v>
      </c>
      <c r="I70">
        <f>IFERROR(VLOOKUP(all_lmics18[[Setting]:[Setting]],prev[],3,FALSE),VLOOKUP(all_lmics18[[who_choice_region]:[who_choice_region]],missing[],2,FALSE))</f>
        <v>1.6E-2</v>
      </c>
      <c r="J70">
        <f>IFERROR(VLOOKUP(all_lmics18[[Setting]:[Setting]],prev[],4,FALSE),VLOOKUP(all_lmics18[[who_choice_region]:[who_choice_region]],missing[],3,FALSE))</f>
        <v>1.0999999999999999E-2</v>
      </c>
      <c r="K70">
        <f>IFERROR(VLOOKUP(all_lmics18[[Setting]:[Setting]],prev[],5,FALSE),VLOOKUP(all_lmics18[[who_choice_region]:[who_choice_region]],missing[],4,FALSE))</f>
        <v>1.9E-2</v>
      </c>
      <c r="L70">
        <f>IFERROR(VLOOKUP(all_lmics18[[Setting]:[Setting]],prev[],7,FALSE),VLOOKUP(all_lmics18[[who_choice_region]:[who_choice_region]],missing[],5,FALSE))</f>
        <v>1.5306122448979589E-3</v>
      </c>
      <c r="M70">
        <f>IFERROR(VLOOKUP(all_lmics18[[Setting]:[Setting]],prev[],6,FALSE),0)</f>
        <v>32938213</v>
      </c>
      <c r="N70">
        <f>IFERROR(VLOOKUP(all_lmics18[[Setting]:[Setting]],SBA[],4,FALSE),VLOOKUP(all_lmics18[[who_choice_region]:[who_choice_region]],missing[],6,FALSE))</f>
        <v>0.98</v>
      </c>
      <c r="O70">
        <f>IFERROR(VLOOKUP(all_lmics18[[Setting]:[Setting]], facility[], 3,FALSE),VLOOKUP(all_lmics18[[who_choice_region]:[who_choice_region]],missing[],7,FALSE))</f>
        <v>0.91</v>
      </c>
      <c r="P70">
        <f>IF(VLOOKUP(all_lmics18[[Setting]:[Setting]],all_cause_mort[],4,FALSE)="",VLOOKUP(all_lmics18[[who_choice_region]:[who_choice_region]],missing[],8,FALSE),VLOOKUP(all_lmics18[[Setting]:[Setting]],all_cause_mort[],4,FALSE))</f>
        <v>6.3419968999999998E-3</v>
      </c>
      <c r="Q70">
        <f>IF(VLOOKUP(all_lmics18[[Setting]:[Setting]],all_cause_mort[],5,FALSE)="",VLOOKUP(all_lmics18[[who_choice_region]:[who_choice_region]],missing[],9,FALSE),VLOOKUP(all_lmics18[[Setting]:[Setting]],all_cause_mort[],5,FALSE))</f>
        <v>2.6451985000000003E-4</v>
      </c>
      <c r="R70">
        <f>IF(VLOOKUP(all_lmics18[[Setting]:[Setting]],all_cause_mort[],6,FALSE)="",VLOOKUP(all_lmics18[[who_choice_region]:[who_choice_region]],missing[],10,FALSE),VLOOKUP(all_lmics18[[Setting]:[Setting]],all_cause_mort[],6,FALSE))</f>
        <v>5.4277182999999999E-4</v>
      </c>
      <c r="S70">
        <f>IF(VLOOKUP(all_lmics18[[Setting]:[Setting]],all_cause_mort[],7,FALSE)="",VLOOKUP(all_lmics18[[who_choice_region]:[who_choice_region]],missing[],11,FALSE),VLOOKUP(all_lmics18[[Setting]:[Setting]],all_cause_mort[],7,FALSE))</f>
        <v>5.6212410000000003E-4</v>
      </c>
      <c r="T70">
        <f>IF(VLOOKUP(all_lmics18[[Setting]:[Setting]],all_cause_mort[],8,FALSE)="",VLOOKUP(all_lmics18[[who_choice_region]:[who_choice_region]],missing[],12,FALSE),VLOOKUP(all_lmics18[[Setting]:[Setting]],all_cause_mort[],8,FALSE))</f>
        <v>8.9592507000000004E-4</v>
      </c>
      <c r="U70">
        <f>IF(VLOOKUP(all_lmics18[[Setting]:[Setting]],all_cause_mort[],9,FALSE)="",VLOOKUP(all_lmics18[[who_choice_region]:[who_choice_region]],missing[],13,FALSE),VLOOKUP(all_lmics18[[Setting]:[Setting]],all_cause_mort[],9,FALSE))</f>
        <v>9.8567514999999993E-4</v>
      </c>
      <c r="V70">
        <f>IF(VLOOKUP(all_lmics18[[Setting]:[Setting]],all_cause_mort[],10,FALSE)="",VLOOKUP(all_lmics18[[who_choice_region]:[who_choice_region]],missing[],14,FALSE),VLOOKUP(all_lmics18[[Setting]:[Setting]],all_cause_mort[],10,FALSE))</f>
        <v>6.0824421E-4</v>
      </c>
      <c r="W70">
        <f>IF(VLOOKUP(all_lmics18[[Setting]:[Setting]],all_cause_mort[],11,FALSE)="",VLOOKUP(all_lmics18[[who_choice_region]:[who_choice_region]],missing[],15,FALSE),VLOOKUP(all_lmics18[[Setting]:[Setting]],all_cause_mort[],11,FALSE))</f>
        <v>5.2892651000000001E-4</v>
      </c>
      <c r="X70">
        <f>IF(VLOOKUP(all_lmics18[[Setting]:[Setting]],all_cause_mort[],12,FALSE)="",VLOOKUP(all_lmics18[[who_choice_region]:[who_choice_region]],missing[],16,FALSE),VLOOKUP(all_lmics18[[Setting]:[Setting]],all_cause_mort[],12,FALSE))</f>
        <v>9.4709446999999996E-4</v>
      </c>
      <c r="Y70">
        <f>IF(VLOOKUP(all_lmics18[[Setting]:[Setting]],all_cause_mort[],13,FALSE)="",VLOOKUP(all_lmics18[[who_choice_region]:[who_choice_region]],missing[],17,FALSE),VLOOKUP(all_lmics18[[Setting]:[Setting]],all_cause_mort[],13,FALSE))</f>
        <v>1.7079094E-3</v>
      </c>
      <c r="Z70">
        <f>IF(VLOOKUP(all_lmics18[[Setting]:[Setting]],all_cause_mort[],14,FALSE)="",VLOOKUP(all_lmics18[[who_choice_region]:[who_choice_region]],missing[],18,FALSE),VLOOKUP(all_lmics18[[Setting]:[Setting]],all_cause_mort[],14,FALSE))</f>
        <v>2.1528374E-3</v>
      </c>
      <c r="AA70">
        <f>IF(VLOOKUP(all_lmics18[[Setting]:[Setting]],all_cause_mort[],15,FALSE)="",VLOOKUP(all_lmics18[[who_choice_region]:[who_choice_region]],missing[],19,FALSE),VLOOKUP(all_lmics18[[Setting]:[Setting]],all_cause_mort[],15,FALSE))</f>
        <v>3.9719137999999999E-3</v>
      </c>
      <c r="AB70">
        <f>IF(VLOOKUP(all_lmics18[[Setting]:[Setting]],all_cause_mort[],16,FALSE)="",VLOOKUP(all_lmics18[[who_choice_region]:[who_choice_region]],missing[],20,FALSE),VLOOKUP(all_lmics18[[Setting]:[Setting]],all_cause_mort[],16,FALSE))</f>
        <v>6.2684940999999999E-3</v>
      </c>
      <c r="AC70">
        <f>IF(VLOOKUP(all_lmics18[[Setting]:[Setting]],all_cause_mort[],17,FALSE)="",VLOOKUP(all_lmics18[[who_choice_region]:[who_choice_region]],missing[],21,FALSE),VLOOKUP(all_lmics18[[Setting]:[Setting]],all_cause_mort[],17,FALSE))</f>
        <v>1.6787277999999999E-2</v>
      </c>
      <c r="AD70">
        <f>IF(VLOOKUP(all_lmics18[[Setting]:[Setting]],all_cause_mort[],18,FALSE)="",VLOOKUP(all_lmics18[[who_choice_region]:[who_choice_region]],missing[],22,FALSE),VLOOKUP(all_lmics18[[Setting]:[Setting]],all_cause_mort[],18,FALSE))</f>
        <v>2.4004711000000001E-2</v>
      </c>
      <c r="AE70">
        <f>IF(VLOOKUP(all_lmics18[[Setting]:[Setting]],all_cause_mort[],19,FALSE)="",VLOOKUP(all_lmics18[[who_choice_region]:[who_choice_region]],missing[],23,FALSE),VLOOKUP(all_lmics18[[Setting]:[Setting]],all_cause_mort[],19,FALSE))</f>
        <v>4.9622014999999998E-2</v>
      </c>
      <c r="AF70">
        <f>IF(VLOOKUP(all_lmics18[[Setting]:[Setting]],all_cause_mort[],20,FALSE)="",VLOOKUP(all_lmics18[[who_choice_region]:[who_choice_region]],missing[],24,FALSE),VLOOKUP(all_lmics18[[Setting]:[Setting]],all_cause_mort[],20,FALSE))</f>
        <v>6.6967876999999995E-2</v>
      </c>
      <c r="AG70">
        <f>IF(VLOOKUP(all_lmics18[[Setting]:[Setting]],all_cause_mort[],21,FALSE)="",VLOOKUP(all_lmics18[[who_choice_region]:[who_choice_region]],missing[],25,FALSE),VLOOKUP(all_lmics18[[Setting]:[Setting]],all_cause_mort[],21,FALSE))</f>
        <v>0.11426190999999999</v>
      </c>
      <c r="AH70">
        <f>IF(VLOOKUP(all_lmics18[[Setting]:[Setting]],all_cause_mort[],22,FALSE)="",VLOOKUP(all_lmics18[[who_choice_region]:[who_choice_region]],missing[],26,FALSE),VLOOKUP(all_lmics18[[Setting]:[Setting]],all_cause_mort[],22,FALSE))</f>
        <v>0.16728042000000001</v>
      </c>
      <c r="AI70">
        <f>IF(VLOOKUP(all_lmics18[[Setting]:[Setting]],all_cause_mort[],23,FALSE)="",VLOOKUP(all_lmics18[[who_choice_region]:[who_choice_region]],missing[],27,FALSE),VLOOKUP(all_lmics18[[Setting]:[Setting]],all_cause_mort[],23,FALSE))</f>
        <v>0.2357051</v>
      </c>
      <c r="AJ70">
        <f>IF(VLOOKUP(all_lmics18[[Setting]:[Setting]],all_cause_mort[],24,FALSE)="",VLOOKUP(all_lmics18[[who_choice_region]:[who_choice_region]],missing[],28,FALSE),VLOOKUP(all_lmics18[[Setting]:[Setting]],all_cause_mort[],24,FALSE))</f>
        <v>0.33073139000000001</v>
      </c>
      <c r="AK70">
        <f>IF(VLOOKUP(all_lmics18[[Setting]:[Setting]],all_cause_mort[],25,FALSE)="",VLOOKUP(all_lmics18[[who_choice_region]:[who_choice_region]],missing[],29,FALSE),VLOOKUP(all_lmics18[[Setting]:[Setting]],all_cause_mort[],25,FALSE))</f>
        <v>0.46075220562080799</v>
      </c>
      <c r="AL70">
        <f>VLOOKUP(all_lmics18[[worldbank_region]:[worldbank_region]],Table13[],2,FALSE)</f>
        <v>57.906657999999993</v>
      </c>
      <c r="AM70">
        <f>VLOOKUP(all_lmics18[[worldbank_region]:[worldbank_region]],Table13[],3,FALSE)</f>
        <v>57.906657999999993</v>
      </c>
      <c r="AN70">
        <f>VLOOKUP(all_lmics18[[worldbank_region]:[worldbank_region]],Table13[],4,FALSE)</f>
        <v>105.63551799999999</v>
      </c>
      <c r="AO70">
        <f>VLOOKUP(all_lmics18[[worldbank_region]:[worldbank_region]],Table13[],5,FALSE)</f>
        <v>105.63551799999999</v>
      </c>
      <c r="AP70">
        <f>VLOOKUP(all_lmics18[[worldbank_region]:[worldbank_region]],Table13[],6,FALSE)</f>
        <v>105.63551799999999</v>
      </c>
      <c r="AQ70">
        <f>VLOOKUP(all_lmics18[[worldbank_region]:[worldbank_region]],Table14[],2,FALSE)</f>
        <v>1.5037449999999999</v>
      </c>
      <c r="AR70">
        <f>VLOOKUP(all_lmics18[[worldbank_region]:[worldbank_region]],Table14[],3,FALSE)</f>
        <v>2.121245</v>
      </c>
      <c r="AS70">
        <f>VLOOKUP(all_lmics18[[worldbank_region]:[worldbank_region]],Table14[],4,FALSE)</f>
        <v>1.9832129999999999</v>
      </c>
      <c r="AT70">
        <f>VLOOKUP(all_lmics18[[worldbank_region]:[worldbank_region]],Table14[],5,FALSE)</f>
        <v>2.6007129999999998</v>
      </c>
      <c r="AU70">
        <f>VLOOKUP(all_lmics18[[worldbank_region]:[worldbank_region]],Table14[],6,FALSE)</f>
        <v>3.1709649999999998</v>
      </c>
      <c r="AV70">
        <f>IFERROR(VLOOKUP(all_lmics18[[Setting]:[Setting]],nFacSBA[],4,FALSE),VLOOKUP(all_lmics18[[who_choice_region]:[who_choice_region]],missing[],30,FALSE))</f>
        <v>0.38783437593130843</v>
      </c>
      <c r="AW70">
        <f>VLOOKUP(all_lmics18[[worldbank_region]:[worldbank_region]],hbe[],2)</f>
        <v>0.3</v>
      </c>
      <c r="AX70">
        <f>VLOOKUP(all_lmics18[[worldbank_region]:[worldbank_region]],hbe[],5)</f>
        <v>0.875</v>
      </c>
      <c r="AY70">
        <f>VLOOKUP(all_lmics18[[worldbank_region]:[worldbank_region]],hbe[],8)</f>
        <v>0.15</v>
      </c>
    </row>
    <row r="71" spans="1:51" x14ac:dyDescent="0.35">
      <c r="A71" s="8" t="s">
        <v>181</v>
      </c>
      <c r="B71" s="10" t="s">
        <v>14</v>
      </c>
      <c r="C71" s="11" t="s">
        <v>15</v>
      </c>
      <c r="D71">
        <f>VLOOKUP(all_lmics18[[Setting]:[Setting]],populations[],9,FALSE)</f>
        <v>15850567</v>
      </c>
      <c r="E71">
        <f>VLOOKUP(all_lmics18[[Setting]:[Setting]],birthrate[],3,FALSE)</f>
        <v>3.5598999999999999E-2</v>
      </c>
      <c r="F71">
        <f>all_lmics18[[#This Row],[2017_population]]*all_lmics18[[#This Row],[2016_birthrate]]</f>
        <v>564264.33463299996</v>
      </c>
      <c r="G71">
        <f>VLOOKUP(all_lmics18[[Setting]:[Setting]],birthdose[],4,FALSE)</f>
        <v>0.72</v>
      </c>
      <c r="H71">
        <f>VLOOKUP(all_lmics18[[Setting]:[Setting]],fullvax[],4,FALSE)</f>
        <v>0.91</v>
      </c>
      <c r="I71">
        <f>IFERROR(VLOOKUP(all_lmics18[[Setting]:[Setting]],prev[],3,FALSE),VLOOKUP(all_lmics18[[who_choice_region]:[who_choice_region]],missing[],2,FALSE))</f>
        <v>8.1000000000000003E-2</v>
      </c>
      <c r="J71">
        <f>IFERROR(VLOOKUP(all_lmics18[[Setting]:[Setting]],prev[],4,FALSE),VLOOKUP(all_lmics18[[who_choice_region]:[who_choice_region]],missing[],3,FALSE))</f>
        <v>7.4999999999999997E-2</v>
      </c>
      <c r="K71">
        <f>IFERROR(VLOOKUP(all_lmics18[[Setting]:[Setting]],prev[],5,FALSE),VLOOKUP(all_lmics18[[who_choice_region]:[who_choice_region]],missing[],4,FALSE))</f>
        <v>0.09</v>
      </c>
      <c r="L71">
        <f>IFERROR(VLOOKUP(all_lmics18[[Setting]:[Setting]],prev[],7,FALSE),VLOOKUP(all_lmics18[[who_choice_region]:[who_choice_region]],missing[],5,FALSE))</f>
        <v>4.5918367346938745E-3</v>
      </c>
      <c r="M71">
        <f>IFERROR(VLOOKUP(all_lmics18[[Setting]:[Setting]],prev[],6,FALSE),0)</f>
        <v>15850567</v>
      </c>
      <c r="N71">
        <f>IFERROR(VLOOKUP(all_lmics18[[Setting]:[Setting]],SBA[],4,FALSE),VLOOKUP(all_lmics18[[who_choice_region]:[who_choice_region]],missing[],6,FALSE))</f>
        <v>0.58599999999999997</v>
      </c>
      <c r="O71">
        <f>IFERROR(VLOOKUP(all_lmics18[[Setting]:[Setting]], facility[], 3,FALSE),VLOOKUP(all_lmics18[[who_choice_region]:[who_choice_region]],missing[],7,FALSE))</f>
        <v>0.745</v>
      </c>
      <c r="P71">
        <f>IF(VLOOKUP(all_lmics18[[Setting]:[Setting]],all_cause_mort[],4,FALSE)="",VLOOKUP(all_lmics18[[who_choice_region]:[who_choice_region]],missing[],8,FALSE),VLOOKUP(all_lmics18[[Setting]:[Setting]],all_cause_mort[],4,FALSE))</f>
        <v>3.3701546999999998E-2</v>
      </c>
      <c r="Q71">
        <f>IF(VLOOKUP(all_lmics18[[Setting]:[Setting]],all_cause_mort[],5,FALSE)="",VLOOKUP(all_lmics18[[who_choice_region]:[who_choice_region]],missing[],9,FALSE),VLOOKUP(all_lmics18[[Setting]:[Setting]],all_cause_mort[],5,FALSE))</f>
        <v>3.0930983E-3</v>
      </c>
      <c r="R71">
        <f>IF(VLOOKUP(all_lmics18[[Setting]:[Setting]],all_cause_mort[],6,FALSE)="",VLOOKUP(all_lmics18[[who_choice_region]:[who_choice_region]],missing[],10,FALSE),VLOOKUP(all_lmics18[[Setting]:[Setting]],all_cause_mort[],6,FALSE))</f>
        <v>1.2407778E-3</v>
      </c>
      <c r="S71">
        <f>IF(VLOOKUP(all_lmics18[[Setting]:[Setting]],all_cause_mort[],7,FALSE)="",VLOOKUP(all_lmics18[[who_choice_region]:[who_choice_region]],missing[],11,FALSE),VLOOKUP(all_lmics18[[Setting]:[Setting]],all_cause_mort[],7,FALSE))</f>
        <v>8.6711961999999998E-4</v>
      </c>
      <c r="T71">
        <f>IF(VLOOKUP(all_lmics18[[Setting]:[Setting]],all_cause_mort[],8,FALSE)="",VLOOKUP(all_lmics18[[who_choice_region]:[who_choice_region]],missing[],12,FALSE),VLOOKUP(all_lmics18[[Setting]:[Setting]],all_cause_mort[],8,FALSE))</f>
        <v>1.3511974999999999E-3</v>
      </c>
      <c r="U71">
        <f>IF(VLOOKUP(all_lmics18[[Setting]:[Setting]],all_cause_mort[],9,FALSE)="",VLOOKUP(all_lmics18[[who_choice_region]:[who_choice_region]],missing[],13,FALSE),VLOOKUP(all_lmics18[[Setting]:[Setting]],all_cause_mort[],9,FALSE))</f>
        <v>1.9678428999999999E-3</v>
      </c>
      <c r="V71">
        <f>IF(VLOOKUP(all_lmics18[[Setting]:[Setting]],all_cause_mort[],10,FALSE)="",VLOOKUP(all_lmics18[[who_choice_region]:[who_choice_region]],missing[],14,FALSE),VLOOKUP(all_lmics18[[Setting]:[Setting]],all_cause_mort[],10,FALSE))</f>
        <v>2.1377251000000001E-3</v>
      </c>
      <c r="W71">
        <f>IF(VLOOKUP(all_lmics18[[Setting]:[Setting]],all_cause_mort[],11,FALSE)="",VLOOKUP(all_lmics18[[who_choice_region]:[who_choice_region]],missing[],15,FALSE),VLOOKUP(all_lmics18[[Setting]:[Setting]],all_cause_mort[],11,FALSE))</f>
        <v>2.4965353999999999E-3</v>
      </c>
      <c r="X71">
        <f>IF(VLOOKUP(all_lmics18[[Setting]:[Setting]],all_cause_mort[],12,FALSE)="",VLOOKUP(all_lmics18[[who_choice_region]:[who_choice_region]],missing[],16,FALSE),VLOOKUP(all_lmics18[[Setting]:[Setting]],all_cause_mort[],12,FALSE))</f>
        <v>2.9943255000000001E-3</v>
      </c>
      <c r="Y71">
        <f>IF(VLOOKUP(all_lmics18[[Setting]:[Setting]],all_cause_mort[],13,FALSE)="",VLOOKUP(all_lmics18[[who_choice_region]:[who_choice_region]],missing[],17,FALSE),VLOOKUP(all_lmics18[[Setting]:[Setting]],all_cause_mort[],13,FALSE))</f>
        <v>3.967089E-3</v>
      </c>
      <c r="Z71">
        <f>IF(VLOOKUP(all_lmics18[[Setting]:[Setting]],all_cause_mort[],14,FALSE)="",VLOOKUP(all_lmics18[[who_choice_region]:[who_choice_region]],missing[],18,FALSE),VLOOKUP(all_lmics18[[Setting]:[Setting]],all_cause_mort[],14,FALSE))</f>
        <v>5.3099808999999996E-3</v>
      </c>
      <c r="AA71">
        <f>IF(VLOOKUP(all_lmics18[[Setting]:[Setting]],all_cause_mort[],15,FALSE)="",VLOOKUP(all_lmics18[[who_choice_region]:[who_choice_region]],missing[],19,FALSE),VLOOKUP(all_lmics18[[Setting]:[Setting]],all_cause_mort[],15,FALSE))</f>
        <v>7.8618781000000006E-3</v>
      </c>
      <c r="AB71">
        <f>IF(VLOOKUP(all_lmics18[[Setting]:[Setting]],all_cause_mort[],16,FALSE)="",VLOOKUP(all_lmics18[[who_choice_region]:[who_choice_region]],missing[],20,FALSE),VLOOKUP(all_lmics18[[Setting]:[Setting]],all_cause_mort[],16,FALSE))</f>
        <v>1.1597504999999999E-2</v>
      </c>
      <c r="AC71">
        <f>IF(VLOOKUP(all_lmics18[[Setting]:[Setting]],all_cause_mort[],17,FALSE)="",VLOOKUP(all_lmics18[[who_choice_region]:[who_choice_region]],missing[],21,FALSE),VLOOKUP(all_lmics18[[Setting]:[Setting]],all_cause_mort[],17,FALSE))</f>
        <v>1.8480442999999999E-2</v>
      </c>
      <c r="AD71">
        <f>IF(VLOOKUP(all_lmics18[[Setting]:[Setting]],all_cause_mort[],18,FALSE)="",VLOOKUP(all_lmics18[[who_choice_region]:[who_choice_region]],missing[],22,FALSE),VLOOKUP(all_lmics18[[Setting]:[Setting]],all_cause_mort[],18,FALSE))</f>
        <v>2.9956621999999999E-2</v>
      </c>
      <c r="AE71">
        <f>IF(VLOOKUP(all_lmics18[[Setting]:[Setting]],all_cause_mort[],19,FALSE)="",VLOOKUP(all_lmics18[[who_choice_region]:[who_choice_region]],missing[],23,FALSE),VLOOKUP(all_lmics18[[Setting]:[Setting]],all_cause_mort[],19,FALSE))</f>
        <v>5.2323379000000003E-2</v>
      </c>
      <c r="AF71">
        <f>IF(VLOOKUP(all_lmics18[[Setting]:[Setting]],all_cause_mort[],20,FALSE)="",VLOOKUP(all_lmics18[[who_choice_region]:[who_choice_region]],missing[],24,FALSE),VLOOKUP(all_lmics18[[Setting]:[Setting]],all_cause_mort[],20,FALSE))</f>
        <v>9.1602731000000007E-2</v>
      </c>
      <c r="AG71">
        <f>IF(VLOOKUP(all_lmics18[[Setting]:[Setting]],all_cause_mort[],21,FALSE)="",VLOOKUP(all_lmics18[[who_choice_region]:[who_choice_region]],missing[],25,FALSE),VLOOKUP(all_lmics18[[Setting]:[Setting]],all_cause_mort[],21,FALSE))</f>
        <v>0.15743705</v>
      </c>
      <c r="AH71">
        <f>IF(VLOOKUP(all_lmics18[[Setting]:[Setting]],all_cause_mort[],22,FALSE)="",VLOOKUP(all_lmics18[[who_choice_region]:[who_choice_region]],missing[],26,FALSE),VLOOKUP(all_lmics18[[Setting]:[Setting]],all_cause_mort[],22,FALSE))</f>
        <v>0.25368640999999997</v>
      </c>
      <c r="AI71">
        <f>IF(VLOOKUP(all_lmics18[[Setting]:[Setting]],all_cause_mort[],23,FALSE)="",VLOOKUP(all_lmics18[[who_choice_region]:[who_choice_region]],missing[],27,FALSE),VLOOKUP(all_lmics18[[Setting]:[Setting]],all_cause_mort[],23,FALSE))</f>
        <v>0.38221699999999997</v>
      </c>
      <c r="AJ71">
        <f>IF(VLOOKUP(all_lmics18[[Setting]:[Setting]],all_cause_mort[],24,FALSE)="",VLOOKUP(all_lmics18[[who_choice_region]:[who_choice_region]],missing[],28,FALSE),VLOOKUP(all_lmics18[[Setting]:[Setting]],all_cause_mort[],24,FALSE))</f>
        <v>0.51628342999999999</v>
      </c>
      <c r="AK71">
        <f>IF(VLOOKUP(all_lmics18[[Setting]:[Setting]],all_cause_mort[],25,FALSE)="",VLOOKUP(all_lmics18[[who_choice_region]:[who_choice_region]],missing[],29,FALSE),VLOOKUP(all_lmics18[[Setting]:[Setting]],all_cause_mort[],25,FALSE))</f>
        <v>0.84393733562738005</v>
      </c>
      <c r="AL71">
        <f>VLOOKUP(all_lmics18[[worldbank_region]:[worldbank_region]],Table13[],2,FALSE)</f>
        <v>29.912264999999998</v>
      </c>
      <c r="AM71">
        <f>VLOOKUP(all_lmics18[[worldbank_region]:[worldbank_region]],Table13[],3,FALSE)</f>
        <v>29.912264999999998</v>
      </c>
      <c r="AN71">
        <f>VLOOKUP(all_lmics18[[worldbank_region]:[worldbank_region]],Table13[],4,FALSE)</f>
        <v>77.641124999999988</v>
      </c>
      <c r="AO71">
        <f>VLOOKUP(all_lmics18[[worldbank_region]:[worldbank_region]],Table13[],5,FALSE)</f>
        <v>77.641124999999988</v>
      </c>
      <c r="AP71">
        <f>VLOOKUP(all_lmics18[[worldbank_region]:[worldbank_region]],Table13[],6,FALSE)</f>
        <v>77.641124999999988</v>
      </c>
      <c r="AQ71">
        <f>VLOOKUP(all_lmics18[[worldbank_region]:[worldbank_region]],Table14[],2,FALSE)</f>
        <v>0.96979199999999999</v>
      </c>
      <c r="AR71">
        <f>VLOOKUP(all_lmics18[[worldbank_region]:[worldbank_region]],Table14[],3,FALSE)</f>
        <v>1.5872920000000001</v>
      </c>
      <c r="AS71">
        <f>VLOOKUP(all_lmics18[[worldbank_region]:[worldbank_region]],Table14[],4,FALSE)</f>
        <v>5.7971629999999994</v>
      </c>
      <c r="AT71">
        <f>VLOOKUP(all_lmics18[[worldbank_region]:[worldbank_region]],Table14[],5,FALSE)</f>
        <v>6.4146629999999991</v>
      </c>
      <c r="AU71">
        <f>VLOOKUP(all_lmics18[[worldbank_region]:[worldbank_region]],Table14[],6,FALSE)</f>
        <v>6.9849149999999991</v>
      </c>
      <c r="AV71">
        <f>IFERROR(VLOOKUP(all_lmics18[[Setting]:[Setting]],nFacSBA[],4,FALSE),VLOOKUP(all_lmics18[[who_choice_region]:[who_choice_region]],missing[],30,FALSE))</f>
        <v>5.0152257536883779E-2</v>
      </c>
      <c r="AW71">
        <f>VLOOKUP(all_lmics18[[worldbank_region]:[worldbank_region]],hbe[],2)</f>
        <v>0.3</v>
      </c>
      <c r="AX71">
        <f>VLOOKUP(all_lmics18[[worldbank_region]:[worldbank_region]],hbe[],5)</f>
        <v>0.875</v>
      </c>
      <c r="AY71">
        <f>VLOOKUP(all_lmics18[[worldbank_region]:[worldbank_region]],hbe[],8)</f>
        <v>0.15</v>
      </c>
    </row>
    <row r="72" spans="1:51" x14ac:dyDescent="0.35">
      <c r="A72" s="12" t="s">
        <v>188</v>
      </c>
      <c r="B72" s="13" t="s">
        <v>57</v>
      </c>
      <c r="C72" s="14" t="s">
        <v>58</v>
      </c>
      <c r="D72">
        <f>VLOOKUP(all_lmics18[[Setting]:[Setting]],populations[],9,FALSE)</f>
        <v>611343</v>
      </c>
      <c r="E72">
        <f>VLOOKUP(all_lmics18[[Setting]:[Setting]],birthrate[],3,FALSE)</f>
        <v>2.8713000000000002E-2</v>
      </c>
      <c r="F72">
        <f>all_lmics18[[#This Row],[2017_population]]*all_lmics18[[#This Row],[2016_birthrate]]</f>
        <v>17553.491559000002</v>
      </c>
      <c r="G72">
        <f>VLOOKUP(all_lmics18[[Setting]:[Setting]],birthdose[],4,FALSE)</f>
        <v>0.67</v>
      </c>
      <c r="H72">
        <f>VLOOKUP(all_lmics18[[Setting]:[Setting]],fullvax[],4,FALSE)</f>
        <v>0.99</v>
      </c>
      <c r="I72">
        <f>IFERROR(VLOOKUP(all_lmics18[[Setting]:[Setting]],prev[],3,FALSE),VLOOKUP(all_lmics18[[who_choice_region]:[who_choice_region]],missing[],2,FALSE))</f>
        <v>0.1883</v>
      </c>
      <c r="J72">
        <f>IFERROR(VLOOKUP(all_lmics18[[Setting]:[Setting]],prev[],4,FALSE),VLOOKUP(all_lmics18[[who_choice_region]:[who_choice_region]],missing[],3,FALSE))</f>
        <v>0.1757</v>
      </c>
      <c r="K72">
        <f>IFERROR(VLOOKUP(all_lmics18[[Setting]:[Setting]],prev[],5,FALSE),VLOOKUP(all_lmics18[[who_choice_region]:[who_choice_region]],missing[],4,FALSE))</f>
        <v>0.20150000000000001</v>
      </c>
      <c r="L72">
        <f>IFERROR(VLOOKUP(all_lmics18[[Setting]:[Setting]],prev[],7,FALSE),VLOOKUP(all_lmics18[[who_choice_region]:[who_choice_region]],missing[],5,FALSE))</f>
        <v>6.7346938775510292E-3</v>
      </c>
      <c r="M72">
        <f>IFERROR(VLOOKUP(all_lmics18[[Setting]:[Setting]],prev[],6,FALSE),0)</f>
        <v>527790</v>
      </c>
      <c r="N72">
        <f>IFERROR(VLOOKUP(all_lmics18[[Setting]:[Setting]],SBA[],4,FALSE),VLOOKUP(all_lmics18[[who_choice_region]:[who_choice_region]],missing[],6,FALSE))</f>
        <v>0.86199999999999999</v>
      </c>
      <c r="O72">
        <f>IFERROR(VLOOKUP(all_lmics18[[Setting]:[Setting]], facility[], 3,FALSE),VLOOKUP(all_lmics18[[who_choice_region]:[who_choice_region]],missing[],7,FALSE))</f>
        <v>0.84499999999999997</v>
      </c>
      <c r="P72">
        <f>IF(VLOOKUP(all_lmics18[[Setting]:[Setting]],all_cause_mort[],4,FALSE)="",VLOOKUP(all_lmics18[[who_choice_region]:[who_choice_region]],missing[],8,FALSE),VLOOKUP(all_lmics18[[Setting]:[Setting]],all_cause_mort[],4,FALSE))</f>
        <v>1.5676563000000001E-2</v>
      </c>
      <c r="Q72">
        <f>IF(VLOOKUP(all_lmics18[[Setting]:[Setting]],all_cause_mort[],5,FALSE)="",VLOOKUP(all_lmics18[[who_choice_region]:[who_choice_region]],missing[],9,FALSE),VLOOKUP(all_lmics18[[Setting]:[Setting]],all_cause_mort[],5,FALSE))</f>
        <v>1.1885070000000001E-3</v>
      </c>
      <c r="R72">
        <f>IF(VLOOKUP(all_lmics18[[Setting]:[Setting]],all_cause_mort[],6,FALSE)="",VLOOKUP(all_lmics18[[who_choice_region]:[who_choice_region]],missing[],10,FALSE),VLOOKUP(all_lmics18[[Setting]:[Setting]],all_cause_mort[],6,FALSE))</f>
        <v>4.3504211000000001E-4</v>
      </c>
      <c r="S72">
        <f>IF(VLOOKUP(all_lmics18[[Setting]:[Setting]],all_cause_mort[],7,FALSE)="",VLOOKUP(all_lmics18[[who_choice_region]:[who_choice_region]],missing[],11,FALSE),VLOOKUP(all_lmics18[[Setting]:[Setting]],all_cause_mort[],7,FALSE))</f>
        <v>4.0059477000000001E-4</v>
      </c>
      <c r="T72">
        <f>IF(VLOOKUP(all_lmics18[[Setting]:[Setting]],all_cause_mort[],8,FALSE)="",VLOOKUP(all_lmics18[[who_choice_region]:[who_choice_region]],missing[],12,FALSE),VLOOKUP(all_lmics18[[Setting]:[Setting]],all_cause_mort[],8,FALSE))</f>
        <v>8.8013375E-4</v>
      </c>
      <c r="U72">
        <f>IF(VLOOKUP(all_lmics18[[Setting]:[Setting]],all_cause_mort[],9,FALSE)="",VLOOKUP(all_lmics18[[who_choice_region]:[who_choice_region]],missing[],13,FALSE),VLOOKUP(all_lmics18[[Setting]:[Setting]],all_cause_mort[],9,FALSE))</f>
        <v>1.1545195000000001E-3</v>
      </c>
      <c r="V72">
        <f>IF(VLOOKUP(all_lmics18[[Setting]:[Setting]],all_cause_mort[],10,FALSE)="",VLOOKUP(all_lmics18[[who_choice_region]:[who_choice_region]],missing[],14,FALSE),VLOOKUP(all_lmics18[[Setting]:[Setting]],all_cause_mort[],10,FALSE))</f>
        <v>1.2182426E-3</v>
      </c>
      <c r="W72">
        <f>IF(VLOOKUP(all_lmics18[[Setting]:[Setting]],all_cause_mort[],11,FALSE)="",VLOOKUP(all_lmics18[[who_choice_region]:[who_choice_region]],missing[],15,FALSE),VLOOKUP(all_lmics18[[Setting]:[Setting]],all_cause_mort[],11,FALSE))</f>
        <v>1.4485531E-3</v>
      </c>
      <c r="X72">
        <f>IF(VLOOKUP(all_lmics18[[Setting]:[Setting]],all_cause_mort[],12,FALSE)="",VLOOKUP(all_lmics18[[who_choice_region]:[who_choice_region]],missing[],16,FALSE),VLOOKUP(all_lmics18[[Setting]:[Setting]],all_cause_mort[],12,FALSE))</f>
        <v>1.9529415000000001E-3</v>
      </c>
      <c r="Y72">
        <f>IF(VLOOKUP(all_lmics18[[Setting]:[Setting]],all_cause_mort[],13,FALSE)="",VLOOKUP(all_lmics18[[who_choice_region]:[who_choice_region]],missing[],17,FALSE),VLOOKUP(all_lmics18[[Setting]:[Setting]],all_cause_mort[],13,FALSE))</f>
        <v>2.8183841000000002E-3</v>
      </c>
      <c r="Z72">
        <f>IF(VLOOKUP(all_lmics18[[Setting]:[Setting]],all_cause_mort[],14,FALSE)="",VLOOKUP(all_lmics18[[who_choice_region]:[who_choice_region]],missing[],18,FALSE),VLOOKUP(all_lmics18[[Setting]:[Setting]],all_cause_mort[],14,FALSE))</f>
        <v>4.3580193999999996E-3</v>
      </c>
      <c r="AA72">
        <f>IF(VLOOKUP(all_lmics18[[Setting]:[Setting]],all_cause_mort[],15,FALSE)="",VLOOKUP(all_lmics18[[who_choice_region]:[who_choice_region]],missing[],19,FALSE),VLOOKUP(all_lmics18[[Setting]:[Setting]],all_cause_mort[],15,FALSE))</f>
        <v>6.8130214E-3</v>
      </c>
      <c r="AB72">
        <f>IF(VLOOKUP(all_lmics18[[Setting]:[Setting]],all_cause_mort[],16,FALSE)="",VLOOKUP(all_lmics18[[who_choice_region]:[who_choice_region]],missing[],20,FALSE),VLOOKUP(all_lmics18[[Setting]:[Setting]],all_cause_mort[],16,FALSE))</f>
        <v>1.0731584000000001E-2</v>
      </c>
      <c r="AC72">
        <f>IF(VLOOKUP(all_lmics18[[Setting]:[Setting]],all_cause_mort[],17,FALSE)="",VLOOKUP(all_lmics18[[who_choice_region]:[who_choice_region]],missing[],21,FALSE),VLOOKUP(all_lmics18[[Setting]:[Setting]],all_cause_mort[],17,FALSE))</f>
        <v>1.6194627999999999E-2</v>
      </c>
      <c r="AD72">
        <f>IF(VLOOKUP(all_lmics18[[Setting]:[Setting]],all_cause_mort[],18,FALSE)="",VLOOKUP(all_lmics18[[who_choice_region]:[who_choice_region]],missing[],22,FALSE),VLOOKUP(all_lmics18[[Setting]:[Setting]],all_cause_mort[],18,FALSE))</f>
        <v>2.4325448999999999E-2</v>
      </c>
      <c r="AE72">
        <f>IF(VLOOKUP(all_lmics18[[Setting]:[Setting]],all_cause_mort[],19,FALSE)="",VLOOKUP(all_lmics18[[who_choice_region]:[who_choice_region]],missing[],23,FALSE),VLOOKUP(all_lmics18[[Setting]:[Setting]],all_cause_mort[],19,FALSE))</f>
        <v>3.8457981000000002E-2</v>
      </c>
      <c r="AF72">
        <f>IF(VLOOKUP(all_lmics18[[Setting]:[Setting]],all_cause_mort[],20,FALSE)="",VLOOKUP(all_lmics18[[who_choice_region]:[who_choice_region]],missing[],24,FALSE),VLOOKUP(all_lmics18[[Setting]:[Setting]],all_cause_mort[],20,FALSE))</f>
        <v>6.4409590000000003E-2</v>
      </c>
      <c r="AG72">
        <f>IF(VLOOKUP(all_lmics18[[Setting]:[Setting]],all_cause_mort[],21,FALSE)="",VLOOKUP(all_lmics18[[who_choice_region]:[who_choice_region]],missing[],25,FALSE),VLOOKUP(all_lmics18[[Setting]:[Setting]],all_cause_mort[],21,FALSE))</f>
        <v>0.10541418</v>
      </c>
      <c r="AH72">
        <f>IF(VLOOKUP(all_lmics18[[Setting]:[Setting]],all_cause_mort[],22,FALSE)="",VLOOKUP(all_lmics18[[who_choice_region]:[who_choice_region]],missing[],26,FALSE),VLOOKUP(all_lmics18[[Setting]:[Setting]],all_cause_mort[],22,FALSE))</f>
        <v>0.16893850999999999</v>
      </c>
      <c r="AI72">
        <f>IF(VLOOKUP(all_lmics18[[Setting]:[Setting]],all_cause_mort[],23,FALSE)="",VLOOKUP(all_lmics18[[who_choice_region]:[who_choice_region]],missing[],27,FALSE),VLOOKUP(all_lmics18[[Setting]:[Setting]],all_cause_mort[],23,FALSE))</f>
        <v>0.25410733000000002</v>
      </c>
      <c r="AJ72">
        <f>IF(VLOOKUP(all_lmics18[[Setting]:[Setting]],all_cause_mort[],24,FALSE)="",VLOOKUP(all_lmics18[[who_choice_region]:[who_choice_region]],missing[],28,FALSE),VLOOKUP(all_lmics18[[Setting]:[Setting]],all_cause_mort[],24,FALSE))</f>
        <v>0.36252000000000001</v>
      </c>
      <c r="AK72">
        <f>IF(VLOOKUP(all_lmics18[[Setting]:[Setting]],all_cause_mort[],25,FALSE)="",VLOOKUP(all_lmics18[[who_choice_region]:[who_choice_region]],missing[],29,FALSE),VLOOKUP(all_lmics18[[Setting]:[Setting]],all_cause_mort[],25,FALSE))</f>
        <v>0.49190680491084299</v>
      </c>
      <c r="AL72">
        <f>VLOOKUP(all_lmics18[[worldbank_region]:[worldbank_region]],Table13[],2,FALSE)</f>
        <v>73.064384999999987</v>
      </c>
      <c r="AM72">
        <f>VLOOKUP(all_lmics18[[worldbank_region]:[worldbank_region]],Table13[],3,FALSE)</f>
        <v>73.064384999999987</v>
      </c>
      <c r="AN72">
        <f>VLOOKUP(all_lmics18[[worldbank_region]:[worldbank_region]],Table13[],4,FALSE)</f>
        <v>120.79324499999998</v>
      </c>
      <c r="AO72">
        <f>VLOOKUP(all_lmics18[[worldbank_region]:[worldbank_region]],Table13[],5,FALSE)</f>
        <v>120.79324499999998</v>
      </c>
      <c r="AP72">
        <f>VLOOKUP(all_lmics18[[worldbank_region]:[worldbank_region]],Table13[],6,FALSE)</f>
        <v>120.79324499999998</v>
      </c>
      <c r="AQ72">
        <f>VLOOKUP(all_lmics18[[worldbank_region]:[worldbank_region]],Table14[],2,FALSE)</f>
        <v>1.34029</v>
      </c>
      <c r="AR72">
        <f>VLOOKUP(all_lmics18[[worldbank_region]:[worldbank_region]],Table14[],3,FALSE)</f>
        <v>1.9577900000000001</v>
      </c>
      <c r="AS72">
        <f>VLOOKUP(all_lmics18[[worldbank_region]:[worldbank_region]],Table14[],4,FALSE)</f>
        <v>1.9723159999999997</v>
      </c>
      <c r="AT72">
        <f>VLOOKUP(all_lmics18[[worldbank_region]:[worldbank_region]],Table14[],5,FALSE)</f>
        <v>2.5898159999999999</v>
      </c>
      <c r="AU72">
        <f>VLOOKUP(all_lmics18[[worldbank_region]:[worldbank_region]],Table14[],6,FALSE)</f>
        <v>3.1600679999999999</v>
      </c>
      <c r="AV72">
        <f>IFERROR(VLOOKUP(all_lmics18[[Setting]:[Setting]],nFacSBA[],4,FALSE),VLOOKUP(all_lmics18[[who_choice_region]:[who_choice_region]],missing[],30,FALSE))</f>
        <v>0.15985670213371023</v>
      </c>
      <c r="AW72">
        <f>VLOOKUP(all_lmics18[[worldbank_region]:[worldbank_region]],hbe[],2)</f>
        <v>0.3</v>
      </c>
      <c r="AX72">
        <f>VLOOKUP(all_lmics18[[worldbank_region]:[worldbank_region]],hbe[],5)</f>
        <v>0.875</v>
      </c>
      <c r="AY72">
        <f>VLOOKUP(all_lmics18[[worldbank_region]:[worldbank_region]],hbe[],8)</f>
        <v>0.15</v>
      </c>
    </row>
    <row r="73" spans="1:51" x14ac:dyDescent="0.35">
      <c r="A73" s="8" t="s">
        <v>195</v>
      </c>
      <c r="B73" s="10" t="s">
        <v>22</v>
      </c>
      <c r="C73" s="11" t="s">
        <v>383</v>
      </c>
      <c r="D73">
        <f>VLOOKUP(all_lmics18[[Setting]:[Setting]],populations[],9,FALSE)</f>
        <v>563402</v>
      </c>
      <c r="E73">
        <f>VLOOKUP(all_lmics18[[Setting]:[Setting]],birthrate[],3,FALSE)</f>
        <v>1.8216E-2</v>
      </c>
      <c r="F73">
        <f>all_lmics18[[#This Row],[2017_population]]*all_lmics18[[#This Row],[2016_birthrate]]</f>
        <v>10262.930832</v>
      </c>
      <c r="G73">
        <f>VLOOKUP(all_lmics18[[Setting]:[Setting]],birthdose[],4,FALSE)</f>
        <v>0.8</v>
      </c>
      <c r="H73">
        <f>VLOOKUP(all_lmics18[[Setting]:[Setting]],fullvax[],4,FALSE)</f>
        <v>0.81</v>
      </c>
      <c r="I73">
        <f>IFERROR(VLOOKUP(all_lmics18[[Setting]:[Setting]],prev[],3,FALSE),VLOOKUP(all_lmics18[[who_choice_region]:[who_choice_region]],missing[],2,FALSE))</f>
        <v>3.9100000000000003E-2</v>
      </c>
      <c r="J73">
        <f>IFERROR(VLOOKUP(all_lmics18[[Setting]:[Setting]],prev[],4,FALSE),VLOOKUP(all_lmics18[[who_choice_region]:[who_choice_region]],missing[],3,FALSE))</f>
        <v>2.9700000000000001E-2</v>
      </c>
      <c r="K73">
        <f>IFERROR(VLOOKUP(all_lmics18[[Setting]:[Setting]],prev[],5,FALSE),VLOOKUP(all_lmics18[[who_choice_region]:[who_choice_region]],missing[],4,FALSE))</f>
        <v>5.1400000000000001E-2</v>
      </c>
      <c r="L73">
        <f>IFERROR(VLOOKUP(all_lmics18[[Setting]:[Setting]],prev[],7,FALSE),VLOOKUP(all_lmics18[[who_choice_region]:[who_choice_region]],missing[],5,FALSE))</f>
        <v>6.2755102040816316E-3</v>
      </c>
      <c r="M73">
        <f>IFERROR(VLOOKUP(all_lmics18[[Setting]:[Setting]],prev[],6,FALSE),0)</f>
        <v>526103</v>
      </c>
      <c r="N73">
        <f>IFERROR(VLOOKUP(all_lmics18[[Setting]:[Setting]],SBA[],4,FALSE),VLOOKUP(all_lmics18[[who_choice_region]:[who_choice_region]],missing[],6,FALSE))</f>
        <v>0.8</v>
      </c>
      <c r="O73">
        <f>IFERROR(VLOOKUP(all_lmics18[[Setting]:[Setting]], facility[], 3,FALSE),VLOOKUP(all_lmics18[[who_choice_region]:[who_choice_region]],missing[],7,FALSE))</f>
        <v>0.92299999999999993</v>
      </c>
      <c r="P73">
        <f>IF(VLOOKUP(all_lmics18[[Setting]:[Setting]],all_cause_mort[],4,FALSE)="",VLOOKUP(all_lmics18[[who_choice_region]:[who_choice_region]],missing[],8,FALSE),VLOOKUP(all_lmics18[[Setting]:[Setting]],all_cause_mort[],4,FALSE))</f>
        <v>1.7777304000000001E-2</v>
      </c>
      <c r="Q73">
        <f>IF(VLOOKUP(all_lmics18[[Setting]:[Setting]],all_cause_mort[],5,FALSE)="",VLOOKUP(all_lmics18[[who_choice_region]:[who_choice_region]],missing[],9,FALSE),VLOOKUP(all_lmics18[[Setting]:[Setting]],all_cause_mort[],5,FALSE))</f>
        <v>5.2781243000000002E-4</v>
      </c>
      <c r="R73">
        <f>IF(VLOOKUP(all_lmics18[[Setting]:[Setting]],all_cause_mort[],6,FALSE)="",VLOOKUP(all_lmics18[[who_choice_region]:[who_choice_region]],missing[],10,FALSE),VLOOKUP(all_lmics18[[Setting]:[Setting]],all_cause_mort[],6,FALSE))</f>
        <v>5.5168294999999995E-4</v>
      </c>
      <c r="S73">
        <f>IF(VLOOKUP(all_lmics18[[Setting]:[Setting]],all_cause_mort[],7,FALSE)="",VLOOKUP(all_lmics18[[who_choice_region]:[who_choice_region]],missing[],11,FALSE),VLOOKUP(all_lmics18[[Setting]:[Setting]],all_cause_mort[],7,FALSE))</f>
        <v>3.1566464E-4</v>
      </c>
      <c r="T73">
        <f>IF(VLOOKUP(all_lmics18[[Setting]:[Setting]],all_cause_mort[],8,FALSE)="",VLOOKUP(all_lmics18[[who_choice_region]:[who_choice_region]],missing[],12,FALSE),VLOOKUP(all_lmics18[[Setting]:[Setting]],all_cause_mort[],8,FALSE))</f>
        <v>5.7592972999999999E-4</v>
      </c>
      <c r="U73">
        <f>IF(VLOOKUP(all_lmics18[[Setting]:[Setting]],all_cause_mort[],9,FALSE)="",VLOOKUP(all_lmics18[[who_choice_region]:[who_choice_region]],missing[],13,FALSE),VLOOKUP(all_lmics18[[Setting]:[Setting]],all_cause_mort[],9,FALSE))</f>
        <v>1.1778171999999999E-3</v>
      </c>
      <c r="V73">
        <f>IF(VLOOKUP(all_lmics18[[Setting]:[Setting]],all_cause_mort[],10,FALSE)="",VLOOKUP(all_lmics18[[who_choice_region]:[who_choice_region]],missing[],14,FALSE),VLOOKUP(all_lmics18[[Setting]:[Setting]],all_cause_mort[],10,FALSE))</f>
        <v>1.9046491E-3</v>
      </c>
      <c r="W73">
        <f>IF(VLOOKUP(all_lmics18[[Setting]:[Setting]],all_cause_mort[],11,FALSE)="",VLOOKUP(all_lmics18[[who_choice_region]:[who_choice_region]],missing[],15,FALSE),VLOOKUP(all_lmics18[[Setting]:[Setting]],all_cause_mort[],11,FALSE))</f>
        <v>2.5845357E-3</v>
      </c>
      <c r="X73">
        <f>IF(VLOOKUP(all_lmics18[[Setting]:[Setting]],all_cause_mort[],12,FALSE)="",VLOOKUP(all_lmics18[[who_choice_region]:[who_choice_region]],missing[],16,FALSE),VLOOKUP(all_lmics18[[Setting]:[Setting]],all_cause_mort[],12,FALSE))</f>
        <v>3.2410093000000001E-3</v>
      </c>
      <c r="Y73">
        <f>IF(VLOOKUP(all_lmics18[[Setting]:[Setting]],all_cause_mort[],13,FALSE)="",VLOOKUP(all_lmics18[[who_choice_region]:[who_choice_region]],missing[],17,FALSE),VLOOKUP(all_lmics18[[Setting]:[Setting]],all_cause_mort[],13,FALSE))</f>
        <v>3.9719279E-3</v>
      </c>
      <c r="Z73">
        <f>IF(VLOOKUP(all_lmics18[[Setting]:[Setting]],all_cause_mort[],14,FALSE)="",VLOOKUP(all_lmics18[[who_choice_region]:[who_choice_region]],missing[],18,FALSE),VLOOKUP(all_lmics18[[Setting]:[Setting]],all_cause_mort[],14,FALSE))</f>
        <v>5.1181836999999999E-3</v>
      </c>
      <c r="AA73">
        <f>IF(VLOOKUP(all_lmics18[[Setting]:[Setting]],all_cause_mort[],15,FALSE)="",VLOOKUP(all_lmics18[[who_choice_region]:[who_choice_region]],missing[],19,FALSE),VLOOKUP(all_lmics18[[Setting]:[Setting]],all_cause_mort[],15,FALSE))</f>
        <v>7.4558296E-3</v>
      </c>
      <c r="AB73">
        <f>IF(VLOOKUP(all_lmics18[[Setting]:[Setting]],all_cause_mort[],16,FALSE)="",VLOOKUP(all_lmics18[[who_choice_region]:[who_choice_region]],missing[],20,FALSE),VLOOKUP(all_lmics18[[Setting]:[Setting]],all_cause_mort[],16,FALSE))</f>
        <v>1.1667092E-2</v>
      </c>
      <c r="AC73">
        <f>IF(VLOOKUP(all_lmics18[[Setting]:[Setting]],all_cause_mort[],17,FALSE)="",VLOOKUP(all_lmics18[[who_choice_region]:[who_choice_region]],missing[],21,FALSE),VLOOKUP(all_lmics18[[Setting]:[Setting]],all_cause_mort[],17,FALSE))</f>
        <v>1.8290562999999999E-2</v>
      </c>
      <c r="AD73">
        <f>IF(VLOOKUP(all_lmics18[[Setting]:[Setting]],all_cause_mort[],18,FALSE)="",VLOOKUP(all_lmics18[[who_choice_region]:[who_choice_region]],missing[],22,FALSE),VLOOKUP(all_lmics18[[Setting]:[Setting]],all_cause_mort[],18,FALSE))</f>
        <v>2.8251730999999999E-2</v>
      </c>
      <c r="AE73">
        <f>IF(VLOOKUP(all_lmics18[[Setting]:[Setting]],all_cause_mort[],19,FALSE)="",VLOOKUP(all_lmics18[[who_choice_region]:[who_choice_region]],missing[],23,FALSE),VLOOKUP(all_lmics18[[Setting]:[Setting]],all_cause_mort[],19,FALSE))</f>
        <v>4.3296299000000003E-2</v>
      </c>
      <c r="AF73">
        <f>IF(VLOOKUP(all_lmics18[[Setting]:[Setting]],all_cause_mort[],20,FALSE)="",VLOOKUP(all_lmics18[[who_choice_region]:[who_choice_region]],missing[],24,FALSE),VLOOKUP(all_lmics18[[Setting]:[Setting]],all_cause_mort[],20,FALSE))</f>
        <v>6.6042428E-2</v>
      </c>
      <c r="AG73">
        <f>IF(VLOOKUP(all_lmics18[[Setting]:[Setting]],all_cause_mort[],21,FALSE)="",VLOOKUP(all_lmics18[[who_choice_region]:[who_choice_region]],missing[],25,FALSE),VLOOKUP(all_lmics18[[Setting]:[Setting]],all_cause_mort[],21,FALSE))</f>
        <v>0.10010595</v>
      </c>
      <c r="AH73">
        <f>IF(VLOOKUP(all_lmics18[[Setting]:[Setting]],all_cause_mort[],22,FALSE)="",VLOOKUP(all_lmics18[[who_choice_region]:[who_choice_region]],missing[],26,FALSE),VLOOKUP(all_lmics18[[Setting]:[Setting]],all_cause_mort[],22,FALSE))</f>
        <v>0.14854708999999999</v>
      </c>
      <c r="AI73">
        <f>IF(VLOOKUP(all_lmics18[[Setting]:[Setting]],all_cause_mort[],23,FALSE)="",VLOOKUP(all_lmics18[[who_choice_region]:[who_choice_region]],missing[],27,FALSE),VLOOKUP(all_lmics18[[Setting]:[Setting]],all_cause_mort[],23,FALSE))</f>
        <v>0.21396841</v>
      </c>
      <c r="AJ73">
        <f>IF(VLOOKUP(all_lmics18[[Setting]:[Setting]],all_cause_mort[],24,FALSE)="",VLOOKUP(all_lmics18[[who_choice_region]:[who_choice_region]],missing[],28,FALSE),VLOOKUP(all_lmics18[[Setting]:[Setting]],all_cause_mort[],24,FALSE))</f>
        <v>0.29570102999999998</v>
      </c>
      <c r="AK73">
        <f>IF(VLOOKUP(all_lmics18[[Setting]:[Setting]],all_cause_mort[],25,FALSE)="",VLOOKUP(all_lmics18[[who_choice_region]:[who_choice_region]],missing[],29,FALSE),VLOOKUP(all_lmics18[[Setting]:[Setting]],all_cause_mort[],25,FALSE))</f>
        <v>0.40853488197468102</v>
      </c>
      <c r="AL73">
        <f>VLOOKUP(all_lmics18[[worldbank_region]:[worldbank_region]],Table13[],2,FALSE)</f>
        <v>86.85998699999999</v>
      </c>
      <c r="AM73">
        <f>VLOOKUP(all_lmics18[[worldbank_region]:[worldbank_region]],Table13[],3,FALSE)</f>
        <v>86.85998699999999</v>
      </c>
      <c r="AN73">
        <f>VLOOKUP(all_lmics18[[worldbank_region]:[worldbank_region]],Table13[],4,FALSE)</f>
        <v>134.58884699999999</v>
      </c>
      <c r="AO73">
        <f>VLOOKUP(all_lmics18[[worldbank_region]:[worldbank_region]],Table13[],5,FALSE)</f>
        <v>134.58884699999999</v>
      </c>
      <c r="AP73">
        <f>VLOOKUP(all_lmics18[[worldbank_region]:[worldbank_region]],Table13[],6,FALSE)</f>
        <v>134.58884699999999</v>
      </c>
      <c r="AQ73">
        <f>VLOOKUP(all_lmics18[[worldbank_region]:[worldbank_region]],Table14[],2,FALSE)</f>
        <v>1.514642</v>
      </c>
      <c r="AR73">
        <f>VLOOKUP(all_lmics18[[worldbank_region]:[worldbank_region]],Table14[],3,FALSE)</f>
        <v>2.132142</v>
      </c>
      <c r="AS73">
        <f>VLOOKUP(all_lmics18[[worldbank_region]:[worldbank_region]],Table14[],4,FALSE)</f>
        <v>1.5364360000000001</v>
      </c>
      <c r="AT73">
        <f>VLOOKUP(all_lmics18[[worldbank_region]:[worldbank_region]],Table14[],5,FALSE)</f>
        <v>2.1539359999999999</v>
      </c>
      <c r="AU73">
        <f>VLOOKUP(all_lmics18[[worldbank_region]:[worldbank_region]],Table14[],6,FALSE)</f>
        <v>2.7241879999999998</v>
      </c>
      <c r="AV73">
        <f>IFERROR(VLOOKUP(all_lmics18[[Setting]:[Setting]],nFacSBA[],4,FALSE),VLOOKUP(all_lmics18[[who_choice_region]:[who_choice_region]],missing[],30,FALSE))</f>
        <v>0.57676644532060584</v>
      </c>
      <c r="AW73">
        <f>VLOOKUP(all_lmics18[[worldbank_region]:[worldbank_region]],hbe[],2)</f>
        <v>0.3</v>
      </c>
      <c r="AX73">
        <f>VLOOKUP(all_lmics18[[worldbank_region]:[worldbank_region]],hbe[],5)</f>
        <v>0.875</v>
      </c>
      <c r="AY73">
        <f>VLOOKUP(all_lmics18[[worldbank_region]:[worldbank_region]],hbe[],8)</f>
        <v>0.15</v>
      </c>
    </row>
    <row r="74" spans="1:51" x14ac:dyDescent="0.35">
      <c r="A74" s="8" t="s">
        <v>199</v>
      </c>
      <c r="B74" s="10" t="s">
        <v>33</v>
      </c>
      <c r="C74" s="11" t="s">
        <v>7</v>
      </c>
      <c r="D74">
        <f>VLOOKUP(all_lmics18[[Setting]:[Setting]],populations[],9,FALSE)</f>
        <v>18269868</v>
      </c>
      <c r="E74">
        <f>VLOOKUP(all_lmics18[[Setting]:[Setting]],birthrate[],3,FALSE)</f>
        <v>2.1472000000000002E-2</v>
      </c>
      <c r="F74">
        <f>all_lmics18[[#This Row],[2017_population]]*all_lmics18[[#This Row],[2016_birthrate]]</f>
        <v>392290.60569600004</v>
      </c>
      <c r="G74">
        <f>VLOOKUP(all_lmics18[[Setting]:[Setting]],birthdose[],4,FALSE)</f>
        <v>0.69</v>
      </c>
      <c r="H74">
        <f>VLOOKUP(all_lmics18[[Setting]:[Setting]],fullvax[],4,FALSE)</f>
        <v>0.52</v>
      </c>
      <c r="I74">
        <f>IFERROR(VLOOKUP(all_lmics18[[Setting]:[Setting]],prev[],3,FALSE),VLOOKUP(all_lmics18[[who_choice_region]:[who_choice_region]],missing[],2,FALSE))</f>
        <v>5.7000000000000002E-2</v>
      </c>
      <c r="J74">
        <f>IFERROR(VLOOKUP(all_lmics18[[Setting]:[Setting]],prev[],4,FALSE),VLOOKUP(all_lmics18[[who_choice_region]:[who_choice_region]],missing[],3,FALSE))</f>
        <v>3.2000000000000001E-2</v>
      </c>
      <c r="K74">
        <f>IFERROR(VLOOKUP(all_lmics18[[Setting]:[Setting]],prev[],5,FALSE),VLOOKUP(all_lmics18[[who_choice_region]:[who_choice_region]],missing[],4,FALSE))</f>
        <v>6.5000000000000002E-2</v>
      </c>
      <c r="L74">
        <f>IFERROR(VLOOKUP(all_lmics18[[Setting]:[Setting]],prev[],7,FALSE),VLOOKUP(all_lmics18[[who_choice_region]:[who_choice_region]],missing[],5,FALSE))</f>
        <v>4.0816326530612249E-3</v>
      </c>
      <c r="M74">
        <f>IFERROR(VLOOKUP(all_lmics18[[Setting]:[Setting]],prev[],6,FALSE),0)</f>
        <v>18269868</v>
      </c>
      <c r="N74">
        <f>IFERROR(VLOOKUP(all_lmics18[[Setting]:[Setting]],SBA[],4,FALSE),VLOOKUP(all_lmics18[[who_choice_region]:[who_choice_region]],missing[],6,FALSE))</f>
        <v>0.96200000000000008</v>
      </c>
      <c r="O74">
        <f>IFERROR(VLOOKUP(all_lmics18[[Setting]:[Setting]], facility[], 3,FALSE),VLOOKUP(all_lmics18[[who_choice_region]:[who_choice_region]],missing[],7,FALSE))</f>
        <v>0.78200000000000003</v>
      </c>
      <c r="P74">
        <f>IF(VLOOKUP(all_lmics18[[Setting]:[Setting]],all_cause_mort[],4,FALSE)="",VLOOKUP(all_lmics18[[who_choice_region]:[who_choice_region]],missing[],8,FALSE),VLOOKUP(all_lmics18[[Setting]:[Setting]],all_cause_mort[],4,FALSE))</f>
        <v>1.5766444000000001E-2</v>
      </c>
      <c r="Q74">
        <f>IF(VLOOKUP(all_lmics18[[Setting]:[Setting]],all_cause_mort[],5,FALSE)="",VLOOKUP(all_lmics18[[who_choice_region]:[who_choice_region]],missing[],9,FALSE),VLOOKUP(all_lmics18[[Setting]:[Setting]],all_cause_mort[],5,FALSE))</f>
        <v>5.6704656000000002E-4</v>
      </c>
      <c r="R74">
        <f>IF(VLOOKUP(all_lmics18[[Setting]:[Setting]],all_cause_mort[],6,FALSE)="",VLOOKUP(all_lmics18[[who_choice_region]:[who_choice_region]],missing[],10,FALSE),VLOOKUP(all_lmics18[[Setting]:[Setting]],all_cause_mort[],6,FALSE))</f>
        <v>3.5489574000000001E-4</v>
      </c>
      <c r="S74">
        <f>IF(VLOOKUP(all_lmics18[[Setting]:[Setting]],all_cause_mort[],7,FALSE)="",VLOOKUP(all_lmics18[[who_choice_region]:[who_choice_region]],missing[],11,FALSE),VLOOKUP(all_lmics18[[Setting]:[Setting]],all_cause_mort[],7,FALSE))</f>
        <v>3.1630391999999999E-4</v>
      </c>
      <c r="T74">
        <f>IF(VLOOKUP(all_lmics18[[Setting]:[Setting]],all_cause_mort[],8,FALSE)="",VLOOKUP(all_lmics18[[who_choice_region]:[who_choice_region]],missing[],12,FALSE),VLOOKUP(all_lmics18[[Setting]:[Setting]],all_cause_mort[],8,FALSE))</f>
        <v>2.1570409000000001E-3</v>
      </c>
      <c r="U74">
        <f>IF(VLOOKUP(all_lmics18[[Setting]:[Setting]],all_cause_mort[],9,FALSE)="",VLOOKUP(all_lmics18[[who_choice_region]:[who_choice_region]],missing[],13,FALSE),VLOOKUP(all_lmics18[[Setting]:[Setting]],all_cause_mort[],9,FALSE))</f>
        <v>3.1574026999999999E-3</v>
      </c>
      <c r="V74">
        <f>IF(VLOOKUP(all_lmics18[[Setting]:[Setting]],all_cause_mort[],10,FALSE)="",VLOOKUP(all_lmics18[[who_choice_region]:[who_choice_region]],missing[],14,FALSE),VLOOKUP(all_lmics18[[Setting]:[Setting]],all_cause_mort[],10,FALSE))</f>
        <v>4.7024954999999998E-3</v>
      </c>
      <c r="W74">
        <f>IF(VLOOKUP(all_lmics18[[Setting]:[Setting]],all_cause_mort[],11,FALSE)="",VLOOKUP(all_lmics18[[who_choice_region]:[who_choice_region]],missing[],15,FALSE),VLOOKUP(all_lmics18[[Setting]:[Setting]],all_cause_mort[],11,FALSE))</f>
        <v>4.0357984999999999E-3</v>
      </c>
      <c r="X74">
        <f>IF(VLOOKUP(all_lmics18[[Setting]:[Setting]],all_cause_mort[],12,FALSE)="",VLOOKUP(all_lmics18[[who_choice_region]:[who_choice_region]],missing[],16,FALSE),VLOOKUP(all_lmics18[[Setting]:[Setting]],all_cause_mort[],12,FALSE))</f>
        <v>2.7400561999999999E-3</v>
      </c>
      <c r="Y74">
        <f>IF(VLOOKUP(all_lmics18[[Setting]:[Setting]],all_cause_mort[],13,FALSE)="",VLOOKUP(all_lmics18[[who_choice_region]:[who_choice_region]],missing[],17,FALSE),VLOOKUP(all_lmics18[[Setting]:[Setting]],all_cause_mort[],13,FALSE))</f>
        <v>2.7402773999999999E-3</v>
      </c>
      <c r="Z74">
        <f>IF(VLOOKUP(all_lmics18[[Setting]:[Setting]],all_cause_mort[],14,FALSE)="",VLOOKUP(all_lmics18[[who_choice_region]:[who_choice_region]],missing[],18,FALSE),VLOOKUP(all_lmics18[[Setting]:[Setting]],all_cause_mort[],14,FALSE))</f>
        <v>4.1048001000000001E-3</v>
      </c>
      <c r="AA74">
        <f>IF(VLOOKUP(all_lmics18[[Setting]:[Setting]],all_cause_mort[],15,FALSE)="",VLOOKUP(all_lmics18[[who_choice_region]:[who_choice_region]],missing[],19,FALSE),VLOOKUP(all_lmics18[[Setting]:[Setting]],all_cause_mort[],15,FALSE))</f>
        <v>6.7285174999999996E-3</v>
      </c>
      <c r="AB74">
        <f>IF(VLOOKUP(all_lmics18[[Setting]:[Setting]],all_cause_mort[],16,FALSE)="",VLOOKUP(all_lmics18[[who_choice_region]:[who_choice_region]],missing[],20,FALSE),VLOOKUP(all_lmics18[[Setting]:[Setting]],all_cause_mort[],16,FALSE))</f>
        <v>8.2698318000000003E-3</v>
      </c>
      <c r="AC74">
        <f>IF(VLOOKUP(all_lmics18[[Setting]:[Setting]],all_cause_mort[],17,FALSE)="",VLOOKUP(all_lmics18[[who_choice_region]:[who_choice_region]],missing[],21,FALSE),VLOOKUP(all_lmics18[[Setting]:[Setting]],all_cause_mort[],17,FALSE))</f>
        <v>1.3416941999999999E-2</v>
      </c>
      <c r="AD74">
        <f>IF(VLOOKUP(all_lmics18[[Setting]:[Setting]],all_cause_mort[],18,FALSE)="",VLOOKUP(all_lmics18[[who_choice_region]:[who_choice_region]],missing[],22,FALSE),VLOOKUP(all_lmics18[[Setting]:[Setting]],all_cause_mort[],18,FALSE))</f>
        <v>2.2714427999999998E-2</v>
      </c>
      <c r="AE74">
        <f>IF(VLOOKUP(all_lmics18[[Setting]:[Setting]],all_cause_mort[],19,FALSE)="",VLOOKUP(all_lmics18[[who_choice_region]:[who_choice_region]],missing[],23,FALSE),VLOOKUP(all_lmics18[[Setting]:[Setting]],all_cause_mort[],19,FALSE))</f>
        <v>3.8772622E-2</v>
      </c>
      <c r="AF74">
        <f>IF(VLOOKUP(all_lmics18[[Setting]:[Setting]],all_cause_mort[],20,FALSE)="",VLOOKUP(all_lmics18[[who_choice_region]:[who_choice_region]],missing[],24,FALSE),VLOOKUP(all_lmics18[[Setting]:[Setting]],all_cause_mort[],20,FALSE))</f>
        <v>5.9679504000000001E-2</v>
      </c>
      <c r="AG74">
        <f>IF(VLOOKUP(all_lmics18[[Setting]:[Setting]],all_cause_mort[],21,FALSE)="",VLOOKUP(all_lmics18[[who_choice_region]:[who_choice_region]],missing[],25,FALSE),VLOOKUP(all_lmics18[[Setting]:[Setting]],all_cause_mort[],21,FALSE))</f>
        <v>0.10429607</v>
      </c>
      <c r="AH74">
        <f>IF(VLOOKUP(all_lmics18[[Setting]:[Setting]],all_cause_mort[],22,FALSE)="",VLOOKUP(all_lmics18[[who_choice_region]:[who_choice_region]],missing[],26,FALSE),VLOOKUP(all_lmics18[[Setting]:[Setting]],all_cause_mort[],22,FALSE))</f>
        <v>0.17082674</v>
      </c>
      <c r="AI74">
        <f>IF(VLOOKUP(all_lmics18[[Setting]:[Setting]],all_cause_mort[],23,FALSE)="",VLOOKUP(all_lmics18[[who_choice_region]:[who_choice_region]],missing[],27,FALSE),VLOOKUP(all_lmics18[[Setting]:[Setting]],all_cause_mort[],23,FALSE))</f>
        <v>0.26694573999999999</v>
      </c>
      <c r="AJ74">
        <f>IF(VLOOKUP(all_lmics18[[Setting]:[Setting]],all_cause_mort[],24,FALSE)="",VLOOKUP(all_lmics18[[who_choice_region]:[who_choice_region]],missing[],28,FALSE),VLOOKUP(all_lmics18[[Setting]:[Setting]],all_cause_mort[],24,FALSE))</f>
        <v>0.37423364999999997</v>
      </c>
      <c r="AK74">
        <f>IF(VLOOKUP(all_lmics18[[Setting]:[Setting]],all_cause_mort[],25,FALSE)="",VLOOKUP(all_lmics18[[who_choice_region]:[who_choice_region]],missing[],29,FALSE),VLOOKUP(all_lmics18[[Setting]:[Setting]],all_cause_mort[],25,FALSE))</f>
        <v>0.50454392256663505</v>
      </c>
      <c r="AL74">
        <f>VLOOKUP(all_lmics18[[worldbank_region]:[worldbank_region]],Table13[],2,FALSE)</f>
        <v>57.906657999999993</v>
      </c>
      <c r="AM74">
        <f>VLOOKUP(all_lmics18[[worldbank_region]:[worldbank_region]],Table13[],3,FALSE)</f>
        <v>57.906657999999993</v>
      </c>
      <c r="AN74">
        <f>VLOOKUP(all_lmics18[[worldbank_region]:[worldbank_region]],Table13[],4,FALSE)</f>
        <v>105.63551799999999</v>
      </c>
      <c r="AO74">
        <f>VLOOKUP(all_lmics18[[worldbank_region]:[worldbank_region]],Table13[],5,FALSE)</f>
        <v>105.63551799999999</v>
      </c>
      <c r="AP74">
        <f>VLOOKUP(all_lmics18[[worldbank_region]:[worldbank_region]],Table13[],6,FALSE)</f>
        <v>105.63551799999999</v>
      </c>
      <c r="AQ74">
        <f>VLOOKUP(all_lmics18[[worldbank_region]:[worldbank_region]],Table14[],2,FALSE)</f>
        <v>1.5037449999999999</v>
      </c>
      <c r="AR74">
        <f>VLOOKUP(all_lmics18[[worldbank_region]:[worldbank_region]],Table14[],3,FALSE)</f>
        <v>2.121245</v>
      </c>
      <c r="AS74">
        <f>VLOOKUP(all_lmics18[[worldbank_region]:[worldbank_region]],Table14[],4,FALSE)</f>
        <v>1.9832129999999999</v>
      </c>
      <c r="AT74">
        <f>VLOOKUP(all_lmics18[[worldbank_region]:[worldbank_region]],Table14[],5,FALSE)</f>
        <v>2.6007129999999998</v>
      </c>
      <c r="AU74">
        <f>VLOOKUP(all_lmics18[[worldbank_region]:[worldbank_region]],Table14[],6,FALSE)</f>
        <v>3.1709649999999998</v>
      </c>
      <c r="AV74">
        <f>IFERROR(VLOOKUP(all_lmics18[[Setting]:[Setting]],nFacSBA[],4,FALSE),VLOOKUP(all_lmics18[[who_choice_region]:[who_choice_region]],missing[],30,FALSE))</f>
        <v>0.38783437593130843</v>
      </c>
      <c r="AW74">
        <f>VLOOKUP(all_lmics18[[worldbank_region]:[worldbank_region]],hbe[],2)</f>
        <v>0.3</v>
      </c>
      <c r="AX74">
        <f>VLOOKUP(all_lmics18[[worldbank_region]:[worldbank_region]],hbe[],5)</f>
        <v>0.875</v>
      </c>
      <c r="AY74">
        <f>VLOOKUP(all_lmics18[[worldbank_region]:[worldbank_region]],hbe[],8)</f>
        <v>0.15</v>
      </c>
    </row>
    <row r="75" spans="1:51" x14ac:dyDescent="0.35">
      <c r="A75" s="12" t="s">
        <v>200</v>
      </c>
      <c r="B75" s="13" t="s">
        <v>10</v>
      </c>
      <c r="C75" s="14" t="s">
        <v>11</v>
      </c>
      <c r="D75">
        <f>VLOOKUP(all_lmics18[[Setting]:[Setting]],populations[],9,FALSE)</f>
        <v>8921343</v>
      </c>
      <c r="E75">
        <f>VLOOKUP(all_lmics18[[Setting]:[Setting]],birthrate[],3,FALSE)</f>
        <v>2.8842E-2</v>
      </c>
      <c r="F75">
        <f>all_lmics18[[#This Row],[2017_population]]*all_lmics18[[#This Row],[2016_birthrate]]</f>
        <v>257309.37480600001</v>
      </c>
      <c r="G75">
        <f>VLOOKUP(all_lmics18[[Setting]:[Setting]],birthdose[],4,FALSE)</f>
        <v>0.99</v>
      </c>
      <c r="H75">
        <f>VLOOKUP(all_lmics18[[Setting]:[Setting]],fullvax[],4,FALSE)</f>
        <v>0.96</v>
      </c>
      <c r="I75">
        <f>IFERROR(VLOOKUP(all_lmics18[[Setting]:[Setting]],prev[],3,FALSE),VLOOKUP(all_lmics18[[who_choice_region]:[who_choice_region]],missing[],2,FALSE))</f>
        <v>6.7000000000000004E-2</v>
      </c>
      <c r="J75">
        <f>IFERROR(VLOOKUP(all_lmics18[[Setting]:[Setting]],prev[],4,FALSE),VLOOKUP(all_lmics18[[who_choice_region]:[who_choice_region]],missing[],3,FALSE))</f>
        <v>5.6000000000000001E-2</v>
      </c>
      <c r="K75">
        <f>IFERROR(VLOOKUP(all_lmics18[[Setting]:[Setting]],prev[],5,FALSE),VLOOKUP(all_lmics18[[who_choice_region]:[who_choice_region]],missing[],4,FALSE))</f>
        <v>8.5999999999999993E-2</v>
      </c>
      <c r="L75">
        <f>IFERROR(VLOOKUP(all_lmics18[[Setting]:[Setting]],prev[],7,FALSE),VLOOKUP(all_lmics18[[who_choice_region]:[who_choice_region]],missing[],5,FALSE))</f>
        <v>9.693877551020403E-3</v>
      </c>
      <c r="M75">
        <f>IFERROR(VLOOKUP(all_lmics18[[Setting]:[Setting]],prev[],6,FALSE),0)</f>
        <v>8921343</v>
      </c>
      <c r="N75">
        <f>IFERROR(VLOOKUP(all_lmics18[[Setting]:[Setting]],SBA[],4,FALSE),VLOOKUP(all_lmics18[[who_choice_region]:[who_choice_region]],missing[],6,FALSE))</f>
        <v>0.90300000000000002</v>
      </c>
      <c r="O75">
        <f>IFERROR(VLOOKUP(all_lmics18[[Setting]:[Setting]], facility[], 3,FALSE),VLOOKUP(all_lmics18[[who_choice_region]:[who_choice_region]],missing[],7,FALSE))</f>
        <v>0.76500000000000001</v>
      </c>
      <c r="P75">
        <f>IF(VLOOKUP(all_lmics18[[Setting]:[Setting]],all_cause_mort[],4,FALSE)="",VLOOKUP(all_lmics18[[who_choice_region]:[who_choice_region]],missing[],8,FALSE),VLOOKUP(all_lmics18[[Setting]:[Setting]],all_cause_mort[],4,FALSE))</f>
        <v>3.0038674000000001E-2</v>
      </c>
      <c r="Q75">
        <f>IF(VLOOKUP(all_lmics18[[Setting]:[Setting]],all_cause_mort[],5,FALSE)="",VLOOKUP(all_lmics18[[who_choice_region]:[who_choice_region]],missing[],9,FALSE),VLOOKUP(all_lmics18[[Setting]:[Setting]],all_cause_mort[],5,FALSE))</f>
        <v>7.7731125999999998E-4</v>
      </c>
      <c r="R75">
        <f>IF(VLOOKUP(all_lmics18[[Setting]:[Setting]],all_cause_mort[],6,FALSE)="",VLOOKUP(all_lmics18[[who_choice_region]:[who_choice_region]],missing[],10,FALSE),VLOOKUP(all_lmics18[[Setting]:[Setting]],all_cause_mort[],6,FALSE))</f>
        <v>1.9162699E-4</v>
      </c>
      <c r="S75">
        <f>IF(VLOOKUP(all_lmics18[[Setting]:[Setting]],all_cause_mort[],7,FALSE)="",VLOOKUP(all_lmics18[[who_choice_region]:[who_choice_region]],missing[],11,FALSE),VLOOKUP(all_lmics18[[Setting]:[Setting]],all_cause_mort[],7,FALSE))</f>
        <v>2.0042804999999999E-4</v>
      </c>
      <c r="T75">
        <f>IF(VLOOKUP(all_lmics18[[Setting]:[Setting]],all_cause_mort[],8,FALSE)="",VLOOKUP(all_lmics18[[who_choice_region]:[who_choice_region]],missing[],12,FALSE),VLOOKUP(all_lmics18[[Setting]:[Setting]],all_cause_mort[],8,FALSE))</f>
        <v>3.3223292000000002E-4</v>
      </c>
      <c r="U75">
        <f>IF(VLOOKUP(all_lmics18[[Setting]:[Setting]],all_cause_mort[],9,FALSE)="",VLOOKUP(all_lmics18[[who_choice_region]:[who_choice_region]],missing[],13,FALSE),VLOOKUP(all_lmics18[[Setting]:[Setting]],all_cause_mort[],9,FALSE))</f>
        <v>5.1142513000000005E-4</v>
      </c>
      <c r="V75">
        <f>IF(VLOOKUP(all_lmics18[[Setting]:[Setting]],all_cause_mort[],10,FALSE)="",VLOOKUP(all_lmics18[[who_choice_region]:[who_choice_region]],missing[],14,FALSE),VLOOKUP(all_lmics18[[Setting]:[Setting]],all_cause_mort[],10,FALSE))</f>
        <v>8.5731543E-4</v>
      </c>
      <c r="W75">
        <f>IF(VLOOKUP(all_lmics18[[Setting]:[Setting]],all_cause_mort[],11,FALSE)="",VLOOKUP(all_lmics18[[who_choice_region]:[who_choice_region]],missing[],15,FALSE),VLOOKUP(all_lmics18[[Setting]:[Setting]],all_cause_mort[],11,FALSE))</f>
        <v>1.3192203E-3</v>
      </c>
      <c r="X75">
        <f>IF(VLOOKUP(all_lmics18[[Setting]:[Setting]],all_cause_mort[],12,FALSE)="",VLOOKUP(all_lmics18[[who_choice_region]:[who_choice_region]],missing[],16,FALSE),VLOOKUP(all_lmics18[[Setting]:[Setting]],all_cause_mort[],12,FALSE))</f>
        <v>2.0217367999999999E-3</v>
      </c>
      <c r="Y75">
        <f>IF(VLOOKUP(all_lmics18[[Setting]:[Setting]],all_cause_mort[],13,FALSE)="",VLOOKUP(all_lmics18[[who_choice_region]:[who_choice_region]],missing[],17,FALSE),VLOOKUP(all_lmics18[[Setting]:[Setting]],all_cause_mort[],13,FALSE))</f>
        <v>2.5677905000000001E-3</v>
      </c>
      <c r="Z75">
        <f>IF(VLOOKUP(all_lmics18[[Setting]:[Setting]],all_cause_mort[],14,FALSE)="",VLOOKUP(all_lmics18[[who_choice_region]:[who_choice_region]],missing[],18,FALSE),VLOOKUP(all_lmics18[[Setting]:[Setting]],all_cause_mort[],14,FALSE))</f>
        <v>3.6706819000000002E-3</v>
      </c>
      <c r="AA75">
        <f>IF(VLOOKUP(all_lmics18[[Setting]:[Setting]],all_cause_mort[],15,FALSE)="",VLOOKUP(all_lmics18[[who_choice_region]:[who_choice_region]],missing[],19,FALSE),VLOOKUP(all_lmics18[[Setting]:[Setting]],all_cause_mort[],15,FALSE))</f>
        <v>6.0686122999999998E-3</v>
      </c>
      <c r="AB75">
        <f>IF(VLOOKUP(all_lmics18[[Setting]:[Setting]],all_cause_mort[],16,FALSE)="",VLOOKUP(all_lmics18[[who_choice_region]:[who_choice_region]],missing[],20,FALSE),VLOOKUP(all_lmics18[[Setting]:[Setting]],all_cause_mort[],16,FALSE))</f>
        <v>1.0921818999999999E-2</v>
      </c>
      <c r="AC75">
        <f>IF(VLOOKUP(all_lmics18[[Setting]:[Setting]],all_cause_mort[],17,FALSE)="",VLOOKUP(all_lmics18[[who_choice_region]:[who_choice_region]],missing[],21,FALSE),VLOOKUP(all_lmics18[[Setting]:[Setting]],all_cause_mort[],17,FALSE))</f>
        <v>1.9224537E-2</v>
      </c>
      <c r="AD75">
        <f>IF(VLOOKUP(all_lmics18[[Setting]:[Setting]],all_cause_mort[],18,FALSE)="",VLOOKUP(all_lmics18[[who_choice_region]:[who_choice_region]],missing[],22,FALSE),VLOOKUP(all_lmics18[[Setting]:[Setting]],all_cause_mort[],18,FALSE))</f>
        <v>3.0931002999999999E-2</v>
      </c>
      <c r="AE75">
        <f>IF(VLOOKUP(all_lmics18[[Setting]:[Setting]],all_cause_mort[],19,FALSE)="",VLOOKUP(all_lmics18[[who_choice_region]:[who_choice_region]],missing[],23,FALSE),VLOOKUP(all_lmics18[[Setting]:[Setting]],all_cause_mort[],19,FALSE))</f>
        <v>5.3721215000000003E-2</v>
      </c>
      <c r="AF75">
        <f>IF(VLOOKUP(all_lmics18[[Setting]:[Setting]],all_cause_mort[],20,FALSE)="",VLOOKUP(all_lmics18[[who_choice_region]:[who_choice_region]],missing[],24,FALSE),VLOOKUP(all_lmics18[[Setting]:[Setting]],all_cause_mort[],20,FALSE))</f>
        <v>9.0489539999999993E-2</v>
      </c>
      <c r="AG75">
        <f>IF(VLOOKUP(all_lmics18[[Setting]:[Setting]],all_cause_mort[],21,FALSE)="",VLOOKUP(all_lmics18[[who_choice_region]:[who_choice_region]],missing[],25,FALSE),VLOOKUP(all_lmics18[[Setting]:[Setting]],all_cause_mort[],21,FALSE))</f>
        <v>0.14604988999999999</v>
      </c>
      <c r="AH75">
        <f>IF(VLOOKUP(all_lmics18[[Setting]:[Setting]],all_cause_mort[],22,FALSE)="",VLOOKUP(all_lmics18[[who_choice_region]:[who_choice_region]],missing[],26,FALSE),VLOOKUP(all_lmics18[[Setting]:[Setting]],all_cause_mort[],22,FALSE))</f>
        <v>0.2217179</v>
      </c>
      <c r="AI75">
        <f>IF(VLOOKUP(all_lmics18[[Setting]:[Setting]],all_cause_mort[],23,FALSE)="",VLOOKUP(all_lmics18[[who_choice_region]:[who_choice_region]],missing[],27,FALSE),VLOOKUP(all_lmics18[[Setting]:[Setting]],all_cause_mort[],23,FALSE))</f>
        <v>0.32571319999999998</v>
      </c>
      <c r="AJ75">
        <f>IF(VLOOKUP(all_lmics18[[Setting]:[Setting]],all_cause_mort[],24,FALSE)="",VLOOKUP(all_lmics18[[who_choice_region]:[who_choice_region]],missing[],28,FALSE),VLOOKUP(all_lmics18[[Setting]:[Setting]],all_cause_mort[],24,FALSE))</f>
        <v>0.45069177999999999</v>
      </c>
      <c r="AK75">
        <f>IF(VLOOKUP(all_lmics18[[Setting]:[Setting]],all_cause_mort[],25,FALSE)="",VLOOKUP(all_lmics18[[who_choice_region]:[who_choice_region]],missing[],29,FALSE),VLOOKUP(all_lmics18[[Setting]:[Setting]],all_cause_mort[],25,FALSE))</f>
        <v>0.58963303657299104</v>
      </c>
      <c r="AL75">
        <f>VLOOKUP(all_lmics18[[worldbank_region]:[worldbank_region]],Table13[],2,FALSE)</f>
        <v>44.525141999999995</v>
      </c>
      <c r="AM75">
        <f>VLOOKUP(all_lmics18[[worldbank_region]:[worldbank_region]],Table13[],3,FALSE)</f>
        <v>44.525141999999995</v>
      </c>
      <c r="AN75">
        <f>VLOOKUP(all_lmics18[[worldbank_region]:[worldbank_region]],Table13[],4,FALSE)</f>
        <v>92.254001999999986</v>
      </c>
      <c r="AO75">
        <f>VLOOKUP(all_lmics18[[worldbank_region]:[worldbank_region]],Table13[],5,FALSE)</f>
        <v>92.254001999999986</v>
      </c>
      <c r="AP75">
        <f>VLOOKUP(all_lmics18[[worldbank_region]:[worldbank_region]],Table13[],6,FALSE)</f>
        <v>92.254001999999986</v>
      </c>
      <c r="AQ75">
        <f>VLOOKUP(all_lmics18[[worldbank_region]:[worldbank_region]],Table14[],2,FALSE)</f>
        <v>6.4182919999999992</v>
      </c>
      <c r="AR75">
        <f>VLOOKUP(all_lmics18[[worldbank_region]:[worldbank_region]],Table14[],3,FALSE)</f>
        <v>7.0357919999999998</v>
      </c>
      <c r="AS75">
        <f>VLOOKUP(all_lmics18[[worldbank_region]:[worldbank_region]],Table14[],4,FALSE)</f>
        <v>10.482872999999998</v>
      </c>
      <c r="AT75">
        <f>VLOOKUP(all_lmics18[[worldbank_region]:[worldbank_region]],Table14[],5,FALSE)</f>
        <v>11.100372999999999</v>
      </c>
      <c r="AU75">
        <f>VLOOKUP(all_lmics18[[worldbank_region]:[worldbank_region]],Table14[],6,FALSE)</f>
        <v>11.670624999999999</v>
      </c>
      <c r="AV75">
        <f>IFERROR(VLOOKUP(all_lmics18[[Setting]:[Setting]],nFacSBA[],4,FALSE),VLOOKUP(all_lmics18[[who_choice_region]:[who_choice_region]],missing[],30,FALSE))</f>
        <v>0.49143471089085361</v>
      </c>
      <c r="AW75">
        <f>VLOOKUP(all_lmics18[[worldbank_region]:[worldbank_region]],hbe[],2)</f>
        <v>0.3</v>
      </c>
      <c r="AX75">
        <f>VLOOKUP(all_lmics18[[worldbank_region]:[worldbank_region]],hbe[],5)</f>
        <v>0.875</v>
      </c>
      <c r="AY75">
        <f>VLOOKUP(all_lmics18[[worldbank_region]:[worldbank_region]],hbe[],8)</f>
        <v>0.15</v>
      </c>
    </row>
    <row r="76" spans="1:51" x14ac:dyDescent="0.35">
      <c r="A76" s="8" t="s">
        <v>201</v>
      </c>
      <c r="B76" s="10" t="s">
        <v>109</v>
      </c>
      <c r="C76" s="11" t="s">
        <v>58</v>
      </c>
      <c r="D76">
        <f>VLOOKUP(all_lmics18[[Setting]:[Setting]],populations[],9,FALSE)</f>
        <v>69037513</v>
      </c>
      <c r="E76">
        <f>VLOOKUP(all_lmics18[[Setting]:[Setting]],birthrate[],3,FALSE)</f>
        <v>1.0333E-2</v>
      </c>
      <c r="F76">
        <f>all_lmics18[[#This Row],[2017_population]]*all_lmics18[[#This Row],[2016_birthrate]]</f>
        <v>713364.62182900007</v>
      </c>
      <c r="G76">
        <f>VLOOKUP(all_lmics18[[Setting]:[Setting]],birthdose[],4,FALSE)</f>
        <v>0.96</v>
      </c>
      <c r="H76">
        <f>VLOOKUP(all_lmics18[[Setting]:[Setting]],fullvax[],4,FALSE)</f>
        <v>0.99</v>
      </c>
      <c r="I76">
        <f>IFERROR(VLOOKUP(all_lmics18[[Setting]:[Setting]],prev[],3,FALSE),VLOOKUP(all_lmics18[[who_choice_region]:[who_choice_region]],missing[],2,FALSE))</f>
        <v>3.5000000000000003E-2</v>
      </c>
      <c r="J76">
        <f>IFERROR(VLOOKUP(all_lmics18[[Setting]:[Setting]],prev[],4,FALSE),VLOOKUP(all_lmics18[[who_choice_region]:[who_choice_region]],missing[],3,FALSE))</f>
        <v>1.6E-2</v>
      </c>
      <c r="K76">
        <f>IFERROR(VLOOKUP(all_lmics18[[Setting]:[Setting]],prev[],5,FALSE),VLOOKUP(all_lmics18[[who_choice_region]:[who_choice_region]],missing[],4,FALSE))</f>
        <v>0.04</v>
      </c>
      <c r="L76">
        <f>IFERROR(VLOOKUP(all_lmics18[[Setting]:[Setting]],prev[],7,FALSE),VLOOKUP(all_lmics18[[who_choice_region]:[who_choice_region]],missing[],5,FALSE))</f>
        <v>2.5510204081632642E-3</v>
      </c>
      <c r="M76">
        <f>IFERROR(VLOOKUP(all_lmics18[[Setting]:[Setting]],prev[],6,FALSE),0)</f>
        <v>69037513</v>
      </c>
      <c r="N76">
        <f>IFERROR(VLOOKUP(all_lmics18[[Setting]:[Setting]],SBA[],4,FALSE),VLOOKUP(all_lmics18[[who_choice_region]:[who_choice_region]],missing[],6,FALSE))</f>
        <v>0.99099999999999999</v>
      </c>
      <c r="O76">
        <f>IFERROR(VLOOKUP(all_lmics18[[Setting]:[Setting]], facility[], 3,FALSE),VLOOKUP(all_lmics18[[who_choice_region]:[who_choice_region]],missing[],7,FALSE))</f>
        <v>0.98599999999999999</v>
      </c>
      <c r="P76">
        <f>IF(VLOOKUP(all_lmics18[[Setting]:[Setting]],all_cause_mort[],4,FALSE)="",VLOOKUP(all_lmics18[[who_choice_region]:[who_choice_region]],missing[],8,FALSE),VLOOKUP(all_lmics18[[Setting]:[Setting]],all_cause_mort[],4,FALSE))</f>
        <v>7.8106065999999997E-3</v>
      </c>
      <c r="Q76">
        <f>IF(VLOOKUP(all_lmics18[[Setting]:[Setting]],all_cause_mort[],5,FALSE)="",VLOOKUP(all_lmics18[[who_choice_region]:[who_choice_region]],missing[],9,FALSE),VLOOKUP(all_lmics18[[Setting]:[Setting]],all_cause_mort[],5,FALSE))</f>
        <v>3.1400014000000003E-4</v>
      </c>
      <c r="R76">
        <f>IF(VLOOKUP(all_lmics18[[Setting]:[Setting]],all_cause_mort[],6,FALSE)="",VLOOKUP(all_lmics18[[who_choice_region]:[who_choice_region]],missing[],10,FALSE),VLOOKUP(all_lmics18[[Setting]:[Setting]],all_cause_mort[],6,FALSE))</f>
        <v>2.6529278000000001E-4</v>
      </c>
      <c r="S76">
        <f>IF(VLOOKUP(all_lmics18[[Setting]:[Setting]],all_cause_mort[],7,FALSE)="",VLOOKUP(all_lmics18[[who_choice_region]:[who_choice_region]],missing[],11,FALSE),VLOOKUP(all_lmics18[[Setting]:[Setting]],all_cause_mort[],7,FALSE))</f>
        <v>4.1306327999999999E-4</v>
      </c>
      <c r="T76">
        <f>IF(VLOOKUP(all_lmics18[[Setting]:[Setting]],all_cause_mort[],8,FALSE)="",VLOOKUP(all_lmics18[[who_choice_region]:[who_choice_region]],missing[],12,FALSE),VLOOKUP(all_lmics18[[Setting]:[Setting]],all_cause_mort[],8,FALSE))</f>
        <v>1.0782654E-3</v>
      </c>
      <c r="U76">
        <f>IF(VLOOKUP(all_lmics18[[Setting]:[Setting]],all_cause_mort[],9,FALSE)="",VLOOKUP(all_lmics18[[who_choice_region]:[who_choice_region]],missing[],13,FALSE),VLOOKUP(all_lmics18[[Setting]:[Setting]],all_cause_mort[],9,FALSE))</f>
        <v>1.033314E-3</v>
      </c>
      <c r="V76">
        <f>IF(VLOOKUP(all_lmics18[[Setting]:[Setting]],all_cause_mort[],10,FALSE)="",VLOOKUP(all_lmics18[[who_choice_region]:[who_choice_region]],missing[],14,FALSE),VLOOKUP(all_lmics18[[Setting]:[Setting]],all_cause_mort[],10,FALSE))</f>
        <v>1.1340281000000001E-3</v>
      </c>
      <c r="W76">
        <f>IF(VLOOKUP(all_lmics18[[Setting]:[Setting]],all_cause_mort[],11,FALSE)="",VLOOKUP(all_lmics18[[who_choice_region]:[who_choice_region]],missing[],15,FALSE),VLOOKUP(all_lmics18[[Setting]:[Setting]],all_cause_mort[],11,FALSE))</f>
        <v>1.6153369999999999E-3</v>
      </c>
      <c r="X76">
        <f>IF(VLOOKUP(all_lmics18[[Setting]:[Setting]],all_cause_mort[],12,FALSE)="",VLOOKUP(all_lmics18[[who_choice_region]:[who_choice_region]],missing[],16,FALSE),VLOOKUP(all_lmics18[[Setting]:[Setting]],all_cause_mort[],12,FALSE))</f>
        <v>2.4587149000000002E-3</v>
      </c>
      <c r="Y76">
        <f>IF(VLOOKUP(all_lmics18[[Setting]:[Setting]],all_cause_mort[],13,FALSE)="",VLOOKUP(all_lmics18[[who_choice_region]:[who_choice_region]],missing[],17,FALSE),VLOOKUP(all_lmics18[[Setting]:[Setting]],all_cause_mort[],13,FALSE))</f>
        <v>3.3723054000000001E-3</v>
      </c>
      <c r="Z76">
        <f>IF(VLOOKUP(all_lmics18[[Setting]:[Setting]],all_cause_mort[],14,FALSE)="",VLOOKUP(all_lmics18[[who_choice_region]:[who_choice_region]],missing[],18,FALSE),VLOOKUP(all_lmics18[[Setting]:[Setting]],all_cause_mort[],14,FALSE))</f>
        <v>4.408085E-3</v>
      </c>
      <c r="AA76">
        <f>IF(VLOOKUP(all_lmics18[[Setting]:[Setting]],all_cause_mort[],15,FALSE)="",VLOOKUP(all_lmics18[[who_choice_region]:[who_choice_region]],missing[],19,FALSE),VLOOKUP(all_lmics18[[Setting]:[Setting]],all_cause_mort[],15,FALSE))</f>
        <v>5.8369557000000002E-3</v>
      </c>
      <c r="AB76">
        <f>IF(VLOOKUP(all_lmics18[[Setting]:[Setting]],all_cause_mort[],16,FALSE)="",VLOOKUP(all_lmics18[[who_choice_region]:[who_choice_region]],missing[],20,FALSE),VLOOKUP(all_lmics18[[Setting]:[Setting]],all_cause_mort[],16,FALSE))</f>
        <v>7.8417061999999996E-3</v>
      </c>
      <c r="AC76">
        <f>IF(VLOOKUP(all_lmics18[[Setting]:[Setting]],all_cause_mort[],17,FALSE)="",VLOOKUP(all_lmics18[[who_choice_region]:[who_choice_region]],missing[],21,FALSE),VLOOKUP(all_lmics18[[Setting]:[Setting]],all_cause_mort[],17,FALSE))</f>
        <v>1.1456905E-2</v>
      </c>
      <c r="AD76">
        <f>IF(VLOOKUP(all_lmics18[[Setting]:[Setting]],all_cause_mort[],18,FALSE)="",VLOOKUP(all_lmics18[[who_choice_region]:[who_choice_region]],missing[],22,FALSE),VLOOKUP(all_lmics18[[Setting]:[Setting]],all_cause_mort[],18,FALSE))</f>
        <v>1.6105812000000001E-2</v>
      </c>
      <c r="AE76">
        <f>IF(VLOOKUP(all_lmics18[[Setting]:[Setting]],all_cause_mort[],19,FALSE)="",VLOOKUP(all_lmics18[[who_choice_region]:[who_choice_region]],missing[],23,FALSE),VLOOKUP(all_lmics18[[Setting]:[Setting]],all_cause_mort[],19,FALSE))</f>
        <v>2.5596432999999998E-2</v>
      </c>
      <c r="AF76">
        <f>IF(VLOOKUP(all_lmics18[[Setting]:[Setting]],all_cause_mort[],20,FALSE)="",VLOOKUP(all_lmics18[[who_choice_region]:[who_choice_region]],missing[],24,FALSE),VLOOKUP(all_lmics18[[Setting]:[Setting]],all_cause_mort[],20,FALSE))</f>
        <v>4.2077122000000002E-2</v>
      </c>
      <c r="AG76">
        <f>IF(VLOOKUP(all_lmics18[[Setting]:[Setting]],all_cause_mort[],21,FALSE)="",VLOOKUP(all_lmics18[[who_choice_region]:[who_choice_region]],missing[],25,FALSE),VLOOKUP(all_lmics18[[Setting]:[Setting]],all_cause_mort[],21,FALSE))</f>
        <v>6.7761364000000004E-2</v>
      </c>
      <c r="AH76">
        <f>IF(VLOOKUP(all_lmics18[[Setting]:[Setting]],all_cause_mort[],22,FALSE)="",VLOOKUP(all_lmics18[[who_choice_region]:[who_choice_region]],missing[],26,FALSE),VLOOKUP(all_lmics18[[Setting]:[Setting]],all_cause_mort[],22,FALSE))</f>
        <v>0.1075188</v>
      </c>
      <c r="AI76">
        <f>IF(VLOOKUP(all_lmics18[[Setting]:[Setting]],all_cause_mort[],23,FALSE)="",VLOOKUP(all_lmics18[[who_choice_region]:[who_choice_region]],missing[],27,FALSE),VLOOKUP(all_lmics18[[Setting]:[Setting]],all_cause_mort[],23,FALSE))</f>
        <v>0.16294026</v>
      </c>
      <c r="AJ76">
        <f>IF(VLOOKUP(all_lmics18[[Setting]:[Setting]],all_cause_mort[],24,FALSE)="",VLOOKUP(all_lmics18[[who_choice_region]:[who_choice_region]],missing[],28,FALSE),VLOOKUP(all_lmics18[[Setting]:[Setting]],all_cause_mort[],24,FALSE))</f>
        <v>0.23373473</v>
      </c>
      <c r="AK76">
        <f>IF(VLOOKUP(all_lmics18[[Setting]:[Setting]],all_cause_mort[],25,FALSE)="",VLOOKUP(all_lmics18[[who_choice_region]:[who_choice_region]],missing[],29,FALSE),VLOOKUP(all_lmics18[[Setting]:[Setting]],all_cause_mort[],25,FALSE))</f>
        <v>0.33548900676332399</v>
      </c>
      <c r="AL76">
        <f>VLOOKUP(all_lmics18[[worldbank_region]:[worldbank_region]],Table13[],2,FALSE)</f>
        <v>73.064384999999987</v>
      </c>
      <c r="AM76">
        <f>VLOOKUP(all_lmics18[[worldbank_region]:[worldbank_region]],Table13[],3,FALSE)</f>
        <v>73.064384999999987</v>
      </c>
      <c r="AN76">
        <f>VLOOKUP(all_lmics18[[worldbank_region]:[worldbank_region]],Table13[],4,FALSE)</f>
        <v>120.79324499999998</v>
      </c>
      <c r="AO76">
        <f>VLOOKUP(all_lmics18[[worldbank_region]:[worldbank_region]],Table13[],5,FALSE)</f>
        <v>120.79324499999998</v>
      </c>
      <c r="AP76">
        <f>VLOOKUP(all_lmics18[[worldbank_region]:[worldbank_region]],Table13[],6,FALSE)</f>
        <v>120.79324499999998</v>
      </c>
      <c r="AQ76">
        <f>VLOOKUP(all_lmics18[[worldbank_region]:[worldbank_region]],Table14[],2,FALSE)</f>
        <v>1.34029</v>
      </c>
      <c r="AR76">
        <f>VLOOKUP(all_lmics18[[worldbank_region]:[worldbank_region]],Table14[],3,FALSE)</f>
        <v>1.9577900000000001</v>
      </c>
      <c r="AS76">
        <f>VLOOKUP(all_lmics18[[worldbank_region]:[worldbank_region]],Table14[],4,FALSE)</f>
        <v>1.9723159999999997</v>
      </c>
      <c r="AT76">
        <f>VLOOKUP(all_lmics18[[worldbank_region]:[worldbank_region]],Table14[],5,FALSE)</f>
        <v>2.5898159999999999</v>
      </c>
      <c r="AU76">
        <f>VLOOKUP(all_lmics18[[worldbank_region]:[worldbank_region]],Table14[],6,FALSE)</f>
        <v>3.1600679999999999</v>
      </c>
      <c r="AV76">
        <f>IFERROR(VLOOKUP(all_lmics18[[Setting]:[Setting]],nFacSBA[],4,FALSE),VLOOKUP(all_lmics18[[who_choice_region]:[who_choice_region]],missing[],30,FALSE))</f>
        <v>0.55791576682649657</v>
      </c>
      <c r="AW76">
        <f>VLOOKUP(all_lmics18[[worldbank_region]:[worldbank_region]],hbe[],2)</f>
        <v>0.3</v>
      </c>
      <c r="AX76">
        <f>VLOOKUP(all_lmics18[[worldbank_region]:[worldbank_region]],hbe[],5)</f>
        <v>0.875</v>
      </c>
      <c r="AY76">
        <f>VLOOKUP(all_lmics18[[worldbank_region]:[worldbank_region]],hbe[],8)</f>
        <v>0.15</v>
      </c>
    </row>
    <row r="77" spans="1:51" x14ac:dyDescent="0.35">
      <c r="A77" s="12" t="s">
        <v>202</v>
      </c>
      <c r="B77" s="13" t="s">
        <v>10</v>
      </c>
      <c r="C77" s="14" t="s">
        <v>11</v>
      </c>
      <c r="D77">
        <f>VLOOKUP(all_lmics18[[Setting]:[Setting]],populations[],9,FALSE)</f>
        <v>2083160</v>
      </c>
      <c r="E77">
        <f>VLOOKUP(all_lmics18[[Setting]:[Setting]],birthrate[],3,FALSE)</f>
        <v>1.1276999999999999E-2</v>
      </c>
      <c r="F77">
        <f>all_lmics18[[#This Row],[2017_population]]*all_lmics18[[#This Row],[2016_birthrate]]</f>
        <v>23491.795319999997</v>
      </c>
      <c r="G77">
        <f>VLOOKUP(all_lmics18[[Setting]:[Setting]],birthdose[],4,FALSE)</f>
        <v>0.98</v>
      </c>
      <c r="H77">
        <f>VLOOKUP(all_lmics18[[Setting]:[Setting]],fullvax[],4,FALSE)</f>
        <v>0.91</v>
      </c>
      <c r="I77">
        <f>IFERROR(VLOOKUP(all_lmics18[[Setting]:[Setting]],prev[],3,FALSE),VLOOKUP(all_lmics18[[who_choice_region]:[who_choice_region]],missing[],2,FALSE))</f>
        <v>3.6829417644548806E-2</v>
      </c>
      <c r="J77">
        <f>IFERROR(VLOOKUP(all_lmics18[[Setting]:[Setting]],prev[],4,FALSE),VLOOKUP(all_lmics18[[who_choice_region]:[who_choice_region]],missing[],3,FALSE))</f>
        <v>2.5966371918435385E-2</v>
      </c>
      <c r="K77">
        <f>IFERROR(VLOOKUP(all_lmics18[[Setting]:[Setting]],prev[],5,FALSE),VLOOKUP(all_lmics18[[who_choice_region]:[who_choice_region]],missing[],4,FALSE))</f>
        <v>4.9168828639050588E-2</v>
      </c>
      <c r="L77">
        <f>IFERROR(VLOOKUP(all_lmics18[[Setting]:[Setting]],prev[],7,FALSE),VLOOKUP(all_lmics18[[who_choice_region]:[who_choice_region]],missing[],5,FALSE))</f>
        <v>6.2956178543376482E-3</v>
      </c>
      <c r="M77">
        <f>IFERROR(VLOOKUP(all_lmics18[[Setting]:[Setting]],prev[],6,FALSE),0)</f>
        <v>0</v>
      </c>
      <c r="N77">
        <f>IFERROR(VLOOKUP(all_lmics18[[Setting]:[Setting]],SBA[],4,FALSE),VLOOKUP(all_lmics18[[who_choice_region]:[who_choice_region]],missing[],6,FALSE))</f>
        <v>0.99900000000000011</v>
      </c>
      <c r="O77">
        <f>IFERROR(VLOOKUP(all_lmics18[[Setting]:[Setting]], facility[], 3,FALSE),VLOOKUP(all_lmics18[[who_choice_region]:[who_choice_region]],missing[],7,FALSE))</f>
        <v>0.99918000000000007</v>
      </c>
      <c r="P77">
        <f>IF(VLOOKUP(all_lmics18[[Setting]:[Setting]],all_cause_mort[],4,FALSE)="",VLOOKUP(all_lmics18[[who_choice_region]:[who_choice_region]],missing[],8,FALSE),VLOOKUP(all_lmics18[[Setting]:[Setting]],all_cause_mort[],4,FALSE))</f>
        <v>1.079575E-2</v>
      </c>
      <c r="Q77">
        <f>IF(VLOOKUP(all_lmics18[[Setting]:[Setting]],all_cause_mort[],5,FALSE)="",VLOOKUP(all_lmics18[[who_choice_region]:[who_choice_region]],missing[],9,FALSE),VLOOKUP(all_lmics18[[Setting]:[Setting]],all_cause_mort[],5,FALSE))</f>
        <v>2.8490589999999999E-4</v>
      </c>
      <c r="R77">
        <f>IF(VLOOKUP(all_lmics18[[Setting]:[Setting]],all_cause_mort[],6,FALSE)="",VLOOKUP(all_lmics18[[who_choice_region]:[who_choice_region]],missing[],10,FALSE),VLOOKUP(all_lmics18[[Setting]:[Setting]],all_cause_mort[],6,FALSE))</f>
        <v>1.3952435000000001E-4</v>
      </c>
      <c r="S77">
        <f>IF(VLOOKUP(all_lmics18[[Setting]:[Setting]],all_cause_mort[],7,FALSE)="",VLOOKUP(all_lmics18[[who_choice_region]:[who_choice_region]],missing[],11,FALSE),VLOOKUP(all_lmics18[[Setting]:[Setting]],all_cause_mort[],7,FALSE))</f>
        <v>1.8527794999999999E-4</v>
      </c>
      <c r="T77">
        <f>IF(VLOOKUP(all_lmics18[[Setting]:[Setting]],all_cause_mort[],8,FALSE)="",VLOOKUP(all_lmics18[[who_choice_region]:[who_choice_region]],missing[],12,FALSE),VLOOKUP(all_lmics18[[Setting]:[Setting]],all_cause_mort[],8,FALSE))</f>
        <v>2.9174696000000002E-4</v>
      </c>
      <c r="U77">
        <f>IF(VLOOKUP(all_lmics18[[Setting]:[Setting]],all_cause_mort[],9,FALSE)="",VLOOKUP(all_lmics18[[who_choice_region]:[who_choice_region]],missing[],13,FALSE),VLOOKUP(all_lmics18[[Setting]:[Setting]],all_cause_mort[],9,FALSE))</f>
        <v>3.1394585000000001E-4</v>
      </c>
      <c r="V77">
        <f>IF(VLOOKUP(all_lmics18[[Setting]:[Setting]],all_cause_mort[],10,FALSE)="",VLOOKUP(all_lmics18[[who_choice_region]:[who_choice_region]],missing[],14,FALSE),VLOOKUP(all_lmics18[[Setting]:[Setting]],all_cause_mort[],10,FALSE))</f>
        <v>4.6821371999999998E-4</v>
      </c>
      <c r="W77">
        <f>IF(VLOOKUP(all_lmics18[[Setting]:[Setting]],all_cause_mort[],11,FALSE)="",VLOOKUP(all_lmics18[[who_choice_region]:[who_choice_region]],missing[],15,FALSE),VLOOKUP(all_lmics18[[Setting]:[Setting]],all_cause_mort[],11,FALSE))</f>
        <v>5.5946596000000005E-4</v>
      </c>
      <c r="X77">
        <f>IF(VLOOKUP(all_lmics18[[Setting]:[Setting]],all_cause_mort[],12,FALSE)="",VLOOKUP(all_lmics18[[who_choice_region]:[who_choice_region]],missing[],16,FALSE),VLOOKUP(all_lmics18[[Setting]:[Setting]],all_cause_mort[],12,FALSE))</f>
        <v>8.928861E-4</v>
      </c>
      <c r="Y77">
        <f>IF(VLOOKUP(all_lmics18[[Setting]:[Setting]],all_cause_mort[],13,FALSE)="",VLOOKUP(all_lmics18[[who_choice_region]:[who_choice_region]],missing[],17,FALSE),VLOOKUP(all_lmics18[[Setting]:[Setting]],all_cause_mort[],13,FALSE))</f>
        <v>1.6335216E-3</v>
      </c>
      <c r="Z77">
        <f>IF(VLOOKUP(all_lmics18[[Setting]:[Setting]],all_cause_mort[],14,FALSE)="",VLOOKUP(all_lmics18[[who_choice_region]:[who_choice_region]],missing[],18,FALSE),VLOOKUP(all_lmics18[[Setting]:[Setting]],all_cause_mort[],14,FALSE))</f>
        <v>2.5281460000000002E-3</v>
      </c>
      <c r="AA77">
        <f>IF(VLOOKUP(all_lmics18[[Setting]:[Setting]],all_cause_mort[],15,FALSE)="",VLOOKUP(all_lmics18[[who_choice_region]:[who_choice_region]],missing[],19,FALSE),VLOOKUP(all_lmics18[[Setting]:[Setting]],all_cause_mort[],15,FALSE))</f>
        <v>4.7393223000000003E-3</v>
      </c>
      <c r="AB77">
        <f>IF(VLOOKUP(all_lmics18[[Setting]:[Setting]],all_cause_mort[],16,FALSE)="",VLOOKUP(all_lmics18[[who_choice_region]:[who_choice_region]],missing[],20,FALSE),VLOOKUP(all_lmics18[[Setting]:[Setting]],all_cause_mort[],16,FALSE))</f>
        <v>8.1192898000000003E-3</v>
      </c>
      <c r="AC77">
        <f>IF(VLOOKUP(all_lmics18[[Setting]:[Setting]],all_cause_mort[],17,FALSE)="",VLOOKUP(all_lmics18[[who_choice_region]:[who_choice_region]],missing[],21,FALSE),VLOOKUP(all_lmics18[[Setting]:[Setting]],all_cause_mort[],17,FALSE))</f>
        <v>1.3586753E-2</v>
      </c>
      <c r="AD77">
        <f>IF(VLOOKUP(all_lmics18[[Setting]:[Setting]],all_cause_mort[],18,FALSE)="",VLOOKUP(all_lmics18[[who_choice_region]:[who_choice_region]],missing[],22,FALSE),VLOOKUP(all_lmics18[[Setting]:[Setting]],all_cause_mort[],18,FALSE))</f>
        <v>2.1408777E-2</v>
      </c>
      <c r="AE77">
        <f>IF(VLOOKUP(all_lmics18[[Setting]:[Setting]],all_cause_mort[],19,FALSE)="",VLOOKUP(all_lmics18[[who_choice_region]:[who_choice_region]],missing[],23,FALSE),VLOOKUP(all_lmics18[[Setting]:[Setting]],all_cause_mort[],19,FALSE))</f>
        <v>3.4609589000000003E-2</v>
      </c>
      <c r="AF77">
        <f>IF(VLOOKUP(all_lmics18[[Setting]:[Setting]],all_cause_mort[],20,FALSE)="",VLOOKUP(all_lmics18[[who_choice_region]:[who_choice_region]],missing[],24,FALSE),VLOOKUP(all_lmics18[[Setting]:[Setting]],all_cause_mort[],20,FALSE))</f>
        <v>6.5700938E-2</v>
      </c>
      <c r="AG77">
        <f>IF(VLOOKUP(all_lmics18[[Setting]:[Setting]],all_cause_mort[],21,FALSE)="",VLOOKUP(all_lmics18[[who_choice_region]:[who_choice_region]],missing[],25,FALSE),VLOOKUP(all_lmics18[[Setting]:[Setting]],all_cause_mort[],21,FALSE))</f>
        <v>0.11891127</v>
      </c>
      <c r="AH77">
        <f>IF(VLOOKUP(all_lmics18[[Setting]:[Setting]],all_cause_mort[],22,FALSE)="",VLOOKUP(all_lmics18[[who_choice_region]:[who_choice_region]],missing[],26,FALSE),VLOOKUP(all_lmics18[[Setting]:[Setting]],all_cause_mort[],22,FALSE))</f>
        <v>0.19994326000000001</v>
      </c>
      <c r="AI77">
        <f>IF(VLOOKUP(all_lmics18[[Setting]:[Setting]],all_cause_mort[],23,FALSE)="",VLOOKUP(all_lmics18[[who_choice_region]:[who_choice_region]],missing[],27,FALSE),VLOOKUP(all_lmics18[[Setting]:[Setting]],all_cause_mort[],23,FALSE))</f>
        <v>0.33394143999999998</v>
      </c>
      <c r="AJ77">
        <f>IF(VLOOKUP(all_lmics18[[Setting]:[Setting]],all_cause_mort[],24,FALSE)="",VLOOKUP(all_lmics18[[who_choice_region]:[who_choice_region]],missing[],28,FALSE),VLOOKUP(all_lmics18[[Setting]:[Setting]],all_cause_mort[],24,FALSE))</f>
        <v>0.49029510999999998</v>
      </c>
      <c r="AK77">
        <f>IF(VLOOKUP(all_lmics18[[Setting]:[Setting]],all_cause_mort[],25,FALSE)="",VLOOKUP(all_lmics18[[who_choice_region]:[who_choice_region]],missing[],29,FALSE),VLOOKUP(all_lmics18[[Setting]:[Setting]],all_cause_mort[],25,FALSE))</f>
        <v>0.65437685851207505</v>
      </c>
      <c r="AL77">
        <f>VLOOKUP(all_lmics18[[worldbank_region]:[worldbank_region]],Table13[],2,FALSE)</f>
        <v>44.525141999999995</v>
      </c>
      <c r="AM77">
        <f>VLOOKUP(all_lmics18[[worldbank_region]:[worldbank_region]],Table13[],3,FALSE)</f>
        <v>44.525141999999995</v>
      </c>
      <c r="AN77">
        <f>VLOOKUP(all_lmics18[[worldbank_region]:[worldbank_region]],Table13[],4,FALSE)</f>
        <v>92.254001999999986</v>
      </c>
      <c r="AO77">
        <f>VLOOKUP(all_lmics18[[worldbank_region]:[worldbank_region]],Table13[],5,FALSE)</f>
        <v>92.254001999999986</v>
      </c>
      <c r="AP77">
        <f>VLOOKUP(all_lmics18[[worldbank_region]:[worldbank_region]],Table13[],6,FALSE)</f>
        <v>92.254001999999986</v>
      </c>
      <c r="AQ77">
        <f>VLOOKUP(all_lmics18[[worldbank_region]:[worldbank_region]],Table14[],2,FALSE)</f>
        <v>6.4182919999999992</v>
      </c>
      <c r="AR77">
        <f>VLOOKUP(all_lmics18[[worldbank_region]:[worldbank_region]],Table14[],3,FALSE)</f>
        <v>7.0357919999999998</v>
      </c>
      <c r="AS77">
        <f>VLOOKUP(all_lmics18[[worldbank_region]:[worldbank_region]],Table14[],4,FALSE)</f>
        <v>10.482872999999998</v>
      </c>
      <c r="AT77">
        <f>VLOOKUP(all_lmics18[[worldbank_region]:[worldbank_region]],Table14[],5,FALSE)</f>
        <v>11.100372999999999</v>
      </c>
      <c r="AU77">
        <f>VLOOKUP(all_lmics18[[worldbank_region]:[worldbank_region]],Table14[],6,FALSE)</f>
        <v>11.670624999999999</v>
      </c>
      <c r="AV77">
        <f>IFERROR(VLOOKUP(all_lmics18[[Setting]:[Setting]],nFacSBA[],4,FALSE),VLOOKUP(all_lmics18[[who_choice_region]:[who_choice_region]],missing[],30,FALSE))</f>
        <v>0.53357812104952496</v>
      </c>
      <c r="AW77">
        <f>VLOOKUP(all_lmics18[[worldbank_region]:[worldbank_region]],hbe[],2)</f>
        <v>0.3</v>
      </c>
      <c r="AX77">
        <f>VLOOKUP(all_lmics18[[worldbank_region]:[worldbank_region]],hbe[],5)</f>
        <v>0.875</v>
      </c>
      <c r="AY77">
        <f>VLOOKUP(all_lmics18[[worldbank_region]:[worldbank_region]],hbe[],8)</f>
        <v>0.15</v>
      </c>
    </row>
    <row r="78" spans="1:51" x14ac:dyDescent="0.35">
      <c r="A78" s="8" t="s">
        <v>203</v>
      </c>
      <c r="B78" s="10" t="s">
        <v>36</v>
      </c>
      <c r="C78" s="11" t="s">
        <v>37</v>
      </c>
      <c r="D78">
        <f>VLOOKUP(all_lmics18[[Setting]:[Setting]],populations[],9,FALSE)</f>
        <v>1296311</v>
      </c>
      <c r="E78">
        <f>VLOOKUP(all_lmics18[[Setting]:[Setting]],birthrate[],3,FALSE)</f>
        <v>3.5048000000000003E-2</v>
      </c>
      <c r="F78">
        <f>all_lmics18[[#This Row],[2017_population]]*all_lmics18[[#This Row],[2016_birthrate]]</f>
        <v>45433.107928000005</v>
      </c>
      <c r="G78">
        <f>VLOOKUP(all_lmics18[[Setting]:[Setting]],birthdose[],4,FALSE)</f>
        <v>0.47</v>
      </c>
      <c r="H78">
        <f>VLOOKUP(all_lmics18[[Setting]:[Setting]],fullvax[],4,FALSE)</f>
        <v>0.76</v>
      </c>
      <c r="I78">
        <f>IFERROR(VLOOKUP(all_lmics18[[Setting]:[Setting]],prev[],3,FALSE),VLOOKUP(all_lmics18[[who_choice_region]:[who_choice_region]],missing[],2,FALSE))</f>
        <v>2.9042976123168401E-2</v>
      </c>
      <c r="J78">
        <f>IFERROR(VLOOKUP(all_lmics18[[Setting]:[Setting]],prev[],4,FALSE),VLOOKUP(all_lmics18[[who_choice_region]:[who_choice_region]],missing[],3,FALSE))</f>
        <v>2.3703460291678725E-2</v>
      </c>
      <c r="K78">
        <f>IFERROR(VLOOKUP(all_lmics18[[Setting]:[Setting]],prev[],5,FALSE),VLOOKUP(all_lmics18[[who_choice_region]:[who_choice_region]],missing[],4,FALSE))</f>
        <v>3.2561757047722864E-2</v>
      </c>
      <c r="L78">
        <f>IFERROR(VLOOKUP(all_lmics18[[Setting]:[Setting]],prev[],7,FALSE),VLOOKUP(all_lmics18[[who_choice_region]:[who_choice_region]],missing[],5,FALSE))</f>
        <v>1.7952963900788081E-3</v>
      </c>
      <c r="M78">
        <f>IFERROR(VLOOKUP(all_lmics18[[Setting]:[Setting]],prev[],6,FALSE),0)</f>
        <v>0</v>
      </c>
      <c r="N78">
        <f>IFERROR(VLOOKUP(all_lmics18[[Setting]:[Setting]],SBA[],4,FALSE),VLOOKUP(all_lmics18[[who_choice_region]:[who_choice_region]],missing[],6,FALSE))</f>
        <v>0.56700000000000006</v>
      </c>
      <c r="O78">
        <f>IFERROR(VLOOKUP(all_lmics18[[Setting]:[Setting]], facility[], 3,FALSE),VLOOKUP(all_lmics18[[who_choice_region]:[who_choice_region]],missing[],7,FALSE))</f>
        <v>0.214</v>
      </c>
      <c r="P78">
        <f>IF(VLOOKUP(all_lmics18[[Setting]:[Setting]],all_cause_mort[],4,FALSE)="",VLOOKUP(all_lmics18[[who_choice_region]:[who_choice_region]],missing[],8,FALSE),VLOOKUP(all_lmics18[[Setting]:[Setting]],all_cause_mort[],4,FALSE))</f>
        <v>3.8573064999999997E-2</v>
      </c>
      <c r="Q78">
        <f>IF(VLOOKUP(all_lmics18[[Setting]:[Setting]],all_cause_mort[],5,FALSE)="",VLOOKUP(all_lmics18[[who_choice_region]:[who_choice_region]],missing[],9,FALSE),VLOOKUP(all_lmics18[[Setting]:[Setting]],all_cause_mort[],5,FALSE))</f>
        <v>2.4567775E-3</v>
      </c>
      <c r="R78">
        <f>IF(VLOOKUP(all_lmics18[[Setting]:[Setting]],all_cause_mort[],6,FALSE)="",VLOOKUP(all_lmics18[[who_choice_region]:[who_choice_region]],missing[],10,FALSE),VLOOKUP(all_lmics18[[Setting]:[Setting]],all_cause_mort[],6,FALSE))</f>
        <v>7.5187216000000001E-4</v>
      </c>
      <c r="S78">
        <f>IF(VLOOKUP(all_lmics18[[Setting]:[Setting]],all_cause_mort[],7,FALSE)="",VLOOKUP(all_lmics18[[who_choice_region]:[who_choice_region]],missing[],11,FALSE),VLOOKUP(all_lmics18[[Setting]:[Setting]],all_cause_mort[],7,FALSE))</f>
        <v>5.8071214999999999E-4</v>
      </c>
      <c r="T78">
        <f>IF(VLOOKUP(all_lmics18[[Setting]:[Setting]],all_cause_mort[],8,FALSE)="",VLOOKUP(all_lmics18[[who_choice_region]:[who_choice_region]],missing[],12,FALSE),VLOOKUP(all_lmics18[[Setting]:[Setting]],all_cause_mort[],8,FALSE))</f>
        <v>1.0019797999999999E-3</v>
      </c>
      <c r="U78">
        <f>IF(VLOOKUP(all_lmics18[[Setting]:[Setting]],all_cause_mort[],9,FALSE)="",VLOOKUP(all_lmics18[[who_choice_region]:[who_choice_region]],missing[],13,FALSE),VLOOKUP(all_lmics18[[Setting]:[Setting]],all_cause_mort[],9,FALSE))</f>
        <v>1.2650265E-3</v>
      </c>
      <c r="V78">
        <f>IF(VLOOKUP(all_lmics18[[Setting]:[Setting]],all_cause_mort[],10,FALSE)="",VLOOKUP(all_lmics18[[who_choice_region]:[who_choice_region]],missing[],14,FALSE),VLOOKUP(all_lmics18[[Setting]:[Setting]],all_cause_mort[],10,FALSE))</f>
        <v>1.2078862000000001E-3</v>
      </c>
      <c r="W78">
        <f>IF(VLOOKUP(all_lmics18[[Setting]:[Setting]],all_cause_mort[],11,FALSE)="",VLOOKUP(all_lmics18[[who_choice_region]:[who_choice_region]],missing[],15,FALSE),VLOOKUP(all_lmics18[[Setting]:[Setting]],all_cause_mort[],11,FALSE))</f>
        <v>1.3437455999999999E-3</v>
      </c>
      <c r="X78">
        <f>IF(VLOOKUP(all_lmics18[[Setting]:[Setting]],all_cause_mort[],12,FALSE)="",VLOOKUP(all_lmics18[[who_choice_region]:[who_choice_region]],missing[],16,FALSE),VLOOKUP(all_lmics18[[Setting]:[Setting]],all_cause_mort[],12,FALSE))</f>
        <v>1.7568312E-3</v>
      </c>
      <c r="Y78">
        <f>IF(VLOOKUP(all_lmics18[[Setting]:[Setting]],all_cause_mort[],13,FALSE)="",VLOOKUP(all_lmics18[[who_choice_region]:[who_choice_region]],missing[],17,FALSE),VLOOKUP(all_lmics18[[Setting]:[Setting]],all_cause_mort[],13,FALSE))</f>
        <v>2.5315860000000002E-3</v>
      </c>
      <c r="Z78">
        <f>IF(VLOOKUP(all_lmics18[[Setting]:[Setting]],all_cause_mort[],14,FALSE)="",VLOOKUP(all_lmics18[[who_choice_region]:[who_choice_region]],missing[],18,FALSE),VLOOKUP(all_lmics18[[Setting]:[Setting]],all_cause_mort[],14,FALSE))</f>
        <v>4.0458372999999997E-3</v>
      </c>
      <c r="AA78">
        <f>IF(VLOOKUP(all_lmics18[[Setting]:[Setting]],all_cause_mort[],15,FALSE)="",VLOOKUP(all_lmics18[[who_choice_region]:[who_choice_region]],missing[],19,FALSE),VLOOKUP(all_lmics18[[Setting]:[Setting]],all_cause_mort[],15,FALSE))</f>
        <v>6.6775638000000003E-3</v>
      </c>
      <c r="AB78">
        <f>IF(VLOOKUP(all_lmics18[[Setting]:[Setting]],all_cause_mort[],16,FALSE)="",VLOOKUP(all_lmics18[[who_choice_region]:[who_choice_region]],missing[],20,FALSE),VLOOKUP(all_lmics18[[Setting]:[Setting]],all_cause_mort[],16,FALSE))</f>
        <v>1.1577947E-2</v>
      </c>
      <c r="AC78">
        <f>IF(VLOOKUP(all_lmics18[[Setting]:[Setting]],all_cause_mort[],17,FALSE)="",VLOOKUP(all_lmics18[[who_choice_region]:[who_choice_region]],missing[],21,FALSE),VLOOKUP(all_lmics18[[Setting]:[Setting]],all_cause_mort[],17,FALSE))</f>
        <v>1.8896541999999999E-2</v>
      </c>
      <c r="AD78">
        <f>IF(VLOOKUP(all_lmics18[[Setting]:[Setting]],all_cause_mort[],18,FALSE)="",VLOOKUP(all_lmics18[[who_choice_region]:[who_choice_region]],missing[],22,FALSE),VLOOKUP(all_lmics18[[Setting]:[Setting]],all_cause_mort[],18,FALSE))</f>
        <v>3.0858143000000001E-2</v>
      </c>
      <c r="AE78">
        <f>IF(VLOOKUP(all_lmics18[[Setting]:[Setting]],all_cause_mort[],19,FALSE)="",VLOOKUP(all_lmics18[[who_choice_region]:[who_choice_region]],missing[],23,FALSE),VLOOKUP(all_lmics18[[Setting]:[Setting]],all_cause_mort[],19,FALSE))</f>
        <v>5.1215610000000002E-2</v>
      </c>
      <c r="AF78">
        <f>IF(VLOOKUP(all_lmics18[[Setting]:[Setting]],all_cause_mort[],20,FALSE)="",VLOOKUP(all_lmics18[[who_choice_region]:[who_choice_region]],missing[],24,FALSE),VLOOKUP(all_lmics18[[Setting]:[Setting]],all_cause_mort[],20,FALSE))</f>
        <v>8.4754219000000006E-2</v>
      </c>
      <c r="AG78">
        <f>IF(VLOOKUP(all_lmics18[[Setting]:[Setting]],all_cause_mort[],21,FALSE)="",VLOOKUP(all_lmics18[[who_choice_region]:[who_choice_region]],missing[],25,FALSE),VLOOKUP(all_lmics18[[Setting]:[Setting]],all_cause_mort[],21,FALSE))</f>
        <v>0.1351996</v>
      </c>
      <c r="AH78">
        <f>IF(VLOOKUP(all_lmics18[[Setting]:[Setting]],all_cause_mort[],22,FALSE)="",VLOOKUP(all_lmics18[[who_choice_region]:[who_choice_region]],missing[],26,FALSE),VLOOKUP(all_lmics18[[Setting]:[Setting]],all_cause_mort[],22,FALSE))</f>
        <v>0.20971617000000001</v>
      </c>
      <c r="AI78">
        <f>IF(VLOOKUP(all_lmics18[[Setting]:[Setting]],all_cause_mort[],23,FALSE)="",VLOOKUP(all_lmics18[[who_choice_region]:[who_choice_region]],missing[],27,FALSE),VLOOKUP(all_lmics18[[Setting]:[Setting]],all_cause_mort[],23,FALSE))</f>
        <v>0.30359151000000001</v>
      </c>
      <c r="AJ78">
        <f>IF(VLOOKUP(all_lmics18[[Setting]:[Setting]],all_cause_mort[],24,FALSE)="",VLOOKUP(all_lmics18[[who_choice_region]:[who_choice_region]],missing[],28,FALSE),VLOOKUP(all_lmics18[[Setting]:[Setting]],all_cause_mort[],24,FALSE))</f>
        <v>0.42129264999999999</v>
      </c>
      <c r="AK78">
        <f>IF(VLOOKUP(all_lmics18[[Setting]:[Setting]],all_cause_mort[],25,FALSE)="",VLOOKUP(all_lmics18[[who_choice_region]:[who_choice_region]],missing[],29,FALSE),VLOOKUP(all_lmics18[[Setting]:[Setting]],all_cause_mort[],25,FALSE))</f>
        <v>0.56669829220936097</v>
      </c>
      <c r="AL78">
        <f>VLOOKUP(all_lmics18[[worldbank_region]:[worldbank_region]],Table13[],2,FALSE)</f>
        <v>57.361807999999996</v>
      </c>
      <c r="AM78">
        <f>VLOOKUP(all_lmics18[[worldbank_region]:[worldbank_region]],Table13[],3,FALSE)</f>
        <v>57.361807999999996</v>
      </c>
      <c r="AN78">
        <f>VLOOKUP(all_lmics18[[worldbank_region]:[worldbank_region]],Table13[],4,FALSE)</f>
        <v>105.09066799999999</v>
      </c>
      <c r="AO78">
        <f>VLOOKUP(all_lmics18[[worldbank_region]:[worldbank_region]],Table13[],5,FALSE)</f>
        <v>105.09066799999999</v>
      </c>
      <c r="AP78">
        <f>VLOOKUP(all_lmics18[[worldbank_region]:[worldbank_region]],Table13[],6,FALSE)</f>
        <v>105.09066799999999</v>
      </c>
      <c r="AQ78">
        <f>VLOOKUP(all_lmics18[[worldbank_region]:[worldbank_region]],Table14[],2,FALSE)</f>
        <v>0.95889500000000005</v>
      </c>
      <c r="AR78">
        <f>VLOOKUP(all_lmics18[[worldbank_region]:[worldbank_region]],Table14[],3,FALSE)</f>
        <v>1.5763950000000002</v>
      </c>
      <c r="AS78">
        <f>VLOOKUP(all_lmics18[[worldbank_region]:[worldbank_region]],Table14[],4,FALSE)</f>
        <v>33.028765999999997</v>
      </c>
      <c r="AT78">
        <f>VLOOKUP(all_lmics18[[worldbank_region]:[worldbank_region]],Table14[],5,FALSE)</f>
        <v>33.646265999999997</v>
      </c>
      <c r="AU78">
        <f>VLOOKUP(all_lmics18[[worldbank_region]:[worldbank_region]],Table14[],6,FALSE)</f>
        <v>34.216518000000001</v>
      </c>
      <c r="AV78">
        <f>IFERROR(VLOOKUP(all_lmics18[[Setting]:[Setting]],nFacSBA[],4,FALSE),VLOOKUP(all_lmics18[[who_choice_region]:[who_choice_region]],missing[],30,FALSE))</f>
        <v>0.10743200582361112</v>
      </c>
      <c r="AW78">
        <f>VLOOKUP(all_lmics18[[worldbank_region]:[worldbank_region]],hbe[],2)</f>
        <v>0.3</v>
      </c>
      <c r="AX78">
        <f>VLOOKUP(all_lmics18[[worldbank_region]:[worldbank_region]],hbe[],5)</f>
        <v>0.875</v>
      </c>
      <c r="AY78">
        <f>VLOOKUP(all_lmics18[[worldbank_region]:[worldbank_region]],hbe[],8)</f>
        <v>0.15</v>
      </c>
    </row>
    <row r="79" spans="1:51" x14ac:dyDescent="0.35">
      <c r="A79" s="8" t="s">
        <v>205</v>
      </c>
      <c r="B79" s="10" t="s">
        <v>57</v>
      </c>
      <c r="C79" s="11" t="s">
        <v>58</v>
      </c>
      <c r="D79">
        <f>VLOOKUP(all_lmics18[[Setting]:[Setting]],populations[],9,FALSE)</f>
        <v>108020</v>
      </c>
      <c r="E79">
        <f>VLOOKUP(all_lmics18[[Setting]:[Setting]],birthrate[],3,FALSE)</f>
        <v>2.3982E-2</v>
      </c>
      <c r="F79">
        <f>all_lmics18[[#This Row],[2017_population]]*all_lmics18[[#This Row],[2016_birthrate]]</f>
        <v>2590.5356400000001</v>
      </c>
      <c r="G79">
        <f>VLOOKUP(all_lmics18[[Setting]:[Setting]],birthdose[],4,FALSE)</f>
        <v>0.88</v>
      </c>
      <c r="H79">
        <f>VLOOKUP(all_lmics18[[Setting]:[Setting]],fullvax[],4,FALSE)</f>
        <v>0.81</v>
      </c>
      <c r="I79">
        <f>IFERROR(VLOOKUP(all_lmics18[[Setting]:[Setting]],prev[],3,FALSE),VLOOKUP(all_lmics18[[who_choice_region]:[who_choice_region]],missing[],2,FALSE))</f>
        <v>6.2014367393849211E-2</v>
      </c>
      <c r="J79">
        <f>IFERROR(VLOOKUP(all_lmics18[[Setting]:[Setting]],prev[],4,FALSE),VLOOKUP(all_lmics18[[who_choice_region]:[who_choice_region]],missing[],3,FALSE))</f>
        <v>5.5830551219148553E-2</v>
      </c>
      <c r="K79">
        <f>IFERROR(VLOOKUP(all_lmics18[[Setting]:[Setting]],prev[],5,FALSE),VLOOKUP(all_lmics18[[who_choice_region]:[who_choice_region]],missing[],4,FALSE))</f>
        <v>7.0881613218274672E-2</v>
      </c>
      <c r="L79">
        <f>IFERROR(VLOOKUP(all_lmics18[[Setting]:[Setting]],prev[],7,FALSE),VLOOKUP(all_lmics18[[who_choice_region]:[who_choice_region]],missing[],5,FALSE))</f>
        <v>4.5241050124619608E-3</v>
      </c>
      <c r="M79">
        <f>IFERROR(VLOOKUP(all_lmics18[[Setting]:[Setting]],prev[],6,FALSE),0)</f>
        <v>0</v>
      </c>
      <c r="N79">
        <f>IFERROR(VLOOKUP(all_lmics18[[Setting]:[Setting]],SBA[],4,FALSE),VLOOKUP(all_lmics18[[who_choice_region]:[who_choice_region]],missing[],6,FALSE))</f>
        <v>0.95499999999999996</v>
      </c>
      <c r="O79">
        <f>IFERROR(VLOOKUP(all_lmics18[[Setting]:[Setting]], facility[], 3,FALSE),VLOOKUP(all_lmics18[[who_choice_region]:[who_choice_region]],missing[],7,FALSE))</f>
        <v>0.98</v>
      </c>
      <c r="P79">
        <f>IF(VLOOKUP(all_lmics18[[Setting]:[Setting]],all_cause_mort[],4,FALSE)="",VLOOKUP(all_lmics18[[who_choice_region]:[who_choice_region]],missing[],8,FALSE),VLOOKUP(all_lmics18[[Setting]:[Setting]],all_cause_mort[],4,FALSE))</f>
        <v>1.2661955000000001E-2</v>
      </c>
      <c r="Q79">
        <f>IF(VLOOKUP(all_lmics18[[Setting]:[Setting]],all_cause_mort[],5,FALSE)="",VLOOKUP(all_lmics18[[who_choice_region]:[who_choice_region]],missing[],9,FALSE),VLOOKUP(all_lmics18[[Setting]:[Setting]],all_cause_mort[],5,FALSE))</f>
        <v>7.8736967000000004E-4</v>
      </c>
      <c r="R79">
        <f>IF(VLOOKUP(all_lmics18[[Setting]:[Setting]],all_cause_mort[],6,FALSE)="",VLOOKUP(all_lmics18[[who_choice_region]:[who_choice_region]],missing[],10,FALSE),VLOOKUP(all_lmics18[[Setting]:[Setting]],all_cause_mort[],6,FALSE))</f>
        <v>3.9850804E-4</v>
      </c>
      <c r="S79">
        <f>IF(VLOOKUP(all_lmics18[[Setting]:[Setting]],all_cause_mort[],7,FALSE)="",VLOOKUP(all_lmics18[[who_choice_region]:[who_choice_region]],missing[],11,FALSE),VLOOKUP(all_lmics18[[Setting]:[Setting]],all_cause_mort[],7,FALSE))</f>
        <v>3.7846878E-4</v>
      </c>
      <c r="T79">
        <f>IF(VLOOKUP(all_lmics18[[Setting]:[Setting]],all_cause_mort[],8,FALSE)="",VLOOKUP(all_lmics18[[who_choice_region]:[who_choice_region]],missing[],12,FALSE),VLOOKUP(all_lmics18[[Setting]:[Setting]],all_cause_mort[],8,FALSE))</f>
        <v>9.4684244999999998E-4</v>
      </c>
      <c r="U79">
        <f>IF(VLOOKUP(all_lmics18[[Setting]:[Setting]],all_cause_mort[],9,FALSE)="",VLOOKUP(all_lmics18[[who_choice_region]:[who_choice_region]],missing[],13,FALSE),VLOOKUP(all_lmics18[[Setting]:[Setting]],all_cause_mort[],9,FALSE))</f>
        <v>1.3777779E-3</v>
      </c>
      <c r="V79">
        <f>IF(VLOOKUP(all_lmics18[[Setting]:[Setting]],all_cause_mort[],10,FALSE)="",VLOOKUP(all_lmics18[[who_choice_region]:[who_choice_region]],missing[],14,FALSE),VLOOKUP(all_lmics18[[Setting]:[Setting]],all_cause_mort[],10,FALSE))</f>
        <v>1.5084690999999999E-3</v>
      </c>
      <c r="W79">
        <f>IF(VLOOKUP(all_lmics18[[Setting]:[Setting]],all_cause_mort[],11,FALSE)="",VLOOKUP(all_lmics18[[who_choice_region]:[who_choice_region]],missing[],15,FALSE),VLOOKUP(all_lmics18[[Setting]:[Setting]],all_cause_mort[],11,FALSE))</f>
        <v>1.8046478E-3</v>
      </c>
      <c r="X79">
        <f>IF(VLOOKUP(all_lmics18[[Setting]:[Setting]],all_cause_mort[],12,FALSE)="",VLOOKUP(all_lmics18[[who_choice_region]:[who_choice_region]],missing[],16,FALSE),VLOOKUP(all_lmics18[[Setting]:[Setting]],all_cause_mort[],12,FALSE))</f>
        <v>2.4358008E-3</v>
      </c>
      <c r="Y79">
        <f>IF(VLOOKUP(all_lmics18[[Setting]:[Setting]],all_cause_mort[],13,FALSE)="",VLOOKUP(all_lmics18[[who_choice_region]:[who_choice_region]],missing[],17,FALSE),VLOOKUP(all_lmics18[[Setting]:[Setting]],all_cause_mort[],13,FALSE))</f>
        <v>3.5094525999999999E-3</v>
      </c>
      <c r="Z79">
        <f>IF(VLOOKUP(all_lmics18[[Setting]:[Setting]],all_cause_mort[],14,FALSE)="",VLOOKUP(all_lmics18[[who_choice_region]:[who_choice_region]],missing[],18,FALSE),VLOOKUP(all_lmics18[[Setting]:[Setting]],all_cause_mort[],14,FALSE))</f>
        <v>5.2965757000000002E-3</v>
      </c>
      <c r="AA79">
        <f>IF(VLOOKUP(all_lmics18[[Setting]:[Setting]],all_cause_mort[],15,FALSE)="",VLOOKUP(all_lmics18[[who_choice_region]:[who_choice_region]],missing[],19,FALSE),VLOOKUP(all_lmics18[[Setting]:[Setting]],all_cause_mort[],15,FALSE))</f>
        <v>8.0573542000000001E-3</v>
      </c>
      <c r="AB79">
        <f>IF(VLOOKUP(all_lmics18[[Setting]:[Setting]],all_cause_mort[],16,FALSE)="",VLOOKUP(all_lmics18[[who_choice_region]:[who_choice_region]],missing[],20,FALSE),VLOOKUP(all_lmics18[[Setting]:[Setting]],all_cause_mort[],16,FALSE))</f>
        <v>1.2005972E-2</v>
      </c>
      <c r="AC79">
        <f>IF(VLOOKUP(all_lmics18[[Setting]:[Setting]],all_cause_mort[],17,FALSE)="",VLOOKUP(all_lmics18[[who_choice_region]:[who_choice_region]],missing[],21,FALSE),VLOOKUP(all_lmics18[[Setting]:[Setting]],all_cause_mort[],17,FALSE))</f>
        <v>1.9367005E-2</v>
      </c>
      <c r="AD79">
        <f>IF(VLOOKUP(all_lmics18[[Setting]:[Setting]],all_cause_mort[],18,FALSE)="",VLOOKUP(all_lmics18[[who_choice_region]:[who_choice_region]],missing[],22,FALSE),VLOOKUP(all_lmics18[[Setting]:[Setting]],all_cause_mort[],18,FALSE))</f>
        <v>3.1715694000000003E-2</v>
      </c>
      <c r="AE79">
        <f>IF(VLOOKUP(all_lmics18[[Setting]:[Setting]],all_cause_mort[],19,FALSE)="",VLOOKUP(all_lmics18[[who_choice_region]:[who_choice_region]],missing[],23,FALSE),VLOOKUP(all_lmics18[[Setting]:[Setting]],all_cause_mort[],19,FALSE))</f>
        <v>5.1409031000000001E-2</v>
      </c>
      <c r="AF79">
        <f>IF(VLOOKUP(all_lmics18[[Setting]:[Setting]],all_cause_mort[],20,FALSE)="",VLOOKUP(all_lmics18[[who_choice_region]:[who_choice_region]],missing[],24,FALSE),VLOOKUP(all_lmics18[[Setting]:[Setting]],all_cause_mort[],20,FALSE))</f>
        <v>8.2907612000000006E-2</v>
      </c>
      <c r="AG79">
        <f>IF(VLOOKUP(all_lmics18[[Setting]:[Setting]],all_cause_mort[],21,FALSE)="",VLOOKUP(all_lmics18[[who_choice_region]:[who_choice_region]],missing[],25,FALSE),VLOOKUP(all_lmics18[[Setting]:[Setting]],all_cause_mort[],21,FALSE))</f>
        <v>0.13405068000000001</v>
      </c>
      <c r="AH79">
        <f>IF(VLOOKUP(all_lmics18[[Setting]:[Setting]],all_cause_mort[],22,FALSE)="",VLOOKUP(all_lmics18[[who_choice_region]:[who_choice_region]],missing[],26,FALSE),VLOOKUP(all_lmics18[[Setting]:[Setting]],all_cause_mort[],22,FALSE))</f>
        <v>0.21364996</v>
      </c>
      <c r="AI79">
        <f>IF(VLOOKUP(all_lmics18[[Setting]:[Setting]],all_cause_mort[],23,FALSE)="",VLOOKUP(all_lmics18[[who_choice_region]:[who_choice_region]],missing[],27,FALSE),VLOOKUP(all_lmics18[[Setting]:[Setting]],all_cause_mort[],23,FALSE))</f>
        <v>0.32364739999999997</v>
      </c>
      <c r="AJ79">
        <f>IF(VLOOKUP(all_lmics18[[Setting]:[Setting]],all_cause_mort[],24,FALSE)="",VLOOKUP(all_lmics18[[who_choice_region]:[who_choice_region]],missing[],28,FALSE),VLOOKUP(all_lmics18[[Setting]:[Setting]],all_cause_mort[],24,FALSE))</f>
        <v>0.45968676000000003</v>
      </c>
      <c r="AK79">
        <f>IF(VLOOKUP(all_lmics18[[Setting]:[Setting]],all_cause_mort[],25,FALSE)="",VLOOKUP(all_lmics18[[who_choice_region]:[who_choice_region]],missing[],29,FALSE),VLOOKUP(all_lmics18[[Setting]:[Setting]],all_cause_mort[],25,FALSE))</f>
        <v>0.61024581983139004</v>
      </c>
      <c r="AL79">
        <f>VLOOKUP(all_lmics18[[worldbank_region]:[worldbank_region]],Table13[],2,FALSE)</f>
        <v>73.064384999999987</v>
      </c>
      <c r="AM79">
        <f>VLOOKUP(all_lmics18[[worldbank_region]:[worldbank_region]],Table13[],3,FALSE)</f>
        <v>73.064384999999987</v>
      </c>
      <c r="AN79">
        <f>VLOOKUP(all_lmics18[[worldbank_region]:[worldbank_region]],Table13[],4,FALSE)</f>
        <v>120.79324499999998</v>
      </c>
      <c r="AO79">
        <f>VLOOKUP(all_lmics18[[worldbank_region]:[worldbank_region]],Table13[],5,FALSE)</f>
        <v>120.79324499999998</v>
      </c>
      <c r="AP79">
        <f>VLOOKUP(all_lmics18[[worldbank_region]:[worldbank_region]],Table13[],6,FALSE)</f>
        <v>120.79324499999998</v>
      </c>
      <c r="AQ79">
        <f>VLOOKUP(all_lmics18[[worldbank_region]:[worldbank_region]],Table14[],2,FALSE)</f>
        <v>1.34029</v>
      </c>
      <c r="AR79">
        <f>VLOOKUP(all_lmics18[[worldbank_region]:[worldbank_region]],Table14[],3,FALSE)</f>
        <v>1.9577900000000001</v>
      </c>
      <c r="AS79">
        <f>VLOOKUP(all_lmics18[[worldbank_region]:[worldbank_region]],Table14[],4,FALSE)</f>
        <v>1.9723159999999997</v>
      </c>
      <c r="AT79">
        <f>VLOOKUP(all_lmics18[[worldbank_region]:[worldbank_region]],Table14[],5,FALSE)</f>
        <v>2.5898159999999999</v>
      </c>
      <c r="AU79">
        <f>VLOOKUP(all_lmics18[[worldbank_region]:[worldbank_region]],Table14[],6,FALSE)</f>
        <v>3.1600679999999999</v>
      </c>
      <c r="AV79">
        <f>IFERROR(VLOOKUP(all_lmics18[[Setting]:[Setting]],nFacSBA[],4,FALSE),VLOOKUP(all_lmics18[[who_choice_region]:[who_choice_region]],missing[],30,FALSE))</f>
        <v>0.15985670213371023</v>
      </c>
      <c r="AW79">
        <f>VLOOKUP(all_lmics18[[worldbank_region]:[worldbank_region]],hbe[],2)</f>
        <v>0.3</v>
      </c>
      <c r="AX79">
        <f>VLOOKUP(all_lmics18[[worldbank_region]:[worldbank_region]],hbe[],5)</f>
        <v>0.875</v>
      </c>
      <c r="AY79">
        <f>VLOOKUP(all_lmics18[[worldbank_region]:[worldbank_region]],hbe[],8)</f>
        <v>0.15</v>
      </c>
    </row>
    <row r="80" spans="1:51" x14ac:dyDescent="0.35">
      <c r="A80" s="8" t="s">
        <v>207</v>
      </c>
      <c r="B80" s="10" t="s">
        <v>33</v>
      </c>
      <c r="C80" s="11" t="s">
        <v>7</v>
      </c>
      <c r="D80">
        <f>VLOOKUP(all_lmics18[[Setting]:[Setting]],populations[],9,FALSE)</f>
        <v>11532127</v>
      </c>
      <c r="E80">
        <f>VLOOKUP(all_lmics18[[Setting]:[Setting]],birthrate[],3,FALSE)</f>
        <v>1.8295000000000002E-2</v>
      </c>
      <c r="F80">
        <f>all_lmics18[[#This Row],[2017_population]]*all_lmics18[[#This Row],[2016_birthrate]]</f>
        <v>210980.26346500003</v>
      </c>
      <c r="G80">
        <f>VLOOKUP(all_lmics18[[Setting]:[Setting]],birthdose[],4,FALSE)</f>
        <v>0.83</v>
      </c>
      <c r="H80">
        <f>VLOOKUP(all_lmics18[[Setting]:[Setting]],fullvax[],4,FALSE)</f>
        <v>0.98</v>
      </c>
      <c r="I80">
        <f>IFERROR(VLOOKUP(all_lmics18[[Setting]:[Setting]],prev[],3,FALSE),VLOOKUP(all_lmics18[[who_choice_region]:[who_choice_region]],missing[],2,FALSE))</f>
        <v>3.9E-2</v>
      </c>
      <c r="J80">
        <f>IFERROR(VLOOKUP(all_lmics18[[Setting]:[Setting]],prev[],4,FALSE),VLOOKUP(all_lmics18[[who_choice_region]:[who_choice_region]],missing[],3,FALSE))</f>
        <v>3.5999999999999997E-2</v>
      </c>
      <c r="K80">
        <f>IFERROR(VLOOKUP(all_lmics18[[Setting]:[Setting]],prev[],5,FALSE),VLOOKUP(all_lmics18[[who_choice_region]:[who_choice_region]],missing[],4,FALSE))</f>
        <v>4.2000000000000003E-2</v>
      </c>
      <c r="L80">
        <f>IFERROR(VLOOKUP(all_lmics18[[Setting]:[Setting]],prev[],7,FALSE),VLOOKUP(all_lmics18[[who_choice_region]:[who_choice_region]],missing[],5,FALSE))</f>
        <v>1.5306122448979606E-3</v>
      </c>
      <c r="M80">
        <f>IFERROR(VLOOKUP(all_lmics18[[Setting]:[Setting]],prev[],6,FALSE),0)</f>
        <v>11532127</v>
      </c>
      <c r="N80">
        <f>IFERROR(VLOOKUP(all_lmics18[[Setting]:[Setting]],SBA[],4,FALSE),VLOOKUP(all_lmics18[[who_choice_region]:[who_choice_region]],missing[],6,FALSE))</f>
        <v>0.73599999999999999</v>
      </c>
      <c r="O80">
        <f>IFERROR(VLOOKUP(all_lmics18[[Setting]:[Setting]], facility[], 3,FALSE),VLOOKUP(all_lmics18[[who_choice_region]:[who_choice_region]],missing[],7,FALSE))</f>
        <v>0.98499999999999999</v>
      </c>
      <c r="P80">
        <f>IF(VLOOKUP(all_lmics18[[Setting]:[Setting]],all_cause_mort[],4,FALSE)="",VLOOKUP(all_lmics18[[who_choice_region]:[who_choice_region]],missing[],8,FALSE),VLOOKUP(all_lmics18[[Setting]:[Setting]],all_cause_mort[],4,FALSE))</f>
        <v>1.2826726E-2</v>
      </c>
      <c r="Q80">
        <f>IF(VLOOKUP(all_lmics18[[Setting]:[Setting]],all_cause_mort[],5,FALSE)="",VLOOKUP(all_lmics18[[who_choice_region]:[who_choice_region]],missing[],9,FALSE),VLOOKUP(all_lmics18[[Setting]:[Setting]],all_cause_mort[],5,FALSE))</f>
        <v>1.9637071E-4</v>
      </c>
      <c r="R80">
        <f>IF(VLOOKUP(all_lmics18[[Setting]:[Setting]],all_cause_mort[],6,FALSE)="",VLOOKUP(all_lmics18[[who_choice_region]:[who_choice_region]],missing[],10,FALSE),VLOOKUP(all_lmics18[[Setting]:[Setting]],all_cause_mort[],6,FALSE))</f>
        <v>1.4533880000000001E-4</v>
      </c>
      <c r="S80">
        <f>IF(VLOOKUP(all_lmics18[[Setting]:[Setting]],all_cause_mort[],7,FALSE)="",VLOOKUP(all_lmics18[[who_choice_region]:[who_choice_region]],missing[],11,FALSE),VLOOKUP(all_lmics18[[Setting]:[Setting]],all_cause_mort[],7,FALSE))</f>
        <v>2.4581647000000001E-4</v>
      </c>
      <c r="T80">
        <f>IF(VLOOKUP(all_lmics18[[Setting]:[Setting]],all_cause_mort[],8,FALSE)="",VLOOKUP(all_lmics18[[who_choice_region]:[who_choice_region]],missing[],12,FALSE),VLOOKUP(all_lmics18[[Setting]:[Setting]],all_cause_mort[],8,FALSE))</f>
        <v>3.6978267000000001E-4</v>
      </c>
      <c r="U80">
        <f>IF(VLOOKUP(all_lmics18[[Setting]:[Setting]],all_cause_mort[],9,FALSE)="",VLOOKUP(all_lmics18[[who_choice_region]:[who_choice_region]],missing[],13,FALSE),VLOOKUP(all_lmics18[[Setting]:[Setting]],all_cause_mort[],9,FALSE))</f>
        <v>5.0278987999999997E-4</v>
      </c>
      <c r="V80">
        <f>IF(VLOOKUP(all_lmics18[[Setting]:[Setting]],all_cause_mort[],10,FALSE)="",VLOOKUP(all_lmics18[[who_choice_region]:[who_choice_region]],missing[],14,FALSE),VLOOKUP(all_lmics18[[Setting]:[Setting]],all_cause_mort[],10,FALSE))</f>
        <v>5.7106479000000002E-4</v>
      </c>
      <c r="W80">
        <f>IF(VLOOKUP(all_lmics18[[Setting]:[Setting]],all_cause_mort[],11,FALSE)="",VLOOKUP(all_lmics18[[who_choice_region]:[who_choice_region]],missing[],15,FALSE),VLOOKUP(all_lmics18[[Setting]:[Setting]],all_cause_mort[],11,FALSE))</f>
        <v>6.6980060000000001E-4</v>
      </c>
      <c r="X80">
        <f>IF(VLOOKUP(all_lmics18[[Setting]:[Setting]],all_cause_mort[],12,FALSE)="",VLOOKUP(all_lmics18[[who_choice_region]:[who_choice_region]],missing[],16,FALSE),VLOOKUP(all_lmics18[[Setting]:[Setting]],all_cause_mort[],12,FALSE))</f>
        <v>9.4116413999999996E-4</v>
      </c>
      <c r="Y80">
        <f>IF(VLOOKUP(all_lmics18[[Setting]:[Setting]],all_cause_mort[],13,FALSE)="",VLOOKUP(all_lmics18[[who_choice_region]:[who_choice_region]],missing[],17,FALSE),VLOOKUP(all_lmics18[[Setting]:[Setting]],all_cause_mort[],13,FALSE))</f>
        <v>1.5008735E-3</v>
      </c>
      <c r="Z80">
        <f>IF(VLOOKUP(all_lmics18[[Setting]:[Setting]],all_cause_mort[],14,FALSE)="",VLOOKUP(all_lmics18[[who_choice_region]:[who_choice_region]],missing[],18,FALSE),VLOOKUP(all_lmics18[[Setting]:[Setting]],all_cause_mort[],14,FALSE))</f>
        <v>2.4719069000000001E-3</v>
      </c>
      <c r="AA80">
        <f>IF(VLOOKUP(all_lmics18[[Setting]:[Setting]],all_cause_mort[],15,FALSE)="",VLOOKUP(all_lmics18[[who_choice_region]:[who_choice_region]],missing[],19,FALSE),VLOOKUP(all_lmics18[[Setting]:[Setting]],all_cause_mort[],15,FALSE))</f>
        <v>4.2553664000000001E-3</v>
      </c>
      <c r="AB80">
        <f>IF(VLOOKUP(all_lmics18[[Setting]:[Setting]],all_cause_mort[],16,FALSE)="",VLOOKUP(all_lmics18[[who_choice_region]:[who_choice_region]],missing[],20,FALSE),VLOOKUP(all_lmics18[[Setting]:[Setting]],all_cause_mort[],16,FALSE))</f>
        <v>7.1728655999999998E-3</v>
      </c>
      <c r="AC80">
        <f>IF(VLOOKUP(all_lmics18[[Setting]:[Setting]],all_cause_mort[],17,FALSE)="",VLOOKUP(all_lmics18[[who_choice_region]:[who_choice_region]],missing[],21,FALSE),VLOOKUP(all_lmics18[[Setting]:[Setting]],all_cause_mort[],17,FALSE))</f>
        <v>1.1706767999999999E-2</v>
      </c>
      <c r="AD80">
        <f>IF(VLOOKUP(all_lmics18[[Setting]:[Setting]],all_cause_mort[],18,FALSE)="",VLOOKUP(all_lmics18[[who_choice_region]:[who_choice_region]],missing[],22,FALSE),VLOOKUP(all_lmics18[[Setting]:[Setting]],all_cause_mort[],18,FALSE))</f>
        <v>1.8823829E-2</v>
      </c>
      <c r="AE80">
        <f>IF(VLOOKUP(all_lmics18[[Setting]:[Setting]],all_cause_mort[],19,FALSE)="",VLOOKUP(all_lmics18[[who_choice_region]:[who_choice_region]],missing[],23,FALSE),VLOOKUP(all_lmics18[[Setting]:[Setting]],all_cause_mort[],19,FALSE))</f>
        <v>3.3331056999999997E-2</v>
      </c>
      <c r="AF80">
        <f>IF(VLOOKUP(all_lmics18[[Setting]:[Setting]],all_cause_mort[],20,FALSE)="",VLOOKUP(all_lmics18[[who_choice_region]:[who_choice_region]],missing[],24,FALSE),VLOOKUP(all_lmics18[[Setting]:[Setting]],all_cause_mort[],20,FALSE))</f>
        <v>5.8882819000000003E-2</v>
      </c>
      <c r="AG80">
        <f>IF(VLOOKUP(all_lmics18[[Setting]:[Setting]],all_cause_mort[],21,FALSE)="",VLOOKUP(all_lmics18[[who_choice_region]:[who_choice_region]],missing[],25,FALSE),VLOOKUP(all_lmics18[[Setting]:[Setting]],all_cause_mort[],21,FALSE))</f>
        <v>0.10050381</v>
      </c>
      <c r="AH80">
        <f>IF(VLOOKUP(all_lmics18[[Setting]:[Setting]],all_cause_mort[],22,FALSE)="",VLOOKUP(all_lmics18[[who_choice_region]:[who_choice_region]],missing[],26,FALSE),VLOOKUP(all_lmics18[[Setting]:[Setting]],all_cause_mort[],22,FALSE))</f>
        <v>0.16299215</v>
      </c>
      <c r="AI80">
        <f>IF(VLOOKUP(all_lmics18[[Setting]:[Setting]],all_cause_mort[],23,FALSE)="",VLOOKUP(all_lmics18[[who_choice_region]:[who_choice_region]],missing[],27,FALSE),VLOOKUP(all_lmics18[[Setting]:[Setting]],all_cause_mort[],23,FALSE))</f>
        <v>0.24602652</v>
      </c>
      <c r="AJ80">
        <f>IF(VLOOKUP(all_lmics18[[Setting]:[Setting]],all_cause_mort[],24,FALSE)="",VLOOKUP(all_lmics18[[who_choice_region]:[who_choice_region]],missing[],28,FALSE),VLOOKUP(all_lmics18[[Setting]:[Setting]],all_cause_mort[],24,FALSE))</f>
        <v>0.34366651999999998</v>
      </c>
      <c r="AK80">
        <f>IF(VLOOKUP(all_lmics18[[Setting]:[Setting]],all_cause_mort[],25,FALSE)="",VLOOKUP(all_lmics18[[who_choice_region]:[who_choice_region]],missing[],29,FALSE),VLOOKUP(all_lmics18[[Setting]:[Setting]],all_cause_mort[],25,FALSE))</f>
        <v>0.486986716609427</v>
      </c>
      <c r="AL80">
        <f>VLOOKUP(all_lmics18[[worldbank_region]:[worldbank_region]],Table13[],2,FALSE)</f>
        <v>57.906657999999993</v>
      </c>
      <c r="AM80">
        <f>VLOOKUP(all_lmics18[[worldbank_region]:[worldbank_region]],Table13[],3,FALSE)</f>
        <v>57.906657999999993</v>
      </c>
      <c r="AN80">
        <f>VLOOKUP(all_lmics18[[worldbank_region]:[worldbank_region]],Table13[],4,FALSE)</f>
        <v>105.63551799999999</v>
      </c>
      <c r="AO80">
        <f>VLOOKUP(all_lmics18[[worldbank_region]:[worldbank_region]],Table13[],5,FALSE)</f>
        <v>105.63551799999999</v>
      </c>
      <c r="AP80">
        <f>VLOOKUP(all_lmics18[[worldbank_region]:[worldbank_region]],Table13[],6,FALSE)</f>
        <v>105.63551799999999</v>
      </c>
      <c r="AQ80">
        <f>VLOOKUP(all_lmics18[[worldbank_region]:[worldbank_region]],Table14[],2,FALSE)</f>
        <v>1.5037449999999999</v>
      </c>
      <c r="AR80">
        <f>VLOOKUP(all_lmics18[[worldbank_region]:[worldbank_region]],Table14[],3,FALSE)</f>
        <v>2.121245</v>
      </c>
      <c r="AS80">
        <f>VLOOKUP(all_lmics18[[worldbank_region]:[worldbank_region]],Table14[],4,FALSE)</f>
        <v>1.9832129999999999</v>
      </c>
      <c r="AT80">
        <f>VLOOKUP(all_lmics18[[worldbank_region]:[worldbank_region]],Table14[],5,FALSE)</f>
        <v>2.6007129999999998</v>
      </c>
      <c r="AU80">
        <f>VLOOKUP(all_lmics18[[worldbank_region]:[worldbank_region]],Table14[],6,FALSE)</f>
        <v>3.1709649999999998</v>
      </c>
      <c r="AV80">
        <f>IFERROR(VLOOKUP(all_lmics18[[Setting]:[Setting]],nFacSBA[],4,FALSE),VLOOKUP(all_lmics18[[who_choice_region]:[who_choice_region]],missing[],30,FALSE))</f>
        <v>8.5009323388385724E-2</v>
      </c>
      <c r="AW80">
        <f>VLOOKUP(all_lmics18[[worldbank_region]:[worldbank_region]],hbe[],2)</f>
        <v>0.3</v>
      </c>
      <c r="AX80">
        <f>VLOOKUP(all_lmics18[[worldbank_region]:[worldbank_region]],hbe[],5)</f>
        <v>0.875</v>
      </c>
      <c r="AY80">
        <f>VLOOKUP(all_lmics18[[worldbank_region]:[worldbank_region]],hbe[],8)</f>
        <v>0.15</v>
      </c>
    </row>
    <row r="81" spans="1:51" x14ac:dyDescent="0.35">
      <c r="A81" s="12" t="s">
        <v>208</v>
      </c>
      <c r="B81" s="13" t="s">
        <v>10</v>
      </c>
      <c r="C81" s="14" t="s">
        <v>11</v>
      </c>
      <c r="D81">
        <f>VLOOKUP(all_lmics18[[Setting]:[Setting]],populations[],9,FALSE)</f>
        <v>80745020</v>
      </c>
      <c r="E81">
        <f>VLOOKUP(all_lmics18[[Setting]:[Setting]],birthrate[],3,FALSE)</f>
        <v>1.6240999999999998E-2</v>
      </c>
      <c r="F81">
        <f>all_lmics18[[#This Row],[2017_population]]*all_lmics18[[#This Row],[2016_birthrate]]</f>
        <v>1311379.8698199999</v>
      </c>
      <c r="G81">
        <f>VLOOKUP(all_lmics18[[Setting]:[Setting]],birthdose[],4,FALSE)</f>
        <v>0.99</v>
      </c>
      <c r="H81">
        <f>VLOOKUP(all_lmics18[[Setting]:[Setting]],fullvax[],4,FALSE)</f>
        <v>0.96</v>
      </c>
      <c r="I81">
        <f>IFERROR(VLOOKUP(all_lmics18[[Setting]:[Setting]],prev[],3,FALSE),VLOOKUP(all_lmics18[[who_choice_region]:[who_choice_region]],missing[],2,FALSE))</f>
        <v>2.5999999999999999E-2</v>
      </c>
      <c r="J81">
        <f>IFERROR(VLOOKUP(all_lmics18[[Setting]:[Setting]],prev[],4,FALSE),VLOOKUP(all_lmics18[[who_choice_region]:[who_choice_region]],missing[],3,FALSE))</f>
        <v>1.9E-2</v>
      </c>
      <c r="K81">
        <f>IFERROR(VLOOKUP(all_lmics18[[Setting]:[Setting]],prev[],5,FALSE),VLOOKUP(all_lmics18[[who_choice_region]:[who_choice_region]],missing[],4,FALSE))</f>
        <v>3.5000000000000003E-2</v>
      </c>
      <c r="L81">
        <f>IFERROR(VLOOKUP(all_lmics18[[Setting]:[Setting]],prev[],7,FALSE),VLOOKUP(all_lmics18[[who_choice_region]:[who_choice_region]],missing[],5,FALSE))</f>
        <v>4.5918367346938797E-3</v>
      </c>
      <c r="M81">
        <f>IFERROR(VLOOKUP(all_lmics18[[Setting]:[Setting]],prev[],6,FALSE),0)</f>
        <v>80745020</v>
      </c>
      <c r="N81">
        <f>IFERROR(VLOOKUP(all_lmics18[[Setting]:[Setting]],SBA[],4,FALSE),VLOOKUP(all_lmics18[[who_choice_region]:[who_choice_region]],missing[],6,FALSE))</f>
        <v>0.97400000000000009</v>
      </c>
      <c r="O81">
        <f>IFERROR(VLOOKUP(all_lmics18[[Setting]:[Setting]], facility[], 3,FALSE),VLOOKUP(all_lmics18[[who_choice_region]:[who_choice_region]],missing[],7,FALSE))</f>
        <v>0.97199999999999998</v>
      </c>
      <c r="P81">
        <f>IF(VLOOKUP(all_lmics18[[Setting]:[Setting]],all_cause_mort[],4,FALSE)="",VLOOKUP(all_lmics18[[who_choice_region]:[who_choice_region]],missing[],8,FALSE),VLOOKUP(all_lmics18[[Setting]:[Setting]],all_cause_mort[],4,FALSE))</f>
        <v>8.9758821000000006E-3</v>
      </c>
      <c r="Q81">
        <f>IF(VLOOKUP(all_lmics18[[Setting]:[Setting]],all_cause_mort[],5,FALSE)="",VLOOKUP(all_lmics18[[who_choice_region]:[who_choice_region]],missing[],9,FALSE),VLOOKUP(all_lmics18[[Setting]:[Setting]],all_cause_mort[],5,FALSE))</f>
        <v>1.0998576999999999E-3</v>
      </c>
      <c r="R81">
        <f>IF(VLOOKUP(all_lmics18[[Setting]:[Setting]],all_cause_mort[],6,FALSE)="",VLOOKUP(all_lmics18[[who_choice_region]:[who_choice_region]],missing[],10,FALSE),VLOOKUP(all_lmics18[[Setting]:[Setting]],all_cause_mort[],6,FALSE))</f>
        <v>6.8350275000000004E-4</v>
      </c>
      <c r="S81">
        <f>IF(VLOOKUP(all_lmics18[[Setting]:[Setting]],all_cause_mort[],7,FALSE)="",VLOOKUP(all_lmics18[[who_choice_region]:[who_choice_region]],missing[],11,FALSE),VLOOKUP(all_lmics18[[Setting]:[Setting]],all_cause_mort[],7,FALSE))</f>
        <v>5.8378824000000003E-4</v>
      </c>
      <c r="T81">
        <f>IF(VLOOKUP(all_lmics18[[Setting]:[Setting]],all_cause_mort[],8,FALSE)="",VLOOKUP(all_lmics18[[who_choice_region]:[who_choice_region]],missing[],12,FALSE),VLOOKUP(all_lmics18[[Setting]:[Setting]],all_cause_mort[],8,FALSE))</f>
        <v>6.9276107000000001E-4</v>
      </c>
      <c r="U81">
        <f>IF(VLOOKUP(all_lmics18[[Setting]:[Setting]],all_cause_mort[],9,FALSE)="",VLOOKUP(all_lmics18[[who_choice_region]:[who_choice_region]],missing[],13,FALSE),VLOOKUP(all_lmics18[[Setting]:[Setting]],all_cause_mort[],9,FALSE))</f>
        <v>9.6323236000000003E-4</v>
      </c>
      <c r="V81">
        <f>IF(VLOOKUP(all_lmics18[[Setting]:[Setting]],all_cause_mort[],10,FALSE)="",VLOOKUP(all_lmics18[[who_choice_region]:[who_choice_region]],missing[],14,FALSE),VLOOKUP(all_lmics18[[Setting]:[Setting]],all_cause_mort[],10,FALSE))</f>
        <v>1.1777116999999999E-3</v>
      </c>
      <c r="W81">
        <f>IF(VLOOKUP(all_lmics18[[Setting]:[Setting]],all_cause_mort[],11,FALSE)="",VLOOKUP(all_lmics18[[who_choice_region]:[who_choice_region]],missing[],15,FALSE),VLOOKUP(all_lmics18[[Setting]:[Setting]],all_cause_mort[],11,FALSE))</f>
        <v>1.3820001E-3</v>
      </c>
      <c r="X81">
        <f>IF(VLOOKUP(all_lmics18[[Setting]:[Setting]],all_cause_mort[],12,FALSE)="",VLOOKUP(all_lmics18[[who_choice_region]:[who_choice_region]],missing[],16,FALSE),VLOOKUP(all_lmics18[[Setting]:[Setting]],all_cause_mort[],12,FALSE))</f>
        <v>1.6388512E-3</v>
      </c>
      <c r="Y81">
        <f>IF(VLOOKUP(all_lmics18[[Setting]:[Setting]],all_cause_mort[],13,FALSE)="",VLOOKUP(all_lmics18[[who_choice_region]:[who_choice_region]],missing[],17,FALSE),VLOOKUP(all_lmics18[[Setting]:[Setting]],all_cause_mort[],13,FALSE))</f>
        <v>2.0133665000000001E-3</v>
      </c>
      <c r="Z81">
        <f>IF(VLOOKUP(all_lmics18[[Setting]:[Setting]],all_cause_mort[],14,FALSE)="",VLOOKUP(all_lmics18[[who_choice_region]:[who_choice_region]],missing[],18,FALSE),VLOOKUP(all_lmics18[[Setting]:[Setting]],all_cause_mort[],14,FALSE))</f>
        <v>2.6066143999999999E-3</v>
      </c>
      <c r="AA81">
        <f>IF(VLOOKUP(all_lmics18[[Setting]:[Setting]],all_cause_mort[],15,FALSE)="",VLOOKUP(all_lmics18[[who_choice_region]:[who_choice_region]],missing[],19,FALSE),VLOOKUP(all_lmics18[[Setting]:[Setting]],all_cause_mort[],15,FALSE))</f>
        <v>3.5633887E-3</v>
      </c>
      <c r="AB81">
        <f>IF(VLOOKUP(all_lmics18[[Setting]:[Setting]],all_cause_mort[],16,FALSE)="",VLOOKUP(all_lmics18[[who_choice_region]:[who_choice_region]],missing[],20,FALSE),VLOOKUP(all_lmics18[[Setting]:[Setting]],all_cause_mort[],16,FALSE))</f>
        <v>5.2989691000000002E-3</v>
      </c>
      <c r="AC81">
        <f>IF(VLOOKUP(all_lmics18[[Setting]:[Setting]],all_cause_mort[],17,FALSE)="",VLOOKUP(all_lmics18[[who_choice_region]:[who_choice_region]],missing[],21,FALSE),VLOOKUP(all_lmics18[[Setting]:[Setting]],all_cause_mort[],17,FALSE))</f>
        <v>8.2979382000000004E-3</v>
      </c>
      <c r="AD81">
        <f>IF(VLOOKUP(all_lmics18[[Setting]:[Setting]],all_cause_mort[],18,FALSE)="",VLOOKUP(all_lmics18[[who_choice_region]:[who_choice_region]],missing[],22,FALSE),VLOOKUP(all_lmics18[[Setting]:[Setting]],all_cause_mort[],18,FALSE))</f>
        <v>1.3670112E-2</v>
      </c>
      <c r="AE81">
        <f>IF(VLOOKUP(all_lmics18[[Setting]:[Setting]],all_cause_mort[],19,FALSE)="",VLOOKUP(all_lmics18[[who_choice_region]:[who_choice_region]],missing[],23,FALSE),VLOOKUP(all_lmics18[[Setting]:[Setting]],all_cause_mort[],19,FALSE))</f>
        <v>2.5049207E-2</v>
      </c>
      <c r="AF81">
        <f>IF(VLOOKUP(all_lmics18[[Setting]:[Setting]],all_cause_mort[],20,FALSE)="",VLOOKUP(all_lmics18[[who_choice_region]:[who_choice_region]],missing[],24,FALSE),VLOOKUP(all_lmics18[[Setting]:[Setting]],all_cause_mort[],20,FALSE))</f>
        <v>4.6487158000000001E-2</v>
      </c>
      <c r="AG81">
        <f>IF(VLOOKUP(all_lmics18[[Setting]:[Setting]],all_cause_mort[],21,FALSE)="",VLOOKUP(all_lmics18[[who_choice_region]:[who_choice_region]],missing[],25,FALSE),VLOOKUP(all_lmics18[[Setting]:[Setting]],all_cause_mort[],21,FALSE))</f>
        <v>8.3415056000000001E-2</v>
      </c>
      <c r="AH81">
        <f>IF(VLOOKUP(all_lmics18[[Setting]:[Setting]],all_cause_mort[],22,FALSE)="",VLOOKUP(all_lmics18[[who_choice_region]:[who_choice_region]],missing[],26,FALSE),VLOOKUP(all_lmics18[[Setting]:[Setting]],all_cause_mort[],22,FALSE))</f>
        <v>0.14180856999999999</v>
      </c>
      <c r="AI81">
        <f>IF(VLOOKUP(all_lmics18[[Setting]:[Setting]],all_cause_mort[],23,FALSE)="",VLOOKUP(all_lmics18[[who_choice_region]:[who_choice_region]],missing[],27,FALSE),VLOOKUP(all_lmics18[[Setting]:[Setting]],all_cause_mort[],23,FALSE))</f>
        <v>0.22865009</v>
      </c>
      <c r="AJ81">
        <f>IF(VLOOKUP(all_lmics18[[Setting]:[Setting]],all_cause_mort[],24,FALSE)="",VLOOKUP(all_lmics18[[who_choice_region]:[who_choice_region]],missing[],28,FALSE),VLOOKUP(all_lmics18[[Setting]:[Setting]],all_cause_mort[],24,FALSE))</f>
        <v>0.34751042999999998</v>
      </c>
      <c r="AK81">
        <f>IF(VLOOKUP(all_lmics18[[Setting]:[Setting]],all_cause_mort[],25,FALSE)="",VLOOKUP(all_lmics18[[who_choice_region]:[who_choice_region]],missing[],29,FALSE),VLOOKUP(all_lmics18[[Setting]:[Setting]],all_cause_mort[],25,FALSE))</f>
        <v>0.47483590502085299</v>
      </c>
      <c r="AL81">
        <f>VLOOKUP(all_lmics18[[worldbank_region]:[worldbank_region]],Table13[],2,FALSE)</f>
        <v>44.525141999999995</v>
      </c>
      <c r="AM81">
        <f>VLOOKUP(all_lmics18[[worldbank_region]:[worldbank_region]],Table13[],3,FALSE)</f>
        <v>44.525141999999995</v>
      </c>
      <c r="AN81">
        <f>VLOOKUP(all_lmics18[[worldbank_region]:[worldbank_region]],Table13[],4,FALSE)</f>
        <v>92.254001999999986</v>
      </c>
      <c r="AO81">
        <f>VLOOKUP(all_lmics18[[worldbank_region]:[worldbank_region]],Table13[],5,FALSE)</f>
        <v>92.254001999999986</v>
      </c>
      <c r="AP81">
        <f>VLOOKUP(all_lmics18[[worldbank_region]:[worldbank_region]],Table13[],6,FALSE)</f>
        <v>92.254001999999986</v>
      </c>
      <c r="AQ81">
        <f>VLOOKUP(all_lmics18[[worldbank_region]:[worldbank_region]],Table14[],2,FALSE)</f>
        <v>6.4182919999999992</v>
      </c>
      <c r="AR81">
        <f>VLOOKUP(all_lmics18[[worldbank_region]:[worldbank_region]],Table14[],3,FALSE)</f>
        <v>7.0357919999999998</v>
      </c>
      <c r="AS81">
        <f>VLOOKUP(all_lmics18[[worldbank_region]:[worldbank_region]],Table14[],4,FALSE)</f>
        <v>10.482872999999998</v>
      </c>
      <c r="AT81">
        <f>VLOOKUP(all_lmics18[[worldbank_region]:[worldbank_region]],Table14[],5,FALSE)</f>
        <v>11.100372999999999</v>
      </c>
      <c r="AU81">
        <f>VLOOKUP(all_lmics18[[worldbank_region]:[worldbank_region]],Table14[],6,FALSE)</f>
        <v>11.670624999999999</v>
      </c>
      <c r="AV81">
        <f>IFERROR(VLOOKUP(all_lmics18[[Setting]:[Setting]],nFacSBA[],4,FALSE),VLOOKUP(all_lmics18[[who_choice_region]:[who_choice_region]],missing[],30,FALSE))</f>
        <v>0.53357812104952496</v>
      </c>
      <c r="AW81">
        <f>VLOOKUP(all_lmics18[[worldbank_region]:[worldbank_region]],hbe[],2)</f>
        <v>0.3</v>
      </c>
      <c r="AX81">
        <f>VLOOKUP(all_lmics18[[worldbank_region]:[worldbank_region]],hbe[],5)</f>
        <v>0.875</v>
      </c>
      <c r="AY81">
        <f>VLOOKUP(all_lmics18[[worldbank_region]:[worldbank_region]],hbe[],8)</f>
        <v>0.15</v>
      </c>
    </row>
    <row r="82" spans="1:51" x14ac:dyDescent="0.35">
      <c r="A82" s="8" t="s">
        <v>209</v>
      </c>
      <c r="B82" s="10" t="s">
        <v>10</v>
      </c>
      <c r="C82" s="11" t="s">
        <v>11</v>
      </c>
      <c r="D82">
        <f>VLOOKUP(all_lmics18[[Setting]:[Setting]],populations[],9,FALSE)</f>
        <v>5758075</v>
      </c>
      <c r="E82">
        <f>VLOOKUP(all_lmics18[[Setting]:[Setting]],birthrate[],3,FALSE)</f>
        <v>2.5373E-2</v>
      </c>
      <c r="F82">
        <f>all_lmics18[[#This Row],[2017_population]]*all_lmics18[[#This Row],[2016_birthrate]]</f>
        <v>146099.636975</v>
      </c>
      <c r="G82">
        <f>VLOOKUP(all_lmics18[[Setting]:[Setting]],birthdose[],4,FALSE)</f>
        <v>0.99</v>
      </c>
      <c r="H82">
        <f>VLOOKUP(all_lmics18[[Setting]:[Setting]],fullvax[],4,FALSE)</f>
        <v>0.99</v>
      </c>
      <c r="I82">
        <f>IFERROR(VLOOKUP(all_lmics18[[Setting]:[Setting]],prev[],3,FALSE),VLOOKUP(all_lmics18[[who_choice_region]:[who_choice_region]],missing[],2,FALSE))</f>
        <v>9.5000000000000001E-2</v>
      </c>
      <c r="J82">
        <f>IFERROR(VLOOKUP(all_lmics18[[Setting]:[Setting]],prev[],4,FALSE),VLOOKUP(all_lmics18[[who_choice_region]:[who_choice_region]],missing[],3,FALSE))</f>
        <v>8.6999999999999994E-2</v>
      </c>
      <c r="K82">
        <f>IFERROR(VLOOKUP(all_lmics18[[Setting]:[Setting]],prev[],5,FALSE),VLOOKUP(all_lmics18[[who_choice_region]:[who_choice_region]],missing[],4,FALSE))</f>
        <v>0.114</v>
      </c>
      <c r="L82">
        <f>IFERROR(VLOOKUP(all_lmics18[[Setting]:[Setting]],prev[],7,FALSE),VLOOKUP(all_lmics18[[who_choice_region]:[who_choice_region]],missing[],5,FALSE))</f>
        <v>9.6938775510204099E-3</v>
      </c>
      <c r="M82">
        <f>IFERROR(VLOOKUP(all_lmics18[[Setting]:[Setting]],prev[],6,FALSE),0)</f>
        <v>5758075</v>
      </c>
      <c r="N82">
        <f>IFERROR(VLOOKUP(all_lmics18[[Setting]:[Setting]],SBA[],4,FALSE),VLOOKUP(all_lmics18[[who_choice_region]:[who_choice_region]],missing[],6,FALSE))</f>
        <v>0.9998999999999999</v>
      </c>
      <c r="O82">
        <f>IFERROR(VLOOKUP(all_lmics18[[Setting]:[Setting]], facility[], 3,FALSE),VLOOKUP(all_lmics18[[who_choice_region]:[who_choice_region]],missing[],7,FALSE))</f>
        <v>0.995</v>
      </c>
      <c r="P82">
        <f>IF(VLOOKUP(all_lmics18[[Setting]:[Setting]],all_cause_mort[],4,FALSE)="",VLOOKUP(all_lmics18[[who_choice_region]:[who_choice_region]],missing[],8,FALSE),VLOOKUP(all_lmics18[[Setting]:[Setting]],all_cause_mort[],4,FALSE))</f>
        <v>4.4921488000000002E-2</v>
      </c>
      <c r="Q82">
        <f>IF(VLOOKUP(all_lmics18[[Setting]:[Setting]],all_cause_mort[],5,FALSE)="",VLOOKUP(all_lmics18[[who_choice_region]:[who_choice_region]],missing[],9,FALSE),VLOOKUP(all_lmics18[[Setting]:[Setting]],all_cause_mort[],5,FALSE))</f>
        <v>2.1412040999999999E-3</v>
      </c>
      <c r="R82">
        <f>IF(VLOOKUP(all_lmics18[[Setting]:[Setting]],all_cause_mort[],6,FALSE)="",VLOOKUP(all_lmics18[[who_choice_region]:[who_choice_region]],missing[],10,FALSE),VLOOKUP(all_lmics18[[Setting]:[Setting]],all_cause_mort[],6,FALSE))</f>
        <v>3.8652032999999999E-4</v>
      </c>
      <c r="S82">
        <f>IF(VLOOKUP(all_lmics18[[Setting]:[Setting]],all_cause_mort[],7,FALSE)="",VLOOKUP(all_lmics18[[who_choice_region]:[who_choice_region]],missing[],11,FALSE),VLOOKUP(all_lmics18[[Setting]:[Setting]],all_cause_mort[],7,FALSE))</f>
        <v>3.7888500999999999E-4</v>
      </c>
      <c r="T82">
        <f>IF(VLOOKUP(all_lmics18[[Setting]:[Setting]],all_cause_mort[],8,FALSE)="",VLOOKUP(all_lmics18[[who_choice_region]:[who_choice_region]],missing[],12,FALSE),VLOOKUP(all_lmics18[[Setting]:[Setting]],all_cause_mort[],8,FALSE))</f>
        <v>8.7431423999999997E-4</v>
      </c>
      <c r="U82">
        <f>IF(VLOOKUP(all_lmics18[[Setting]:[Setting]],all_cause_mort[],9,FALSE)="",VLOOKUP(all_lmics18[[who_choice_region]:[who_choice_region]],missing[],13,FALSE),VLOOKUP(all_lmics18[[Setting]:[Setting]],all_cause_mort[],9,FALSE))</f>
        <v>1.1724845000000001E-3</v>
      </c>
      <c r="V82">
        <f>IF(VLOOKUP(all_lmics18[[Setting]:[Setting]],all_cause_mort[],10,FALSE)="",VLOOKUP(all_lmics18[[who_choice_region]:[who_choice_region]],missing[],14,FALSE),VLOOKUP(all_lmics18[[Setting]:[Setting]],all_cause_mort[],10,FALSE))</f>
        <v>1.5136035E-3</v>
      </c>
      <c r="W82">
        <f>IF(VLOOKUP(all_lmics18[[Setting]:[Setting]],all_cause_mort[],11,FALSE)="",VLOOKUP(all_lmics18[[who_choice_region]:[who_choice_region]],missing[],15,FALSE),VLOOKUP(all_lmics18[[Setting]:[Setting]],all_cause_mort[],11,FALSE))</f>
        <v>2.0689542000000001E-3</v>
      </c>
      <c r="X82">
        <f>IF(VLOOKUP(all_lmics18[[Setting]:[Setting]],all_cause_mort[],12,FALSE)="",VLOOKUP(all_lmics18[[who_choice_region]:[who_choice_region]],missing[],16,FALSE),VLOOKUP(all_lmics18[[Setting]:[Setting]],all_cause_mort[],12,FALSE))</f>
        <v>2.9294181000000001E-3</v>
      </c>
      <c r="Y82">
        <f>IF(VLOOKUP(all_lmics18[[Setting]:[Setting]],all_cause_mort[],13,FALSE)="",VLOOKUP(all_lmics18[[who_choice_region]:[who_choice_region]],missing[],17,FALSE),VLOOKUP(all_lmics18[[Setting]:[Setting]],all_cause_mort[],13,FALSE))</f>
        <v>4.1454880000000001E-3</v>
      </c>
      <c r="Z82">
        <f>IF(VLOOKUP(all_lmics18[[Setting]:[Setting]],all_cause_mort[],14,FALSE)="",VLOOKUP(all_lmics18[[who_choice_region]:[who_choice_region]],missing[],18,FALSE),VLOOKUP(all_lmics18[[Setting]:[Setting]],all_cause_mort[],14,FALSE))</f>
        <v>5.7744653E-3</v>
      </c>
      <c r="AA82">
        <f>IF(VLOOKUP(all_lmics18[[Setting]:[Setting]],all_cause_mort[],15,FALSE)="",VLOOKUP(all_lmics18[[who_choice_region]:[who_choice_region]],missing[],19,FALSE),VLOOKUP(all_lmics18[[Setting]:[Setting]],all_cause_mort[],15,FALSE))</f>
        <v>9.1371339000000003E-3</v>
      </c>
      <c r="AB82">
        <f>IF(VLOOKUP(all_lmics18[[Setting]:[Setting]],all_cause_mort[],16,FALSE)="",VLOOKUP(all_lmics18[[who_choice_region]:[who_choice_region]],missing[],20,FALSE),VLOOKUP(all_lmics18[[Setting]:[Setting]],all_cause_mort[],16,FALSE))</f>
        <v>1.3560139000000001E-2</v>
      </c>
      <c r="AC82">
        <f>IF(VLOOKUP(all_lmics18[[Setting]:[Setting]],all_cause_mort[],17,FALSE)="",VLOOKUP(all_lmics18[[who_choice_region]:[who_choice_region]],missing[],21,FALSE),VLOOKUP(all_lmics18[[Setting]:[Setting]],all_cause_mort[],17,FALSE))</f>
        <v>2.2809203E-2</v>
      </c>
      <c r="AD82">
        <f>IF(VLOOKUP(all_lmics18[[Setting]:[Setting]],all_cause_mort[],18,FALSE)="",VLOOKUP(all_lmics18[[who_choice_region]:[who_choice_region]],missing[],22,FALSE),VLOOKUP(all_lmics18[[Setting]:[Setting]],all_cause_mort[],18,FALSE))</f>
        <v>2.9850709999999999E-2</v>
      </c>
      <c r="AE82">
        <f>IF(VLOOKUP(all_lmics18[[Setting]:[Setting]],all_cause_mort[],19,FALSE)="",VLOOKUP(all_lmics18[[who_choice_region]:[who_choice_region]],missing[],23,FALSE),VLOOKUP(all_lmics18[[Setting]:[Setting]],all_cause_mort[],19,FALSE))</f>
        <v>5.7313920999999997E-2</v>
      </c>
      <c r="AF82">
        <f>IF(VLOOKUP(all_lmics18[[Setting]:[Setting]],all_cause_mort[],20,FALSE)="",VLOOKUP(all_lmics18[[who_choice_region]:[who_choice_region]],missing[],24,FALSE),VLOOKUP(all_lmics18[[Setting]:[Setting]],all_cause_mort[],20,FALSE))</f>
        <v>6.3375656000000002E-2</v>
      </c>
      <c r="AG82">
        <f>IF(VLOOKUP(all_lmics18[[Setting]:[Setting]],all_cause_mort[],21,FALSE)="",VLOOKUP(all_lmics18[[who_choice_region]:[who_choice_region]],missing[],25,FALSE),VLOOKUP(all_lmics18[[Setting]:[Setting]],all_cause_mort[],21,FALSE))</f>
        <v>0.11624036</v>
      </c>
      <c r="AH82">
        <f>IF(VLOOKUP(all_lmics18[[Setting]:[Setting]],all_cause_mort[],22,FALSE)="",VLOOKUP(all_lmics18[[who_choice_region]:[who_choice_region]],missing[],26,FALSE),VLOOKUP(all_lmics18[[Setting]:[Setting]],all_cause_mort[],22,FALSE))</f>
        <v>0.17533162999999999</v>
      </c>
      <c r="AI82">
        <f>IF(VLOOKUP(all_lmics18[[Setting]:[Setting]],all_cause_mort[],23,FALSE)="",VLOOKUP(all_lmics18[[who_choice_region]:[who_choice_region]],missing[],27,FALSE),VLOOKUP(all_lmics18[[Setting]:[Setting]],all_cause_mort[],23,FALSE))</f>
        <v>0.25575086000000002</v>
      </c>
      <c r="AJ82">
        <f>IF(VLOOKUP(all_lmics18[[Setting]:[Setting]],all_cause_mort[],24,FALSE)="",VLOOKUP(all_lmics18[[who_choice_region]:[who_choice_region]],missing[],28,FALSE),VLOOKUP(all_lmics18[[Setting]:[Setting]],all_cause_mort[],24,FALSE))</f>
        <v>0.35418404999999997</v>
      </c>
      <c r="AK82">
        <f>IF(VLOOKUP(all_lmics18[[Setting]:[Setting]],all_cause_mort[],25,FALSE)="",VLOOKUP(all_lmics18[[who_choice_region]:[who_choice_region]],missing[],29,FALSE),VLOOKUP(all_lmics18[[Setting]:[Setting]],all_cause_mort[],25,FALSE))</f>
        <v>0.46928567493275802</v>
      </c>
      <c r="AL82">
        <f>VLOOKUP(all_lmics18[[worldbank_region]:[worldbank_region]],Table13[],2,FALSE)</f>
        <v>44.525141999999995</v>
      </c>
      <c r="AM82">
        <f>VLOOKUP(all_lmics18[[worldbank_region]:[worldbank_region]],Table13[],3,FALSE)</f>
        <v>44.525141999999995</v>
      </c>
      <c r="AN82">
        <f>VLOOKUP(all_lmics18[[worldbank_region]:[worldbank_region]],Table13[],4,FALSE)</f>
        <v>92.254001999999986</v>
      </c>
      <c r="AO82">
        <f>VLOOKUP(all_lmics18[[worldbank_region]:[worldbank_region]],Table13[],5,FALSE)</f>
        <v>92.254001999999986</v>
      </c>
      <c r="AP82">
        <f>VLOOKUP(all_lmics18[[worldbank_region]:[worldbank_region]],Table13[],6,FALSE)</f>
        <v>92.254001999999986</v>
      </c>
      <c r="AQ82">
        <f>VLOOKUP(all_lmics18[[worldbank_region]:[worldbank_region]],Table14[],2,FALSE)</f>
        <v>6.4182919999999992</v>
      </c>
      <c r="AR82">
        <f>VLOOKUP(all_lmics18[[worldbank_region]:[worldbank_region]],Table14[],3,FALSE)</f>
        <v>7.0357919999999998</v>
      </c>
      <c r="AS82">
        <f>VLOOKUP(all_lmics18[[worldbank_region]:[worldbank_region]],Table14[],4,FALSE)</f>
        <v>10.482872999999998</v>
      </c>
      <c r="AT82">
        <f>VLOOKUP(all_lmics18[[worldbank_region]:[worldbank_region]],Table14[],5,FALSE)</f>
        <v>11.100372999999999</v>
      </c>
      <c r="AU82">
        <f>VLOOKUP(all_lmics18[[worldbank_region]:[worldbank_region]],Table14[],6,FALSE)</f>
        <v>11.670624999999999</v>
      </c>
      <c r="AV82">
        <f>IFERROR(VLOOKUP(all_lmics18[[Setting]:[Setting]],nFacSBA[],4,FALSE),VLOOKUP(all_lmics18[[who_choice_region]:[who_choice_region]],missing[],30,FALSE))</f>
        <v>0.53357812104952496</v>
      </c>
      <c r="AW82">
        <f>VLOOKUP(all_lmics18[[worldbank_region]:[worldbank_region]],hbe[],2)</f>
        <v>0.3</v>
      </c>
      <c r="AX82">
        <f>VLOOKUP(all_lmics18[[worldbank_region]:[worldbank_region]],hbe[],5)</f>
        <v>0.875</v>
      </c>
      <c r="AY82">
        <f>VLOOKUP(all_lmics18[[worldbank_region]:[worldbank_region]],hbe[],8)</f>
        <v>0.15</v>
      </c>
    </row>
    <row r="83" spans="1:51" x14ac:dyDescent="0.35">
      <c r="A83" s="12" t="s">
        <v>210</v>
      </c>
      <c r="B83" s="13" t="s">
        <v>57</v>
      </c>
      <c r="C83" s="14" t="s">
        <v>58</v>
      </c>
      <c r="D83">
        <f>VLOOKUP(all_lmics18[[Setting]:[Setting]],populations[],9,FALSE)</f>
        <v>11192</v>
      </c>
      <c r="E83">
        <f>VLOOKUP(all_lmics18[[Setting]:[Setting]],birthrate[],3,FALSE)</f>
        <v>2.3699999999999999E-2</v>
      </c>
      <c r="F83">
        <f>all_lmics18[[#This Row],[2017_population]]*all_lmics18[[#This Row],[2016_birthrate]]</f>
        <v>265.25040000000001</v>
      </c>
      <c r="G83">
        <f>VLOOKUP(all_lmics18[[Setting]:[Setting]],birthdose[],4,FALSE)</f>
        <v>0.99</v>
      </c>
      <c r="H83">
        <f>VLOOKUP(all_lmics18[[Setting]:[Setting]],fullvax[],4,FALSE)</f>
        <v>0.96</v>
      </c>
      <c r="I83">
        <f>IFERROR(VLOOKUP(all_lmics18[[Setting]:[Setting]],prev[],3,FALSE),VLOOKUP(all_lmics18[[who_choice_region]:[who_choice_region]],missing[],2,FALSE))</f>
        <v>7.1400000000000005E-2</v>
      </c>
      <c r="J83">
        <f>IFERROR(VLOOKUP(all_lmics18[[Setting]:[Setting]],prev[],4,FALSE),VLOOKUP(all_lmics18[[who_choice_region]:[who_choice_region]],missing[],3,FALSE))</f>
        <v>1.7899999999999999E-2</v>
      </c>
      <c r="K83">
        <f>IFERROR(VLOOKUP(all_lmics18[[Setting]:[Setting]],prev[],5,FALSE),VLOOKUP(all_lmics18[[who_choice_region]:[who_choice_region]],missing[],4,FALSE))</f>
        <v>0.24479999999999999</v>
      </c>
      <c r="L83">
        <f>IFERROR(VLOOKUP(all_lmics18[[Setting]:[Setting]],prev[],7,FALSE),VLOOKUP(all_lmics18[[who_choice_region]:[who_choice_region]],missing[],5,FALSE))</f>
        <v>8.8469387755102047E-2</v>
      </c>
      <c r="M83">
        <f>IFERROR(VLOOKUP(all_lmics18[[Setting]:[Setting]],prev[],6,FALSE),0)</f>
        <v>10531</v>
      </c>
      <c r="N83">
        <f>IFERROR(VLOOKUP(all_lmics18[[Setting]:[Setting]],SBA[],4,FALSE),VLOOKUP(all_lmics18[[who_choice_region]:[who_choice_region]],missing[],6,FALSE))</f>
        <v>0.93099999999999994</v>
      </c>
      <c r="O83">
        <f>IFERROR(VLOOKUP(all_lmics18[[Setting]:[Setting]], facility[], 3,FALSE),VLOOKUP(all_lmics18[[who_choice_region]:[who_choice_region]],missing[],7,FALSE))</f>
        <v>0.93</v>
      </c>
      <c r="P83">
        <f>IF(VLOOKUP(all_lmics18[[Setting]:[Setting]],all_cause_mort[],4,FALSE)="",VLOOKUP(all_lmics18[[who_choice_region]:[who_choice_region]],missing[],8,FALSE),VLOOKUP(all_lmics18[[Setting]:[Setting]],all_cause_mort[],4,FALSE))</f>
        <v>1.2171532658710052E-2</v>
      </c>
      <c r="Q83">
        <f>IF(VLOOKUP(all_lmics18[[Setting]:[Setting]],all_cause_mort[],5,FALSE)="",VLOOKUP(all_lmics18[[who_choice_region]:[who_choice_region]],missing[],9,FALSE),VLOOKUP(all_lmics18[[Setting]:[Setting]],all_cause_mort[],5,FALSE))</f>
        <v>6.8368448875387184E-4</v>
      </c>
      <c r="R83">
        <f>IF(VLOOKUP(all_lmics18[[Setting]:[Setting]],all_cause_mort[],6,FALSE)="",VLOOKUP(all_lmics18[[who_choice_region]:[who_choice_region]],missing[],10,FALSE),VLOOKUP(all_lmics18[[Setting]:[Setting]],all_cause_mort[],6,FALSE))</f>
        <v>3.8826325725348779E-4</v>
      </c>
      <c r="S83">
        <f>IF(VLOOKUP(all_lmics18[[Setting]:[Setting]],all_cause_mort[],7,FALSE)="",VLOOKUP(all_lmics18[[who_choice_region]:[who_choice_region]],missing[],11,FALSE),VLOOKUP(all_lmics18[[Setting]:[Setting]],all_cause_mort[],7,FALSE))</f>
        <v>3.067218710013588E-4</v>
      </c>
      <c r="T83">
        <f>IF(VLOOKUP(all_lmics18[[Setting]:[Setting]],all_cause_mort[],8,FALSE)="",VLOOKUP(all_lmics18[[who_choice_region]:[who_choice_region]],missing[],12,FALSE),VLOOKUP(all_lmics18[[Setting]:[Setting]],all_cause_mort[],8,FALSE))</f>
        <v>4.9254866058896438E-4</v>
      </c>
      <c r="U83">
        <f>IF(VLOOKUP(all_lmics18[[Setting]:[Setting]],all_cause_mort[],9,FALSE)="",VLOOKUP(all_lmics18[[who_choice_region]:[who_choice_region]],missing[],13,FALSE),VLOOKUP(all_lmics18[[Setting]:[Setting]],all_cause_mort[],9,FALSE))</f>
        <v>6.8616198707337195E-4</v>
      </c>
      <c r="V83">
        <f>IF(VLOOKUP(all_lmics18[[Setting]:[Setting]],all_cause_mort[],10,FALSE)="",VLOOKUP(all_lmics18[[who_choice_region]:[who_choice_region]],missing[],14,FALSE),VLOOKUP(all_lmics18[[Setting]:[Setting]],all_cause_mort[],10,FALSE))</f>
        <v>8.5498135156451523E-4</v>
      </c>
      <c r="W83">
        <f>IF(VLOOKUP(all_lmics18[[Setting]:[Setting]],all_cause_mort[],11,FALSE)="",VLOOKUP(all_lmics18[[who_choice_region]:[who_choice_region]],missing[],15,FALSE),VLOOKUP(all_lmics18[[Setting]:[Setting]],all_cause_mort[],11,FALSE))</f>
        <v>1.0646977878212504E-3</v>
      </c>
      <c r="X83">
        <f>IF(VLOOKUP(all_lmics18[[Setting]:[Setting]],all_cause_mort[],12,FALSE)="",VLOOKUP(all_lmics18[[who_choice_region]:[who_choice_region]],missing[],16,FALSE),VLOOKUP(all_lmics18[[Setting]:[Setting]],all_cause_mort[],12,FALSE))</f>
        <v>1.3706185041209306E-3</v>
      </c>
      <c r="Y83">
        <f>IF(VLOOKUP(all_lmics18[[Setting]:[Setting]],all_cause_mort[],13,FALSE)="",VLOOKUP(all_lmics18[[who_choice_region]:[who_choice_region]],missing[],17,FALSE),VLOOKUP(all_lmics18[[Setting]:[Setting]],all_cause_mort[],13,FALSE))</f>
        <v>1.9338704394827476E-3</v>
      </c>
      <c r="Z83">
        <f>IF(VLOOKUP(all_lmics18[[Setting]:[Setting]],all_cause_mort[],14,FALSE)="",VLOOKUP(all_lmics18[[who_choice_region]:[who_choice_region]],missing[],18,FALSE),VLOOKUP(all_lmics18[[Setting]:[Setting]],all_cause_mort[],14,FALSE))</f>
        <v>2.8449210534799521E-3</v>
      </c>
      <c r="AA83">
        <f>IF(VLOOKUP(all_lmics18[[Setting]:[Setting]],all_cause_mort[],15,FALSE)="",VLOOKUP(all_lmics18[[who_choice_region]:[who_choice_region]],missing[],19,FALSE),VLOOKUP(all_lmics18[[Setting]:[Setting]],all_cause_mort[],15,FALSE))</f>
        <v>4.5397258475201952E-3</v>
      </c>
      <c r="AB83">
        <f>IF(VLOOKUP(all_lmics18[[Setting]:[Setting]],all_cause_mort[],16,FALSE)="",VLOOKUP(all_lmics18[[who_choice_region]:[who_choice_region]],missing[],20,FALSE),VLOOKUP(all_lmics18[[Setting]:[Setting]],all_cause_mort[],16,FALSE))</f>
        <v>7.2925005763066087E-3</v>
      </c>
      <c r="AC83">
        <f>IF(VLOOKUP(all_lmics18[[Setting]:[Setting]],all_cause_mort[],17,FALSE)="",VLOOKUP(all_lmics18[[who_choice_region]:[who_choice_region]],missing[],21,FALSE),VLOOKUP(all_lmics18[[Setting]:[Setting]],all_cause_mort[],17,FALSE))</f>
        <v>1.2430011174391166E-2</v>
      </c>
      <c r="AD83">
        <f>IF(VLOOKUP(all_lmics18[[Setting]:[Setting]],all_cause_mort[],18,FALSE)="",VLOOKUP(all_lmics18[[who_choice_region]:[who_choice_region]],missing[],22,FALSE),VLOOKUP(all_lmics18[[Setting]:[Setting]],all_cause_mort[],18,FALSE))</f>
        <v>2.1225223566410715E-2</v>
      </c>
      <c r="AE83">
        <f>IF(VLOOKUP(all_lmics18[[Setting]:[Setting]],all_cause_mort[],19,FALSE)="",VLOOKUP(all_lmics18[[who_choice_region]:[who_choice_region]],missing[],23,FALSE),VLOOKUP(all_lmics18[[Setting]:[Setting]],all_cause_mort[],19,FALSE))</f>
        <v>3.7100898613842075E-2</v>
      </c>
      <c r="AF83">
        <f>IF(VLOOKUP(all_lmics18[[Setting]:[Setting]],all_cause_mort[],20,FALSE)="",VLOOKUP(all_lmics18[[who_choice_region]:[who_choice_region]],missing[],24,FALSE),VLOOKUP(all_lmics18[[Setting]:[Setting]],all_cause_mort[],20,FALSE))</f>
        <v>6.1505862954745437E-2</v>
      </c>
      <c r="AG83">
        <f>IF(VLOOKUP(all_lmics18[[Setting]:[Setting]],all_cause_mort[],21,FALSE)="",VLOOKUP(all_lmics18[[who_choice_region]:[who_choice_region]],missing[],25,FALSE),VLOOKUP(all_lmics18[[Setting]:[Setting]],all_cause_mort[],21,FALSE))</f>
        <v>9.4870341219730828E-2</v>
      </c>
      <c r="AH83">
        <f>IF(VLOOKUP(all_lmics18[[Setting]:[Setting]],all_cause_mort[],22,FALSE)="",VLOOKUP(all_lmics18[[who_choice_region]:[who_choice_region]],missing[],26,FALSE),VLOOKUP(all_lmics18[[Setting]:[Setting]],all_cause_mort[],22,FALSE))</f>
        <v>0.14693633977770637</v>
      </c>
      <c r="AI83">
        <f>IF(VLOOKUP(all_lmics18[[Setting]:[Setting]],all_cause_mort[],23,FALSE)="",VLOOKUP(all_lmics18[[who_choice_region]:[who_choice_region]],missing[],27,FALSE),VLOOKUP(all_lmics18[[Setting]:[Setting]],all_cause_mort[],23,FALSE))</f>
        <v>0.21054250727883506</v>
      </c>
      <c r="AJ83">
        <f>IF(VLOOKUP(all_lmics18[[Setting]:[Setting]],all_cause_mort[],24,FALSE)="",VLOOKUP(all_lmics18[[who_choice_region]:[who_choice_region]],missing[],28,FALSE),VLOOKUP(all_lmics18[[Setting]:[Setting]],all_cause_mort[],24,FALSE))</f>
        <v>0.28760691487723716</v>
      </c>
      <c r="AK83">
        <f>IF(VLOOKUP(all_lmics18[[Setting]:[Setting]],all_cause_mort[],25,FALSE)="",VLOOKUP(all_lmics18[[who_choice_region]:[who_choice_region]],missing[],29,FALSE),VLOOKUP(all_lmics18[[Setting]:[Setting]],all_cause_mort[],25,FALSE))</f>
        <v>0.36209791606833291</v>
      </c>
      <c r="AL83">
        <f>VLOOKUP(all_lmics18[[worldbank_region]:[worldbank_region]],Table13[],2,FALSE)</f>
        <v>73.064384999999987</v>
      </c>
      <c r="AM83">
        <f>VLOOKUP(all_lmics18[[worldbank_region]:[worldbank_region]],Table13[],3,FALSE)</f>
        <v>73.064384999999987</v>
      </c>
      <c r="AN83">
        <f>VLOOKUP(all_lmics18[[worldbank_region]:[worldbank_region]],Table13[],4,FALSE)</f>
        <v>120.79324499999998</v>
      </c>
      <c r="AO83">
        <f>VLOOKUP(all_lmics18[[worldbank_region]:[worldbank_region]],Table13[],5,FALSE)</f>
        <v>120.79324499999998</v>
      </c>
      <c r="AP83">
        <f>VLOOKUP(all_lmics18[[worldbank_region]:[worldbank_region]],Table13[],6,FALSE)</f>
        <v>120.79324499999998</v>
      </c>
      <c r="AQ83">
        <f>VLOOKUP(all_lmics18[[worldbank_region]:[worldbank_region]],Table14[],2,FALSE)</f>
        <v>1.34029</v>
      </c>
      <c r="AR83">
        <f>VLOOKUP(all_lmics18[[worldbank_region]:[worldbank_region]],Table14[],3,FALSE)</f>
        <v>1.9577900000000001</v>
      </c>
      <c r="AS83">
        <f>VLOOKUP(all_lmics18[[worldbank_region]:[worldbank_region]],Table14[],4,FALSE)</f>
        <v>1.9723159999999997</v>
      </c>
      <c r="AT83">
        <f>VLOOKUP(all_lmics18[[worldbank_region]:[worldbank_region]],Table14[],5,FALSE)</f>
        <v>2.5898159999999999</v>
      </c>
      <c r="AU83">
        <f>VLOOKUP(all_lmics18[[worldbank_region]:[worldbank_region]],Table14[],6,FALSE)</f>
        <v>3.1600679999999999</v>
      </c>
      <c r="AV83">
        <f>IFERROR(VLOOKUP(all_lmics18[[Setting]:[Setting]],nFacSBA[],4,FALSE),VLOOKUP(all_lmics18[[who_choice_region]:[who_choice_region]],missing[],30,FALSE))</f>
        <v>0.15985670213371023</v>
      </c>
      <c r="AW83">
        <f>VLOOKUP(all_lmics18[[worldbank_region]:[worldbank_region]],hbe[],2)</f>
        <v>0.3</v>
      </c>
      <c r="AX83">
        <f>VLOOKUP(all_lmics18[[worldbank_region]:[worldbank_region]],hbe[],5)</f>
        <v>0.875</v>
      </c>
      <c r="AY83">
        <f>VLOOKUP(all_lmics18[[worldbank_region]:[worldbank_region]],hbe[],8)</f>
        <v>0.15</v>
      </c>
    </row>
    <row r="84" spans="1:51" x14ac:dyDescent="0.35">
      <c r="A84" s="12" t="s">
        <v>212</v>
      </c>
      <c r="B84" s="13" t="s">
        <v>40</v>
      </c>
      <c r="C84" s="14" t="s">
        <v>11</v>
      </c>
      <c r="D84">
        <f>VLOOKUP(all_lmics18[[Setting]:[Setting]],populations[],9,FALSE)</f>
        <v>44831159</v>
      </c>
      <c r="E84">
        <f>VLOOKUP(all_lmics18[[Setting]:[Setting]],birthrate[],3,FALSE)</f>
        <v>1.03E-2</v>
      </c>
      <c r="F84">
        <f>all_lmics18[[#This Row],[2017_population]]*all_lmics18[[#This Row],[2016_birthrate]]</f>
        <v>461760.93770000001</v>
      </c>
      <c r="G84">
        <f>VLOOKUP(all_lmics18[[Setting]:[Setting]],birthdose[],4,FALSE)</f>
        <v>0.49</v>
      </c>
      <c r="H84">
        <f>VLOOKUP(all_lmics18[[Setting]:[Setting]],fullvax[],4,FALSE)</f>
        <v>0.52</v>
      </c>
      <c r="I84">
        <f>IFERROR(VLOOKUP(all_lmics18[[Setting]:[Setting]],prev[],3,FALSE),VLOOKUP(all_lmics18[[who_choice_region]:[who_choice_region]],missing[],2,FALSE))</f>
        <v>1.4500000000000001E-2</v>
      </c>
      <c r="J84">
        <f>IFERROR(VLOOKUP(all_lmics18[[Setting]:[Setting]],prev[],4,FALSE),VLOOKUP(all_lmics18[[who_choice_region]:[who_choice_region]],missing[],3,FALSE))</f>
        <v>1.0999999999999999E-2</v>
      </c>
      <c r="K84">
        <f>IFERROR(VLOOKUP(all_lmics18[[Setting]:[Setting]],prev[],5,FALSE),VLOOKUP(all_lmics18[[who_choice_region]:[who_choice_region]],missing[],4,FALSE))</f>
        <v>1.89E-2</v>
      </c>
      <c r="L84">
        <f>IFERROR(VLOOKUP(all_lmics18[[Setting]:[Setting]],prev[],7,FALSE),VLOOKUP(all_lmics18[[who_choice_region]:[who_choice_region]],missing[],5,FALSE))</f>
        <v>2.2448979591836731E-3</v>
      </c>
      <c r="M84">
        <f>IFERROR(VLOOKUP(all_lmics18[[Setting]:[Setting]],prev[],6,FALSE),0)</f>
        <v>45870700</v>
      </c>
      <c r="N84">
        <f>IFERROR(VLOOKUP(all_lmics18[[Setting]:[Setting]],SBA[],4,FALSE),VLOOKUP(all_lmics18[[who_choice_region]:[who_choice_region]],missing[],6,FALSE))</f>
        <v>0.99900000000000011</v>
      </c>
      <c r="O84">
        <f>IFERROR(VLOOKUP(all_lmics18[[Setting]:[Setting]], facility[], 3,FALSE),VLOOKUP(all_lmics18[[who_choice_region]:[who_choice_region]],missing[],7,FALSE))</f>
        <v>0.9890000000000001</v>
      </c>
      <c r="P84">
        <f>IF(VLOOKUP(all_lmics18[[Setting]:[Setting]],all_cause_mort[],4,FALSE)="",VLOOKUP(all_lmics18[[who_choice_region]:[who_choice_region]],missing[],8,FALSE),VLOOKUP(all_lmics18[[Setting]:[Setting]],all_cause_mort[],4,FALSE))</f>
        <v>7.2474868999999999E-3</v>
      </c>
      <c r="Q84">
        <f>IF(VLOOKUP(all_lmics18[[Setting]:[Setting]],all_cause_mort[],5,FALSE)="",VLOOKUP(all_lmics18[[who_choice_region]:[who_choice_region]],missing[],9,FALSE),VLOOKUP(all_lmics18[[Setting]:[Setting]],all_cause_mort[],5,FALSE))</f>
        <v>3.4634837E-4</v>
      </c>
      <c r="R84">
        <f>IF(VLOOKUP(all_lmics18[[Setting]:[Setting]],all_cause_mort[],6,FALSE)="",VLOOKUP(all_lmics18[[who_choice_region]:[who_choice_region]],missing[],10,FALSE),VLOOKUP(all_lmics18[[Setting]:[Setting]],all_cause_mort[],6,FALSE))</f>
        <v>2.0397771E-4</v>
      </c>
      <c r="S84">
        <f>IF(VLOOKUP(all_lmics18[[Setting]:[Setting]],all_cause_mort[],7,FALSE)="",VLOOKUP(all_lmics18[[who_choice_region]:[who_choice_region]],missing[],11,FALSE),VLOOKUP(all_lmics18[[Setting]:[Setting]],all_cause_mort[],7,FALSE))</f>
        <v>2.5009385000000002E-4</v>
      </c>
      <c r="T84">
        <f>IF(VLOOKUP(all_lmics18[[Setting]:[Setting]],all_cause_mort[],8,FALSE)="",VLOOKUP(all_lmics18[[who_choice_region]:[who_choice_region]],missing[],12,FALSE),VLOOKUP(all_lmics18[[Setting]:[Setting]],all_cause_mort[],8,FALSE))</f>
        <v>4.9477750999999998E-4</v>
      </c>
      <c r="U84">
        <f>IF(VLOOKUP(all_lmics18[[Setting]:[Setting]],all_cause_mort[],9,FALSE)="",VLOOKUP(all_lmics18[[who_choice_region]:[who_choice_region]],missing[],13,FALSE),VLOOKUP(all_lmics18[[Setting]:[Setting]],all_cause_mort[],9,FALSE))</f>
        <v>9.1571304999999998E-4</v>
      </c>
      <c r="V84">
        <f>IF(VLOOKUP(all_lmics18[[Setting]:[Setting]],all_cause_mort[],10,FALSE)="",VLOOKUP(all_lmics18[[who_choice_region]:[who_choice_region]],missing[],14,FALSE),VLOOKUP(all_lmics18[[Setting]:[Setting]],all_cause_mort[],10,FALSE))</f>
        <v>1.4887469999999999E-3</v>
      </c>
      <c r="W84">
        <f>IF(VLOOKUP(all_lmics18[[Setting]:[Setting]],all_cause_mort[],11,FALSE)="",VLOOKUP(all_lmics18[[who_choice_region]:[who_choice_region]],missing[],15,FALSE),VLOOKUP(all_lmics18[[Setting]:[Setting]],all_cause_mort[],11,FALSE))</f>
        <v>2.5526039E-3</v>
      </c>
      <c r="X84">
        <f>IF(VLOOKUP(all_lmics18[[Setting]:[Setting]],all_cause_mort[],12,FALSE)="",VLOOKUP(all_lmics18[[who_choice_region]:[who_choice_region]],missing[],16,FALSE),VLOOKUP(all_lmics18[[Setting]:[Setting]],all_cause_mort[],12,FALSE))</f>
        <v>3.5527089000000002E-3</v>
      </c>
      <c r="Y84">
        <f>IF(VLOOKUP(all_lmics18[[Setting]:[Setting]],all_cause_mort[],13,FALSE)="",VLOOKUP(all_lmics18[[who_choice_region]:[who_choice_region]],missing[],17,FALSE),VLOOKUP(all_lmics18[[Setting]:[Setting]],all_cause_mort[],13,FALSE))</f>
        <v>4.5882971000000003E-3</v>
      </c>
      <c r="Z84">
        <f>IF(VLOOKUP(all_lmics18[[Setting]:[Setting]],all_cause_mort[],14,FALSE)="",VLOOKUP(all_lmics18[[who_choice_region]:[who_choice_region]],missing[],18,FALSE),VLOOKUP(all_lmics18[[Setting]:[Setting]],all_cause_mort[],14,FALSE))</f>
        <v>6.2734215999999997E-3</v>
      </c>
      <c r="AA84">
        <f>IF(VLOOKUP(all_lmics18[[Setting]:[Setting]],all_cause_mort[],15,FALSE)="",VLOOKUP(all_lmics18[[who_choice_region]:[who_choice_region]],missing[],19,FALSE),VLOOKUP(all_lmics18[[Setting]:[Setting]],all_cause_mort[],15,FALSE))</f>
        <v>8.9201692999999992E-3</v>
      </c>
      <c r="AB84">
        <f>IF(VLOOKUP(all_lmics18[[Setting]:[Setting]],all_cause_mort[],16,FALSE)="",VLOOKUP(all_lmics18[[who_choice_region]:[who_choice_region]],missing[],20,FALSE),VLOOKUP(all_lmics18[[Setting]:[Setting]],all_cause_mort[],16,FALSE))</f>
        <v>1.3012741E-2</v>
      </c>
      <c r="AC84">
        <f>IF(VLOOKUP(all_lmics18[[Setting]:[Setting]],all_cause_mort[],17,FALSE)="",VLOOKUP(all_lmics18[[who_choice_region]:[who_choice_region]],missing[],21,FALSE),VLOOKUP(all_lmics18[[Setting]:[Setting]],all_cause_mort[],17,FALSE))</f>
        <v>1.9219182000000001E-2</v>
      </c>
      <c r="AD84">
        <f>IF(VLOOKUP(all_lmics18[[Setting]:[Setting]],all_cause_mort[],18,FALSE)="",VLOOKUP(all_lmics18[[who_choice_region]:[who_choice_region]],missing[],22,FALSE),VLOOKUP(all_lmics18[[Setting]:[Setting]],all_cause_mort[],18,FALSE))</f>
        <v>2.6676328999999999E-2</v>
      </c>
      <c r="AE84">
        <f>IF(VLOOKUP(all_lmics18[[Setting]:[Setting]],all_cause_mort[],19,FALSE)="",VLOOKUP(all_lmics18[[who_choice_region]:[who_choice_region]],missing[],23,FALSE),VLOOKUP(all_lmics18[[Setting]:[Setting]],all_cause_mort[],19,FALSE))</f>
        <v>4.2517319999999997E-2</v>
      </c>
      <c r="AF84">
        <f>IF(VLOOKUP(all_lmics18[[Setting]:[Setting]],all_cause_mort[],20,FALSE)="",VLOOKUP(all_lmics18[[who_choice_region]:[who_choice_region]],missing[],24,FALSE),VLOOKUP(all_lmics18[[Setting]:[Setting]],all_cause_mort[],20,FALSE))</f>
        <v>6.8181050000000007E-2</v>
      </c>
      <c r="AG84">
        <f>IF(VLOOKUP(all_lmics18[[Setting]:[Setting]],all_cause_mort[],21,FALSE)="",VLOOKUP(all_lmics18[[who_choice_region]:[who_choice_region]],missing[],25,FALSE),VLOOKUP(all_lmics18[[Setting]:[Setting]],all_cause_mort[],21,FALSE))</f>
        <v>0.10845373</v>
      </c>
      <c r="AH84">
        <f>IF(VLOOKUP(all_lmics18[[Setting]:[Setting]],all_cause_mort[],22,FALSE)="",VLOOKUP(all_lmics18[[who_choice_region]:[who_choice_region]],missing[],26,FALSE),VLOOKUP(all_lmics18[[Setting]:[Setting]],all_cause_mort[],22,FALSE))</f>
        <v>0.17003718000000001</v>
      </c>
      <c r="AI84">
        <f>IF(VLOOKUP(all_lmics18[[Setting]:[Setting]],all_cause_mort[],23,FALSE)="",VLOOKUP(all_lmics18[[who_choice_region]:[who_choice_region]],missing[],27,FALSE),VLOOKUP(all_lmics18[[Setting]:[Setting]],all_cause_mort[],23,FALSE))</f>
        <v>0.26192100000000001</v>
      </c>
      <c r="AJ84">
        <f>IF(VLOOKUP(all_lmics18[[Setting]:[Setting]],all_cause_mort[],24,FALSE)="",VLOOKUP(all_lmics18[[who_choice_region]:[who_choice_region]],missing[],28,FALSE),VLOOKUP(all_lmics18[[Setting]:[Setting]],all_cause_mort[],24,FALSE))</f>
        <v>0.37891111</v>
      </c>
      <c r="AK84">
        <f>IF(VLOOKUP(all_lmics18[[Setting]:[Setting]],all_cause_mort[],25,FALSE)="",VLOOKUP(all_lmics18[[who_choice_region]:[who_choice_region]],missing[],29,FALSE),VLOOKUP(all_lmics18[[Setting]:[Setting]],all_cause_mort[],25,FALSE))</f>
        <v>0.521476188536796</v>
      </c>
      <c r="AL84">
        <f>VLOOKUP(all_lmics18[[worldbank_region]:[worldbank_region]],Table13[],2,FALSE)</f>
        <v>44.525141999999995</v>
      </c>
      <c r="AM84">
        <f>VLOOKUP(all_lmics18[[worldbank_region]:[worldbank_region]],Table13[],3,FALSE)</f>
        <v>44.525141999999995</v>
      </c>
      <c r="AN84">
        <f>VLOOKUP(all_lmics18[[worldbank_region]:[worldbank_region]],Table13[],4,FALSE)</f>
        <v>92.254001999999986</v>
      </c>
      <c r="AO84">
        <f>VLOOKUP(all_lmics18[[worldbank_region]:[worldbank_region]],Table13[],5,FALSE)</f>
        <v>92.254001999999986</v>
      </c>
      <c r="AP84">
        <f>VLOOKUP(all_lmics18[[worldbank_region]:[worldbank_region]],Table13[],6,FALSE)</f>
        <v>92.254001999999986</v>
      </c>
      <c r="AQ84">
        <f>VLOOKUP(all_lmics18[[worldbank_region]:[worldbank_region]],Table14[],2,FALSE)</f>
        <v>6.4182919999999992</v>
      </c>
      <c r="AR84">
        <f>VLOOKUP(all_lmics18[[worldbank_region]:[worldbank_region]],Table14[],3,FALSE)</f>
        <v>7.0357919999999998</v>
      </c>
      <c r="AS84">
        <f>VLOOKUP(all_lmics18[[worldbank_region]:[worldbank_region]],Table14[],4,FALSE)</f>
        <v>10.482872999999998</v>
      </c>
      <c r="AT84">
        <f>VLOOKUP(all_lmics18[[worldbank_region]:[worldbank_region]],Table14[],5,FALSE)</f>
        <v>11.100372999999999</v>
      </c>
      <c r="AU84">
        <f>VLOOKUP(all_lmics18[[worldbank_region]:[worldbank_region]],Table14[],6,FALSE)</f>
        <v>11.670624999999999</v>
      </c>
      <c r="AV84">
        <f>IFERROR(VLOOKUP(all_lmics18[[Setting]:[Setting]],nFacSBA[],4,FALSE),VLOOKUP(all_lmics18[[who_choice_region]:[who_choice_region]],missing[],30,FALSE))</f>
        <v>0.1465915874444256</v>
      </c>
      <c r="AW84">
        <f>VLOOKUP(all_lmics18[[worldbank_region]:[worldbank_region]],hbe[],2)</f>
        <v>0.3</v>
      </c>
      <c r="AX84">
        <f>VLOOKUP(all_lmics18[[worldbank_region]:[worldbank_region]],hbe[],5)</f>
        <v>0.875</v>
      </c>
      <c r="AY84">
        <f>VLOOKUP(all_lmics18[[worldbank_region]:[worldbank_region]],hbe[],8)</f>
        <v>0.15</v>
      </c>
    </row>
    <row r="85" spans="1:51" x14ac:dyDescent="0.35">
      <c r="A85" s="8" t="s">
        <v>213</v>
      </c>
      <c r="B85" s="10" t="s">
        <v>33</v>
      </c>
      <c r="C85" s="11" t="s">
        <v>7</v>
      </c>
      <c r="D85">
        <f>VLOOKUP(all_lmics18[[Setting]:[Setting]],populations[],9,FALSE)</f>
        <v>9400145</v>
      </c>
      <c r="E85">
        <f>VLOOKUP(all_lmics18[[Setting]:[Setting]],birthrate[],3,FALSE)</f>
        <v>9.5919999999999998E-3</v>
      </c>
      <c r="F85">
        <f>all_lmics18[[#This Row],[2017_population]]*all_lmics18[[#This Row],[2016_birthrate]]</f>
        <v>90166.190839999996</v>
      </c>
      <c r="G85">
        <f>VLOOKUP(all_lmics18[[Setting]:[Setting]],birthdose[],4,FALSE)</f>
        <v>0.97</v>
      </c>
      <c r="H85">
        <f>VLOOKUP(all_lmics18[[Setting]:[Setting]],fullvax[],4,FALSE)</f>
        <v>0.98</v>
      </c>
      <c r="I85">
        <f>IFERROR(VLOOKUP(all_lmics18[[Setting]:[Setting]],prev[],3,FALSE),VLOOKUP(all_lmics18[[who_choice_region]:[who_choice_region]],missing[],2,FALSE))</f>
        <v>0.01</v>
      </c>
      <c r="J85">
        <f>IFERROR(VLOOKUP(all_lmics18[[Setting]:[Setting]],prev[],4,FALSE),VLOOKUP(all_lmics18[[who_choice_region]:[who_choice_region]],missing[],3,FALSE))</f>
        <v>5.0000000000000001E-3</v>
      </c>
      <c r="K85">
        <f>IFERROR(VLOOKUP(all_lmics18[[Setting]:[Setting]],prev[],5,FALSE),VLOOKUP(all_lmics18[[who_choice_region]:[who_choice_region]],missing[],4,FALSE))</f>
        <v>1.2E-2</v>
      </c>
      <c r="L85">
        <f>IFERROR(VLOOKUP(all_lmics18[[Setting]:[Setting]],prev[],7,FALSE),VLOOKUP(all_lmics18[[who_choice_region]:[who_choice_region]],missing[],5,FALSE))</f>
        <v>1.0204081632653062E-3</v>
      </c>
      <c r="M85">
        <f>IFERROR(VLOOKUP(all_lmics18[[Setting]:[Setting]],prev[],6,FALSE),0)</f>
        <v>9400145</v>
      </c>
      <c r="N85">
        <f>IFERROR(VLOOKUP(all_lmics18[[Setting]:[Setting]],SBA[],4,FALSE),VLOOKUP(all_lmics18[[who_choice_region]:[who_choice_region]],missing[],6,FALSE))</f>
        <v>0.99900000000000011</v>
      </c>
      <c r="O85">
        <f>IFERROR(VLOOKUP(all_lmics18[[Setting]:[Setting]], facility[], 3,FALSE),VLOOKUP(all_lmics18[[who_choice_region]:[who_choice_region]],missing[],7,FALSE))</f>
        <v>0.99900000000000011</v>
      </c>
      <c r="P85">
        <f>IF(VLOOKUP(all_lmics18[[Setting]:[Setting]],all_cause_mort[],4,FALSE)="",VLOOKUP(all_lmics18[[who_choice_region]:[who_choice_region]],missing[],8,FALSE),VLOOKUP(all_lmics18[[Setting]:[Setting]],all_cause_mort[],4,FALSE))</f>
        <v>5.5428537000000002E-3</v>
      </c>
      <c r="Q85">
        <f>IF(VLOOKUP(all_lmics18[[Setting]:[Setting]],all_cause_mort[],5,FALSE)="",VLOOKUP(all_lmics18[[who_choice_region]:[who_choice_region]],missing[],9,FALSE),VLOOKUP(all_lmics18[[Setting]:[Setting]],all_cause_mort[],5,FALSE))</f>
        <v>2.3038219E-4</v>
      </c>
      <c r="R85">
        <f>IF(VLOOKUP(all_lmics18[[Setting]:[Setting]],all_cause_mort[],6,FALSE)="",VLOOKUP(all_lmics18[[who_choice_region]:[who_choice_region]],missing[],10,FALSE),VLOOKUP(all_lmics18[[Setting]:[Setting]],all_cause_mort[],6,FALSE))</f>
        <v>1.3251965999999999E-4</v>
      </c>
      <c r="S85">
        <f>IF(VLOOKUP(all_lmics18[[Setting]:[Setting]],all_cause_mort[],7,FALSE)="",VLOOKUP(all_lmics18[[who_choice_region]:[who_choice_region]],missing[],11,FALSE),VLOOKUP(all_lmics18[[Setting]:[Setting]],all_cause_mort[],7,FALSE))</f>
        <v>1.2637386E-4</v>
      </c>
      <c r="T85">
        <f>IF(VLOOKUP(all_lmics18[[Setting]:[Setting]],all_cause_mort[],8,FALSE)="",VLOOKUP(all_lmics18[[who_choice_region]:[who_choice_region]],missing[],12,FALSE),VLOOKUP(all_lmics18[[Setting]:[Setting]],all_cause_mort[],8,FALSE))</f>
        <v>7.2338849000000004E-4</v>
      </c>
      <c r="U85">
        <f>IF(VLOOKUP(all_lmics18[[Setting]:[Setting]],all_cause_mort[],9,FALSE)="",VLOOKUP(all_lmics18[[who_choice_region]:[who_choice_region]],missing[],13,FALSE),VLOOKUP(all_lmics18[[Setting]:[Setting]],all_cause_mort[],9,FALSE))</f>
        <v>5.4679288E-4</v>
      </c>
      <c r="V85">
        <f>IF(VLOOKUP(all_lmics18[[Setting]:[Setting]],all_cause_mort[],10,FALSE)="",VLOOKUP(all_lmics18[[who_choice_region]:[who_choice_region]],missing[],14,FALSE),VLOOKUP(all_lmics18[[Setting]:[Setting]],all_cause_mort[],10,FALSE))</f>
        <v>4.6108818E-4</v>
      </c>
      <c r="W85">
        <f>IF(VLOOKUP(all_lmics18[[Setting]:[Setting]],all_cause_mort[],11,FALSE)="",VLOOKUP(all_lmics18[[who_choice_region]:[who_choice_region]],missing[],15,FALSE),VLOOKUP(all_lmics18[[Setting]:[Setting]],all_cause_mort[],11,FALSE))</f>
        <v>4.2117973E-4</v>
      </c>
      <c r="X85">
        <f>IF(VLOOKUP(all_lmics18[[Setting]:[Setting]],all_cause_mort[],12,FALSE)="",VLOOKUP(all_lmics18[[who_choice_region]:[who_choice_region]],missing[],16,FALSE),VLOOKUP(all_lmics18[[Setting]:[Setting]],all_cause_mort[],12,FALSE))</f>
        <v>5.4064429999999995E-4</v>
      </c>
      <c r="Y85">
        <f>IF(VLOOKUP(all_lmics18[[Setting]:[Setting]],all_cause_mort[],13,FALSE)="",VLOOKUP(all_lmics18[[who_choice_region]:[who_choice_region]],missing[],17,FALSE),VLOOKUP(all_lmics18[[Setting]:[Setting]],all_cause_mort[],13,FALSE))</f>
        <v>8.2299936999999997E-4</v>
      </c>
      <c r="Z85">
        <f>IF(VLOOKUP(all_lmics18[[Setting]:[Setting]],all_cause_mort[],14,FALSE)="",VLOOKUP(all_lmics18[[who_choice_region]:[who_choice_region]],missing[],18,FALSE),VLOOKUP(all_lmics18[[Setting]:[Setting]],all_cause_mort[],14,FALSE))</f>
        <v>1.6220913000000001E-3</v>
      </c>
      <c r="AA85">
        <f>IF(VLOOKUP(all_lmics18[[Setting]:[Setting]],all_cause_mort[],15,FALSE)="",VLOOKUP(all_lmics18[[who_choice_region]:[who_choice_region]],missing[],19,FALSE),VLOOKUP(all_lmics18[[Setting]:[Setting]],all_cause_mort[],15,FALSE))</f>
        <v>2.5840185000000002E-3</v>
      </c>
      <c r="AB85">
        <f>IF(VLOOKUP(all_lmics18[[Setting]:[Setting]],all_cause_mort[],16,FALSE)="",VLOOKUP(all_lmics18[[who_choice_region]:[who_choice_region]],missing[],20,FALSE),VLOOKUP(all_lmics18[[Setting]:[Setting]],all_cause_mort[],16,FALSE))</f>
        <v>5.3076191E-3</v>
      </c>
      <c r="AC85">
        <f>IF(VLOOKUP(all_lmics18[[Setting]:[Setting]],all_cause_mort[],17,FALSE)="",VLOOKUP(all_lmics18[[who_choice_region]:[who_choice_region]],missing[],21,FALSE),VLOOKUP(all_lmics18[[Setting]:[Setting]],all_cause_mort[],17,FALSE))</f>
        <v>1.5079956E-2</v>
      </c>
      <c r="AD85">
        <f>IF(VLOOKUP(all_lmics18[[Setting]:[Setting]],all_cause_mort[],18,FALSE)="",VLOOKUP(all_lmics18[[who_choice_region]:[who_choice_region]],missing[],22,FALSE),VLOOKUP(all_lmics18[[Setting]:[Setting]],all_cause_mort[],18,FALSE))</f>
        <v>2.006026E-2</v>
      </c>
      <c r="AE85">
        <f>IF(VLOOKUP(all_lmics18[[Setting]:[Setting]],all_cause_mort[],19,FALSE)="",VLOOKUP(all_lmics18[[who_choice_region]:[who_choice_region]],missing[],23,FALSE),VLOOKUP(all_lmics18[[Setting]:[Setting]],all_cause_mort[],19,FALSE))</f>
        <v>3.2607232E-2</v>
      </c>
      <c r="AF85">
        <f>IF(VLOOKUP(all_lmics18[[Setting]:[Setting]],all_cause_mort[],20,FALSE)="",VLOOKUP(all_lmics18[[who_choice_region]:[who_choice_region]],missing[],24,FALSE),VLOOKUP(all_lmics18[[Setting]:[Setting]],all_cause_mort[],20,FALSE))</f>
        <v>5.8246564000000001E-2</v>
      </c>
      <c r="AG85">
        <f>IF(VLOOKUP(all_lmics18[[Setting]:[Setting]],all_cause_mort[],21,FALSE)="",VLOOKUP(all_lmics18[[who_choice_region]:[who_choice_region]],missing[],25,FALSE),VLOOKUP(all_lmics18[[Setting]:[Setting]],all_cause_mort[],21,FALSE))</f>
        <v>9.1688647999999998E-2</v>
      </c>
      <c r="AH85">
        <f>IF(VLOOKUP(all_lmics18[[Setting]:[Setting]],all_cause_mort[],22,FALSE)="",VLOOKUP(all_lmics18[[who_choice_region]:[who_choice_region]],missing[],26,FALSE),VLOOKUP(all_lmics18[[Setting]:[Setting]],all_cause_mort[],22,FALSE))</f>
        <v>0.13973184999999999</v>
      </c>
      <c r="AI85">
        <f>IF(VLOOKUP(all_lmics18[[Setting]:[Setting]],all_cause_mort[],23,FALSE)="",VLOOKUP(all_lmics18[[who_choice_region]:[who_choice_region]],missing[],27,FALSE),VLOOKUP(all_lmics18[[Setting]:[Setting]],all_cause_mort[],23,FALSE))</f>
        <v>0.20060302999999999</v>
      </c>
      <c r="AJ85">
        <f>IF(VLOOKUP(all_lmics18[[Setting]:[Setting]],all_cause_mort[],24,FALSE)="",VLOOKUP(all_lmics18[[who_choice_region]:[who_choice_region]],missing[],28,FALSE),VLOOKUP(all_lmics18[[Setting]:[Setting]],all_cause_mort[],24,FALSE))</f>
        <v>0.27241254999999998</v>
      </c>
      <c r="AK85">
        <f>IF(VLOOKUP(all_lmics18[[Setting]:[Setting]],all_cause_mort[],25,FALSE)="",VLOOKUP(all_lmics18[[who_choice_region]:[who_choice_region]],missing[],29,FALSE),VLOOKUP(all_lmics18[[Setting]:[Setting]],all_cause_mort[],25,FALSE))</f>
        <v>0.37001596359871802</v>
      </c>
      <c r="AL85">
        <f>VLOOKUP(all_lmics18[[worldbank_region]:[worldbank_region]],Table13[],2,FALSE)</f>
        <v>57.906657999999993</v>
      </c>
      <c r="AM85">
        <f>VLOOKUP(all_lmics18[[worldbank_region]:[worldbank_region]],Table13[],3,FALSE)</f>
        <v>57.906657999999993</v>
      </c>
      <c r="AN85">
        <f>VLOOKUP(all_lmics18[[worldbank_region]:[worldbank_region]],Table13[],4,FALSE)</f>
        <v>105.63551799999999</v>
      </c>
      <c r="AO85">
        <f>VLOOKUP(all_lmics18[[worldbank_region]:[worldbank_region]],Table13[],5,FALSE)</f>
        <v>105.63551799999999</v>
      </c>
      <c r="AP85">
        <f>VLOOKUP(all_lmics18[[worldbank_region]:[worldbank_region]],Table13[],6,FALSE)</f>
        <v>105.63551799999999</v>
      </c>
      <c r="AQ85">
        <f>VLOOKUP(all_lmics18[[worldbank_region]:[worldbank_region]],Table14[],2,FALSE)</f>
        <v>1.5037449999999999</v>
      </c>
      <c r="AR85">
        <f>VLOOKUP(all_lmics18[[worldbank_region]:[worldbank_region]],Table14[],3,FALSE)</f>
        <v>2.121245</v>
      </c>
      <c r="AS85">
        <f>VLOOKUP(all_lmics18[[worldbank_region]:[worldbank_region]],Table14[],4,FALSE)</f>
        <v>1.9832129999999999</v>
      </c>
      <c r="AT85">
        <f>VLOOKUP(all_lmics18[[worldbank_region]:[worldbank_region]],Table14[],5,FALSE)</f>
        <v>2.6007129999999998</v>
      </c>
      <c r="AU85">
        <f>VLOOKUP(all_lmics18[[worldbank_region]:[worldbank_region]],Table14[],6,FALSE)</f>
        <v>3.1709649999999998</v>
      </c>
      <c r="AV85">
        <f>IFERROR(VLOOKUP(all_lmics18[[Setting]:[Setting]],nFacSBA[],4,FALSE),VLOOKUP(all_lmics18[[who_choice_region]:[who_choice_region]],missing[],30,FALSE))</f>
        <v>0.38783437593130843</v>
      </c>
      <c r="AW85">
        <f>VLOOKUP(all_lmics18[[worldbank_region]:[worldbank_region]],hbe[],2)</f>
        <v>0.3</v>
      </c>
      <c r="AX85">
        <f>VLOOKUP(all_lmics18[[worldbank_region]:[worldbank_region]],hbe[],5)</f>
        <v>0.875</v>
      </c>
      <c r="AY85">
        <f>VLOOKUP(all_lmics18[[worldbank_region]:[worldbank_region]],hbe[],8)</f>
        <v>0.15</v>
      </c>
    </row>
    <row r="86" spans="1:51" x14ac:dyDescent="0.35">
      <c r="A86" s="12" t="s">
        <v>218</v>
      </c>
      <c r="B86" s="13" t="s">
        <v>10</v>
      </c>
      <c r="C86" s="14" t="s">
        <v>11</v>
      </c>
      <c r="D86">
        <f>VLOOKUP(all_lmics18[[Setting]:[Setting]],populations[],9,FALSE)</f>
        <v>32387200</v>
      </c>
      <c r="E86">
        <f>VLOOKUP(all_lmics18[[Setting]:[Setting]],birthrate[],3,FALSE)</f>
        <v>2.2800000000000001E-2</v>
      </c>
      <c r="F86">
        <f>all_lmics18[[#This Row],[2017_population]]*all_lmics18[[#This Row],[2016_birthrate]]</f>
        <v>738428.16</v>
      </c>
      <c r="G86">
        <f>VLOOKUP(all_lmics18[[Setting]:[Setting]],birthdose[],4,FALSE)</f>
        <v>0.99</v>
      </c>
      <c r="H86">
        <f>VLOOKUP(all_lmics18[[Setting]:[Setting]],fullvax[],4,FALSE)</f>
        <v>0.99</v>
      </c>
      <c r="I86">
        <f>IFERROR(VLOOKUP(all_lmics18[[Setting]:[Setting]],prev[],3,FALSE),VLOOKUP(all_lmics18[[who_choice_region]:[who_choice_region]],missing[],2,FALSE))</f>
        <v>0.08</v>
      </c>
      <c r="J86">
        <f>IFERROR(VLOOKUP(all_lmics18[[Setting]:[Setting]],prev[],4,FALSE),VLOOKUP(all_lmics18[[who_choice_region]:[who_choice_region]],missing[],3,FALSE))</f>
        <v>4.1000000000000002E-2</v>
      </c>
      <c r="K86">
        <f>IFERROR(VLOOKUP(all_lmics18[[Setting]:[Setting]],prev[],5,FALSE),VLOOKUP(all_lmics18[[who_choice_region]:[who_choice_region]],missing[],4,FALSE))</f>
        <v>0.11700000000000001</v>
      </c>
      <c r="L86">
        <f>IFERROR(VLOOKUP(all_lmics18[[Setting]:[Setting]],prev[],7,FALSE),VLOOKUP(all_lmics18[[who_choice_region]:[who_choice_region]],missing[],5,FALSE))</f>
        <v>1.8877551020408168E-2</v>
      </c>
      <c r="M86">
        <f>IFERROR(VLOOKUP(all_lmics18[[Setting]:[Setting]],prev[],6,FALSE),0)</f>
        <v>32387200</v>
      </c>
      <c r="N86">
        <f>IFERROR(VLOOKUP(all_lmics18[[Setting]:[Setting]],SBA[],4,FALSE),VLOOKUP(all_lmics18[[who_choice_region]:[who_choice_region]],missing[],6,FALSE))</f>
        <v>0.9998999999999999</v>
      </c>
      <c r="O86">
        <f>IFERROR(VLOOKUP(all_lmics18[[Setting]:[Setting]], facility[], 3,FALSE),VLOOKUP(all_lmics18[[who_choice_region]:[who_choice_region]],missing[],7,FALSE))</f>
        <v>0.995</v>
      </c>
      <c r="P86">
        <f>IF(VLOOKUP(all_lmics18[[Setting]:[Setting]],all_cause_mort[],4,FALSE)="",VLOOKUP(all_lmics18[[who_choice_region]:[who_choice_region]],missing[],8,FALSE),VLOOKUP(all_lmics18[[Setting]:[Setting]],all_cause_mort[],4,FALSE))</f>
        <v>2.1230355999999999E-2</v>
      </c>
      <c r="Q86">
        <f>IF(VLOOKUP(all_lmics18[[Setting]:[Setting]],all_cause_mort[],5,FALSE)="",VLOOKUP(all_lmics18[[who_choice_region]:[who_choice_region]],missing[],9,FALSE),VLOOKUP(all_lmics18[[Setting]:[Setting]],all_cause_mort[],5,FALSE))</f>
        <v>1.225877E-3</v>
      </c>
      <c r="R86">
        <f>IF(VLOOKUP(all_lmics18[[Setting]:[Setting]],all_cause_mort[],6,FALSE)="",VLOOKUP(all_lmics18[[who_choice_region]:[who_choice_region]],missing[],10,FALSE),VLOOKUP(all_lmics18[[Setting]:[Setting]],all_cause_mort[],6,FALSE))</f>
        <v>2.8780549000000002E-4</v>
      </c>
      <c r="S86">
        <f>IF(VLOOKUP(all_lmics18[[Setting]:[Setting]],all_cause_mort[],7,FALSE)="",VLOOKUP(all_lmics18[[who_choice_region]:[who_choice_region]],missing[],11,FALSE),VLOOKUP(all_lmics18[[Setting]:[Setting]],all_cause_mort[],7,FALSE))</f>
        <v>3.0668539999999998E-4</v>
      </c>
      <c r="T86">
        <f>IF(VLOOKUP(all_lmics18[[Setting]:[Setting]],all_cause_mort[],8,FALSE)="",VLOOKUP(all_lmics18[[who_choice_region]:[who_choice_region]],missing[],12,FALSE),VLOOKUP(all_lmics18[[Setting]:[Setting]],all_cause_mort[],8,FALSE))</f>
        <v>5.0506537999999996E-4</v>
      </c>
      <c r="U86">
        <f>IF(VLOOKUP(all_lmics18[[Setting]:[Setting]],all_cause_mort[],9,FALSE)="",VLOOKUP(all_lmics18[[who_choice_region]:[who_choice_region]],missing[],13,FALSE),VLOOKUP(all_lmics18[[Setting]:[Setting]],all_cause_mort[],9,FALSE))</f>
        <v>7.2571156999999998E-4</v>
      </c>
      <c r="V86">
        <f>IF(VLOOKUP(all_lmics18[[Setting]:[Setting]],all_cause_mort[],10,FALSE)="",VLOOKUP(all_lmics18[[who_choice_region]:[who_choice_region]],missing[],14,FALSE),VLOOKUP(all_lmics18[[Setting]:[Setting]],all_cause_mort[],10,FALSE))</f>
        <v>9.7574669000000005E-4</v>
      </c>
      <c r="W86">
        <f>IF(VLOOKUP(all_lmics18[[Setting]:[Setting]],all_cause_mort[],11,FALSE)="",VLOOKUP(all_lmics18[[who_choice_region]:[who_choice_region]],missing[],15,FALSE),VLOOKUP(all_lmics18[[Setting]:[Setting]],all_cause_mort[],11,FALSE))</f>
        <v>1.3240076999999999E-3</v>
      </c>
      <c r="X86">
        <f>IF(VLOOKUP(all_lmics18[[Setting]:[Setting]],all_cause_mort[],12,FALSE)="",VLOOKUP(all_lmics18[[who_choice_region]:[who_choice_region]],missing[],16,FALSE),VLOOKUP(all_lmics18[[Setting]:[Setting]],all_cause_mort[],12,FALSE))</f>
        <v>1.8484399E-3</v>
      </c>
      <c r="Y86">
        <f>IF(VLOOKUP(all_lmics18[[Setting]:[Setting]],all_cause_mort[],13,FALSE)="",VLOOKUP(all_lmics18[[who_choice_region]:[who_choice_region]],missing[],17,FALSE),VLOOKUP(all_lmics18[[Setting]:[Setting]],all_cause_mort[],13,FALSE))</f>
        <v>2.5851782000000001E-3</v>
      </c>
      <c r="Z86">
        <f>IF(VLOOKUP(all_lmics18[[Setting]:[Setting]],all_cause_mort[],14,FALSE)="",VLOOKUP(all_lmics18[[who_choice_region]:[who_choice_region]],missing[],18,FALSE),VLOOKUP(all_lmics18[[Setting]:[Setting]],all_cause_mort[],14,FALSE))</f>
        <v>3.9321835999999999E-3</v>
      </c>
      <c r="AA86">
        <f>IF(VLOOKUP(all_lmics18[[Setting]:[Setting]],all_cause_mort[],15,FALSE)="",VLOOKUP(all_lmics18[[who_choice_region]:[who_choice_region]],missing[],19,FALSE),VLOOKUP(all_lmics18[[Setting]:[Setting]],all_cause_mort[],15,FALSE))</f>
        <v>6.3526088000000003E-3</v>
      </c>
      <c r="AB86">
        <f>IF(VLOOKUP(all_lmics18[[Setting]:[Setting]],all_cause_mort[],16,FALSE)="",VLOOKUP(all_lmics18[[who_choice_region]:[who_choice_region]],missing[],20,FALSE),VLOOKUP(all_lmics18[[Setting]:[Setting]],all_cause_mort[],16,FALSE))</f>
        <v>1.0857489999999999E-2</v>
      </c>
      <c r="AC86">
        <f>IF(VLOOKUP(all_lmics18[[Setting]:[Setting]],all_cause_mort[],17,FALSE)="",VLOOKUP(all_lmics18[[who_choice_region]:[who_choice_region]],missing[],21,FALSE),VLOOKUP(all_lmics18[[Setting]:[Setting]],all_cause_mort[],17,FALSE))</f>
        <v>1.8961295999999999E-2</v>
      </c>
      <c r="AD86">
        <f>IF(VLOOKUP(all_lmics18[[Setting]:[Setting]],all_cause_mort[],18,FALSE)="",VLOOKUP(all_lmics18[[who_choice_region]:[who_choice_region]],missing[],22,FALSE),VLOOKUP(all_lmics18[[Setting]:[Setting]],all_cause_mort[],18,FALSE))</f>
        <v>3.0691217999999999E-2</v>
      </c>
      <c r="AE86">
        <f>IF(VLOOKUP(all_lmics18[[Setting]:[Setting]],all_cause_mort[],19,FALSE)="",VLOOKUP(all_lmics18[[who_choice_region]:[who_choice_region]],missing[],23,FALSE),VLOOKUP(all_lmics18[[Setting]:[Setting]],all_cause_mort[],19,FALSE))</f>
        <v>4.9566286000000001E-2</v>
      </c>
      <c r="AF86">
        <f>IF(VLOOKUP(all_lmics18[[Setting]:[Setting]],all_cause_mort[],20,FALSE)="",VLOOKUP(all_lmics18[[who_choice_region]:[who_choice_region]],missing[],24,FALSE),VLOOKUP(all_lmics18[[Setting]:[Setting]],all_cause_mort[],20,FALSE))</f>
        <v>8.0209772999999998E-2</v>
      </c>
      <c r="AG86">
        <f>IF(VLOOKUP(all_lmics18[[Setting]:[Setting]],all_cause_mort[],21,FALSE)="",VLOOKUP(all_lmics18[[who_choice_region]:[who_choice_region]],missing[],25,FALSE),VLOOKUP(all_lmics18[[Setting]:[Setting]],all_cause_mort[],21,FALSE))</f>
        <v>0.12648421000000001</v>
      </c>
      <c r="AH86">
        <f>IF(VLOOKUP(all_lmics18[[Setting]:[Setting]],all_cause_mort[],22,FALSE)="",VLOOKUP(all_lmics18[[who_choice_region]:[who_choice_region]],missing[],26,FALSE),VLOOKUP(all_lmics18[[Setting]:[Setting]],all_cause_mort[],22,FALSE))</f>
        <v>0.19134798</v>
      </c>
      <c r="AI86">
        <f>IF(VLOOKUP(all_lmics18[[Setting]:[Setting]],all_cause_mort[],23,FALSE)="",VLOOKUP(all_lmics18[[who_choice_region]:[who_choice_region]],missing[],27,FALSE),VLOOKUP(all_lmics18[[Setting]:[Setting]],all_cause_mort[],23,FALSE))</f>
        <v>0.2794681</v>
      </c>
      <c r="AJ86">
        <f>IF(VLOOKUP(all_lmics18[[Setting]:[Setting]],all_cause_mort[],24,FALSE)="",VLOOKUP(all_lmics18[[who_choice_region]:[who_choice_region]],missing[],28,FALSE),VLOOKUP(all_lmics18[[Setting]:[Setting]],all_cause_mort[],24,FALSE))</f>
        <v>0.38955024999999999</v>
      </c>
      <c r="AK86">
        <f>IF(VLOOKUP(all_lmics18[[Setting]:[Setting]],all_cause_mort[],25,FALSE)="",VLOOKUP(all_lmics18[[who_choice_region]:[who_choice_region]],missing[],29,FALSE),VLOOKUP(all_lmics18[[Setting]:[Setting]],all_cause_mort[],25,FALSE))</f>
        <v>0.50008726522778202</v>
      </c>
      <c r="AL86">
        <f>VLOOKUP(all_lmics18[[worldbank_region]:[worldbank_region]],Table13[],2,FALSE)</f>
        <v>44.525141999999995</v>
      </c>
      <c r="AM86">
        <f>VLOOKUP(all_lmics18[[worldbank_region]:[worldbank_region]],Table13[],3,FALSE)</f>
        <v>44.525141999999995</v>
      </c>
      <c r="AN86">
        <f>VLOOKUP(all_lmics18[[worldbank_region]:[worldbank_region]],Table13[],4,FALSE)</f>
        <v>92.254001999999986</v>
      </c>
      <c r="AO86">
        <f>VLOOKUP(all_lmics18[[worldbank_region]:[worldbank_region]],Table13[],5,FALSE)</f>
        <v>92.254001999999986</v>
      </c>
      <c r="AP86">
        <f>VLOOKUP(all_lmics18[[worldbank_region]:[worldbank_region]],Table13[],6,FALSE)</f>
        <v>92.254001999999986</v>
      </c>
      <c r="AQ86">
        <f>VLOOKUP(all_lmics18[[worldbank_region]:[worldbank_region]],Table14[],2,FALSE)</f>
        <v>6.4182919999999992</v>
      </c>
      <c r="AR86">
        <f>VLOOKUP(all_lmics18[[worldbank_region]:[worldbank_region]],Table14[],3,FALSE)</f>
        <v>7.0357919999999998</v>
      </c>
      <c r="AS86">
        <f>VLOOKUP(all_lmics18[[worldbank_region]:[worldbank_region]],Table14[],4,FALSE)</f>
        <v>10.482872999999998</v>
      </c>
      <c r="AT86">
        <f>VLOOKUP(all_lmics18[[worldbank_region]:[worldbank_region]],Table14[],5,FALSE)</f>
        <v>11.100372999999999</v>
      </c>
      <c r="AU86">
        <f>VLOOKUP(all_lmics18[[worldbank_region]:[worldbank_region]],Table14[],6,FALSE)</f>
        <v>11.670624999999999</v>
      </c>
      <c r="AV86">
        <f>IFERROR(VLOOKUP(all_lmics18[[Setting]:[Setting]],nFacSBA[],4,FALSE),VLOOKUP(all_lmics18[[who_choice_region]:[who_choice_region]],missing[],30,FALSE))</f>
        <v>0.53357812104952496</v>
      </c>
      <c r="AW86">
        <f>VLOOKUP(all_lmics18[[worldbank_region]:[worldbank_region]],hbe[],2)</f>
        <v>0.3</v>
      </c>
      <c r="AX86">
        <f>VLOOKUP(all_lmics18[[worldbank_region]:[worldbank_region]],hbe[],5)</f>
        <v>0.875</v>
      </c>
      <c r="AY86">
        <f>VLOOKUP(all_lmics18[[worldbank_region]:[worldbank_region]],hbe[],8)</f>
        <v>0.15</v>
      </c>
    </row>
    <row r="87" spans="1:51" x14ac:dyDescent="0.35">
      <c r="A87" s="12" t="s">
        <v>220</v>
      </c>
      <c r="B87" s="13" t="s">
        <v>22</v>
      </c>
      <c r="C87" s="14" t="s">
        <v>383</v>
      </c>
      <c r="D87">
        <f>VLOOKUP(all_lmics18[[Setting]:[Setting]],populations[],9,FALSE)</f>
        <v>31977065</v>
      </c>
      <c r="E87">
        <f>VLOOKUP(all_lmics18[[Setting]:[Setting]],birthrate[],3,FALSE)</f>
        <v>1.9030000000000002E-2</v>
      </c>
      <c r="F87">
        <f>all_lmics18[[#This Row],[2017_population]]*all_lmics18[[#This Row],[2016_birthrate]]</f>
        <v>608523.54695000011</v>
      </c>
      <c r="G87">
        <f>VLOOKUP(all_lmics18[[Setting]:[Setting]],birthdose[],4,FALSE)</f>
        <v>0.56000000000000005</v>
      </c>
      <c r="H87">
        <f>VLOOKUP(all_lmics18[[Setting]:[Setting]],fullvax[],4,FALSE)</f>
        <v>0.84</v>
      </c>
      <c r="I87">
        <f>IFERROR(VLOOKUP(all_lmics18[[Setting]:[Setting]],prev[],3,FALSE),VLOOKUP(all_lmics18[[who_choice_region]:[who_choice_region]],missing[],2,FALSE))</f>
        <v>1.2E-2</v>
      </c>
      <c r="J87">
        <f>IFERROR(VLOOKUP(all_lmics18[[Setting]:[Setting]],prev[],4,FALSE),VLOOKUP(all_lmics18[[who_choice_region]:[who_choice_region]],missing[],3,FALSE))</f>
        <v>1.0999999999999999E-2</v>
      </c>
      <c r="K87">
        <f>IFERROR(VLOOKUP(all_lmics18[[Setting]:[Setting]],prev[],5,FALSE),VLOOKUP(all_lmics18[[who_choice_region]:[who_choice_region]],missing[],4,FALSE))</f>
        <v>1.7999999999999999E-2</v>
      </c>
      <c r="L87">
        <f>IFERROR(VLOOKUP(all_lmics18[[Setting]:[Setting]],prev[],7,FALSE),VLOOKUP(all_lmics18[[who_choice_region]:[who_choice_region]],missing[],5,FALSE))</f>
        <v>3.0612244897959178E-3</v>
      </c>
      <c r="M87">
        <f>IFERROR(VLOOKUP(all_lmics18[[Setting]:[Setting]],prev[],6,FALSE),0)</f>
        <v>31977065</v>
      </c>
      <c r="N87">
        <f>IFERROR(VLOOKUP(all_lmics18[[Setting]:[Setting]],SBA[],4,FALSE),VLOOKUP(all_lmics18[[who_choice_region]:[who_choice_region]],missing[],6,FALSE))</f>
        <v>0.96200000000000008</v>
      </c>
      <c r="O87">
        <f>IFERROR(VLOOKUP(all_lmics18[[Setting]:[Setting]], facility[], 3,FALSE),VLOOKUP(all_lmics18[[who_choice_region]:[who_choice_region]],missing[],7,FALSE))</f>
        <v>0.98939999999999995</v>
      </c>
      <c r="P87">
        <f>IF(VLOOKUP(all_lmics18[[Setting]:[Setting]],all_cause_mort[],4,FALSE)="",VLOOKUP(all_lmics18[[who_choice_region]:[who_choice_region]],missing[],8,FALSE),VLOOKUP(all_lmics18[[Setting]:[Setting]],all_cause_mort[],4,FALSE))</f>
        <v>2.6294669999999999E-2</v>
      </c>
      <c r="Q87">
        <f>IF(VLOOKUP(all_lmics18[[Setting]:[Setting]],all_cause_mort[],5,FALSE)="",VLOOKUP(all_lmics18[[who_choice_region]:[who_choice_region]],missing[],9,FALSE),VLOOKUP(all_lmics18[[Setting]:[Setting]],all_cause_mort[],5,FALSE))</f>
        <v>1.3265407E-3</v>
      </c>
      <c r="R87">
        <f>IF(VLOOKUP(all_lmics18[[Setting]:[Setting]],all_cause_mort[],6,FALSE)="",VLOOKUP(all_lmics18[[who_choice_region]:[who_choice_region]],missing[],10,FALSE),VLOOKUP(all_lmics18[[Setting]:[Setting]],all_cause_mort[],6,FALSE))</f>
        <v>2.4088156000000001E-4</v>
      </c>
      <c r="S87">
        <f>IF(VLOOKUP(all_lmics18[[Setting]:[Setting]],all_cause_mort[],7,FALSE)="",VLOOKUP(all_lmics18[[who_choice_region]:[who_choice_region]],missing[],11,FALSE),VLOOKUP(all_lmics18[[Setting]:[Setting]],all_cause_mort[],7,FALSE))</f>
        <v>3.4739594E-4</v>
      </c>
      <c r="T87">
        <f>IF(VLOOKUP(all_lmics18[[Setting]:[Setting]],all_cause_mort[],8,FALSE)="",VLOOKUP(all_lmics18[[who_choice_region]:[who_choice_region]],missing[],12,FALSE),VLOOKUP(all_lmics18[[Setting]:[Setting]],all_cause_mort[],8,FALSE))</f>
        <v>1.4227375E-3</v>
      </c>
      <c r="U87">
        <f>IF(VLOOKUP(all_lmics18[[Setting]:[Setting]],all_cause_mort[],9,FALSE)="",VLOOKUP(all_lmics18[[who_choice_region]:[who_choice_region]],missing[],13,FALSE),VLOOKUP(all_lmics18[[Setting]:[Setting]],all_cause_mort[],9,FALSE))</f>
        <v>2.2151191999999998E-3</v>
      </c>
      <c r="V87">
        <f>IF(VLOOKUP(all_lmics18[[Setting]:[Setting]],all_cause_mort[],10,FALSE)="",VLOOKUP(all_lmics18[[who_choice_region]:[who_choice_region]],missing[],14,FALSE),VLOOKUP(all_lmics18[[Setting]:[Setting]],all_cause_mort[],10,FALSE))</f>
        <v>2.1772561999999999E-3</v>
      </c>
      <c r="W87">
        <f>IF(VLOOKUP(all_lmics18[[Setting]:[Setting]],all_cause_mort[],11,FALSE)="",VLOOKUP(all_lmics18[[who_choice_region]:[who_choice_region]],missing[],15,FALSE),VLOOKUP(all_lmics18[[Setting]:[Setting]],all_cause_mort[],11,FALSE))</f>
        <v>2.1400044000000002E-3</v>
      </c>
      <c r="X87">
        <f>IF(VLOOKUP(all_lmics18[[Setting]:[Setting]],all_cause_mort[],12,FALSE)="",VLOOKUP(all_lmics18[[who_choice_region]:[who_choice_region]],missing[],16,FALSE),VLOOKUP(all_lmics18[[Setting]:[Setting]],all_cause_mort[],12,FALSE))</f>
        <v>2.1075536000000001E-3</v>
      </c>
      <c r="Y87">
        <f>IF(VLOOKUP(all_lmics18[[Setting]:[Setting]],all_cause_mort[],13,FALSE)="",VLOOKUP(all_lmics18[[who_choice_region]:[who_choice_region]],missing[],17,FALSE),VLOOKUP(all_lmics18[[Setting]:[Setting]],all_cause_mort[],13,FALSE))</f>
        <v>2.6658009000000002E-3</v>
      </c>
      <c r="Z87">
        <f>IF(VLOOKUP(all_lmics18[[Setting]:[Setting]],all_cause_mort[],14,FALSE)="",VLOOKUP(all_lmics18[[who_choice_region]:[who_choice_region]],missing[],18,FALSE),VLOOKUP(all_lmics18[[Setting]:[Setting]],all_cause_mort[],14,FALSE))</f>
        <v>3.9784727999999997E-3</v>
      </c>
      <c r="AA87">
        <f>IF(VLOOKUP(all_lmics18[[Setting]:[Setting]],all_cause_mort[],15,FALSE)="",VLOOKUP(all_lmics18[[who_choice_region]:[who_choice_region]],missing[],19,FALSE),VLOOKUP(all_lmics18[[Setting]:[Setting]],all_cause_mort[],15,FALSE))</f>
        <v>6.4176331000000003E-3</v>
      </c>
      <c r="AB87">
        <f>IF(VLOOKUP(all_lmics18[[Setting]:[Setting]],all_cause_mort[],16,FALSE)="",VLOOKUP(all_lmics18[[who_choice_region]:[who_choice_region]],missing[],20,FALSE),VLOOKUP(all_lmics18[[Setting]:[Setting]],all_cause_mort[],16,FALSE))</f>
        <v>9.7934004000000009E-3</v>
      </c>
      <c r="AC87">
        <f>IF(VLOOKUP(all_lmics18[[Setting]:[Setting]],all_cause_mort[],17,FALSE)="",VLOOKUP(all_lmics18[[who_choice_region]:[who_choice_region]],missing[],21,FALSE),VLOOKUP(all_lmics18[[Setting]:[Setting]],all_cause_mort[],17,FALSE))</f>
        <v>1.5443426999999999E-2</v>
      </c>
      <c r="AD87">
        <f>IF(VLOOKUP(all_lmics18[[Setting]:[Setting]],all_cause_mort[],18,FALSE)="",VLOOKUP(all_lmics18[[who_choice_region]:[who_choice_region]],missing[],22,FALSE),VLOOKUP(all_lmics18[[Setting]:[Setting]],all_cause_mort[],18,FALSE))</f>
        <v>2.6125928999999999E-2</v>
      </c>
      <c r="AE87">
        <f>IF(VLOOKUP(all_lmics18[[Setting]:[Setting]],all_cause_mort[],19,FALSE)="",VLOOKUP(all_lmics18[[who_choice_region]:[who_choice_region]],missing[],23,FALSE),VLOOKUP(all_lmics18[[Setting]:[Setting]],all_cause_mort[],19,FALSE))</f>
        <v>3.9912073999999999E-2</v>
      </c>
      <c r="AF87">
        <f>IF(VLOOKUP(all_lmics18[[Setting]:[Setting]],all_cause_mort[],20,FALSE)="",VLOOKUP(all_lmics18[[who_choice_region]:[who_choice_region]],missing[],24,FALSE),VLOOKUP(all_lmics18[[Setting]:[Setting]],all_cause_mort[],20,FALSE))</f>
        <v>5.9995859999999998E-2</v>
      </c>
      <c r="AG87">
        <f>IF(VLOOKUP(all_lmics18[[Setting]:[Setting]],all_cause_mort[],21,FALSE)="",VLOOKUP(all_lmics18[[who_choice_region]:[who_choice_region]],missing[],25,FALSE),VLOOKUP(all_lmics18[[Setting]:[Setting]],all_cause_mort[],21,FALSE))</f>
        <v>7.9088839999999994E-2</v>
      </c>
      <c r="AH87">
        <f>IF(VLOOKUP(all_lmics18[[Setting]:[Setting]],all_cause_mort[],22,FALSE)="",VLOOKUP(all_lmics18[[who_choice_region]:[who_choice_region]],missing[],26,FALSE),VLOOKUP(all_lmics18[[Setting]:[Setting]],all_cause_mort[],22,FALSE))</f>
        <v>0.12158436</v>
      </c>
      <c r="AI87">
        <f>IF(VLOOKUP(all_lmics18[[Setting]:[Setting]],all_cause_mort[],23,FALSE)="",VLOOKUP(all_lmics18[[who_choice_region]:[who_choice_region]],missing[],27,FALSE),VLOOKUP(all_lmics18[[Setting]:[Setting]],all_cause_mort[],23,FALSE))</f>
        <v>0.16291785</v>
      </c>
      <c r="AJ87">
        <f>IF(VLOOKUP(all_lmics18[[Setting]:[Setting]],all_cause_mort[],24,FALSE)="",VLOOKUP(all_lmics18[[who_choice_region]:[who_choice_region]],missing[],28,FALSE),VLOOKUP(all_lmics18[[Setting]:[Setting]],all_cause_mort[],24,FALSE))</f>
        <v>0.24855374999999999</v>
      </c>
      <c r="AK87">
        <f>IF(VLOOKUP(all_lmics18[[Setting]:[Setting]],all_cause_mort[],25,FALSE)="",VLOOKUP(all_lmics18[[who_choice_region]:[who_choice_region]],missing[],29,FALSE),VLOOKUP(all_lmics18[[Setting]:[Setting]],all_cause_mort[],25,FALSE))</f>
        <v>0.37050096509943897</v>
      </c>
      <c r="AL87">
        <f>VLOOKUP(all_lmics18[[worldbank_region]:[worldbank_region]],Table13[],2,FALSE)</f>
        <v>86.85998699999999</v>
      </c>
      <c r="AM87">
        <f>VLOOKUP(all_lmics18[[worldbank_region]:[worldbank_region]],Table13[],3,FALSE)</f>
        <v>86.85998699999999</v>
      </c>
      <c r="AN87">
        <f>VLOOKUP(all_lmics18[[worldbank_region]:[worldbank_region]],Table13[],4,FALSE)</f>
        <v>134.58884699999999</v>
      </c>
      <c r="AO87">
        <f>VLOOKUP(all_lmics18[[worldbank_region]:[worldbank_region]],Table13[],5,FALSE)</f>
        <v>134.58884699999999</v>
      </c>
      <c r="AP87">
        <f>VLOOKUP(all_lmics18[[worldbank_region]:[worldbank_region]],Table13[],6,FALSE)</f>
        <v>134.58884699999999</v>
      </c>
      <c r="AQ87">
        <f>VLOOKUP(all_lmics18[[worldbank_region]:[worldbank_region]],Table14[],2,FALSE)</f>
        <v>1.514642</v>
      </c>
      <c r="AR87">
        <f>VLOOKUP(all_lmics18[[worldbank_region]:[worldbank_region]],Table14[],3,FALSE)</f>
        <v>2.132142</v>
      </c>
      <c r="AS87">
        <f>VLOOKUP(all_lmics18[[worldbank_region]:[worldbank_region]],Table14[],4,FALSE)</f>
        <v>1.5364360000000001</v>
      </c>
      <c r="AT87">
        <f>VLOOKUP(all_lmics18[[worldbank_region]:[worldbank_region]],Table14[],5,FALSE)</f>
        <v>2.1539359999999999</v>
      </c>
      <c r="AU87">
        <f>VLOOKUP(all_lmics18[[worldbank_region]:[worldbank_region]],Table14[],6,FALSE)</f>
        <v>2.7241879999999998</v>
      </c>
      <c r="AV87">
        <f>IFERROR(VLOOKUP(all_lmics18[[Setting]:[Setting]],nFacSBA[],4,FALSE),VLOOKUP(all_lmics18[[who_choice_region]:[who_choice_region]],missing[],30,FALSE))</f>
        <v>0.204083371647339</v>
      </c>
      <c r="AW87">
        <f>VLOOKUP(all_lmics18[[worldbank_region]:[worldbank_region]],hbe[],2)</f>
        <v>0.3</v>
      </c>
      <c r="AX87">
        <f>VLOOKUP(all_lmics18[[worldbank_region]:[worldbank_region]],hbe[],5)</f>
        <v>0.875</v>
      </c>
      <c r="AY87">
        <f>VLOOKUP(all_lmics18[[worldbank_region]:[worldbank_region]],hbe[],8)</f>
        <v>0.15</v>
      </c>
    </row>
    <row r="88" spans="1:51" x14ac:dyDescent="0.35">
      <c r="A88" s="8" t="s">
        <v>221</v>
      </c>
      <c r="B88" s="10" t="s">
        <v>57</v>
      </c>
      <c r="C88" s="11" t="s">
        <v>58</v>
      </c>
      <c r="D88">
        <f>VLOOKUP(all_lmics18[[Setting]:[Setting]],populations[],9,FALSE)</f>
        <v>95540800</v>
      </c>
      <c r="E88">
        <f>VLOOKUP(all_lmics18[[Setting]:[Setting]],birthrate[],3,FALSE)</f>
        <v>1.6690999999999998E-2</v>
      </c>
      <c r="F88">
        <f>all_lmics18[[#This Row],[2017_population]]*all_lmics18[[#This Row],[2016_birthrate]]</f>
        <v>1594671.4927999997</v>
      </c>
      <c r="G88">
        <f>VLOOKUP(all_lmics18[[Setting]:[Setting]],birthdose[],4,FALSE)</f>
        <v>0.77</v>
      </c>
      <c r="H88">
        <f>VLOOKUP(all_lmics18[[Setting]:[Setting]],fullvax[],4,FALSE)</f>
        <v>0.94</v>
      </c>
      <c r="I88">
        <f>IFERROR(VLOOKUP(all_lmics18[[Setting]:[Setting]],prev[],3,FALSE),VLOOKUP(all_lmics18[[who_choice_region]:[who_choice_region]],missing[],2,FALSE))</f>
        <v>8.2000000000000003E-2</v>
      </c>
      <c r="J88">
        <f>IFERROR(VLOOKUP(all_lmics18[[Setting]:[Setting]],prev[],4,FALSE),VLOOKUP(all_lmics18[[who_choice_region]:[who_choice_region]],missing[],3,FALSE))</f>
        <v>7.2999999999999995E-2</v>
      </c>
      <c r="K88">
        <f>IFERROR(VLOOKUP(all_lmics18[[Setting]:[Setting]],prev[],5,FALSE),VLOOKUP(all_lmics18[[who_choice_region]:[who_choice_region]],missing[],4,FALSE))</f>
        <v>0.10299999999999999</v>
      </c>
      <c r="L88">
        <f>IFERROR(VLOOKUP(all_lmics18[[Setting]:[Setting]],prev[],7,FALSE),VLOOKUP(all_lmics18[[who_choice_region]:[who_choice_region]],missing[],5,FALSE))</f>
        <v>1.0714285714285709E-2</v>
      </c>
      <c r="M88">
        <f>IFERROR(VLOOKUP(all_lmics18[[Setting]:[Setting]],prev[],6,FALSE),0)</f>
        <v>95540800</v>
      </c>
      <c r="N88">
        <f>IFERROR(VLOOKUP(all_lmics18[[Setting]:[Setting]],SBA[],4,FALSE),VLOOKUP(all_lmics18[[who_choice_region]:[who_choice_region]],missing[],6,FALSE))</f>
        <v>0.93799999999999994</v>
      </c>
      <c r="O88">
        <f>IFERROR(VLOOKUP(all_lmics18[[Setting]:[Setting]], facility[], 3,FALSE),VLOOKUP(all_lmics18[[who_choice_region]:[who_choice_region]],missing[],7,FALSE))</f>
        <v>0.93599999999999994</v>
      </c>
      <c r="P88">
        <f>IF(VLOOKUP(all_lmics18[[Setting]:[Setting]],all_cause_mort[],4,FALSE)="",VLOOKUP(all_lmics18[[who_choice_region]:[who_choice_region]],missing[],8,FALSE),VLOOKUP(all_lmics18[[Setting]:[Setting]],all_cause_mort[],4,FALSE))</f>
        <v>1.6976798000000001E-2</v>
      </c>
      <c r="Q88">
        <f>IF(VLOOKUP(all_lmics18[[Setting]:[Setting]],all_cause_mort[],5,FALSE)="",VLOOKUP(all_lmics18[[who_choice_region]:[who_choice_region]],missing[],9,FALSE),VLOOKUP(all_lmics18[[Setting]:[Setting]],all_cause_mort[],5,FALSE))</f>
        <v>1.0768367999999999E-3</v>
      </c>
      <c r="R88">
        <f>IF(VLOOKUP(all_lmics18[[Setting]:[Setting]],all_cause_mort[],6,FALSE)="",VLOOKUP(all_lmics18[[who_choice_region]:[who_choice_region]],missing[],10,FALSE),VLOOKUP(all_lmics18[[Setting]:[Setting]],all_cause_mort[],6,FALSE))</f>
        <v>5.2053663999999998E-4</v>
      </c>
      <c r="S88">
        <f>IF(VLOOKUP(all_lmics18[[Setting]:[Setting]],all_cause_mort[],7,FALSE)="",VLOOKUP(all_lmics18[[who_choice_region]:[who_choice_region]],missing[],11,FALSE),VLOOKUP(all_lmics18[[Setting]:[Setting]],all_cause_mort[],7,FALSE))</f>
        <v>4.6478006000000001E-4</v>
      </c>
      <c r="T88">
        <f>IF(VLOOKUP(all_lmics18[[Setting]:[Setting]],all_cause_mort[],8,FALSE)="",VLOOKUP(all_lmics18[[who_choice_region]:[who_choice_region]],missing[],12,FALSE),VLOOKUP(all_lmics18[[Setting]:[Setting]],all_cause_mort[],8,FALSE))</f>
        <v>7.4839147000000002E-4</v>
      </c>
      <c r="U88">
        <f>IF(VLOOKUP(all_lmics18[[Setting]:[Setting]],all_cause_mort[],9,FALSE)="",VLOOKUP(all_lmics18[[who_choice_region]:[who_choice_region]],missing[],13,FALSE),VLOOKUP(all_lmics18[[Setting]:[Setting]],all_cause_mort[],9,FALSE))</f>
        <v>1.0978372E-3</v>
      </c>
      <c r="V88">
        <f>IF(VLOOKUP(all_lmics18[[Setting]:[Setting]],all_cause_mort[],10,FALSE)="",VLOOKUP(all_lmics18[[who_choice_region]:[who_choice_region]],missing[],14,FALSE),VLOOKUP(all_lmics18[[Setting]:[Setting]],all_cause_mort[],10,FALSE))</f>
        <v>1.3523147999999999E-3</v>
      </c>
      <c r="W88">
        <f>IF(VLOOKUP(all_lmics18[[Setting]:[Setting]],all_cause_mort[],11,FALSE)="",VLOOKUP(all_lmics18[[who_choice_region]:[who_choice_region]],missing[],15,FALSE),VLOOKUP(all_lmics18[[Setting]:[Setting]],all_cause_mort[],11,FALSE))</f>
        <v>1.5801029E-3</v>
      </c>
      <c r="X88">
        <f>IF(VLOOKUP(all_lmics18[[Setting]:[Setting]],all_cause_mort[],12,FALSE)="",VLOOKUP(all_lmics18[[who_choice_region]:[who_choice_region]],missing[],16,FALSE),VLOOKUP(all_lmics18[[Setting]:[Setting]],all_cause_mort[],12,FALSE))</f>
        <v>1.9559948999999998E-3</v>
      </c>
      <c r="Y88">
        <f>IF(VLOOKUP(all_lmics18[[Setting]:[Setting]],all_cause_mort[],13,FALSE)="",VLOOKUP(all_lmics18[[who_choice_region]:[who_choice_region]],missing[],17,FALSE),VLOOKUP(all_lmics18[[Setting]:[Setting]],all_cause_mort[],13,FALSE))</f>
        <v>2.7645002000000001E-3</v>
      </c>
      <c r="Z88">
        <f>IF(VLOOKUP(all_lmics18[[Setting]:[Setting]],all_cause_mort[],14,FALSE)="",VLOOKUP(all_lmics18[[who_choice_region]:[who_choice_region]],missing[],18,FALSE),VLOOKUP(all_lmics18[[Setting]:[Setting]],all_cause_mort[],14,FALSE))</f>
        <v>3.8816285E-3</v>
      </c>
      <c r="AA88">
        <f>IF(VLOOKUP(all_lmics18[[Setting]:[Setting]],all_cause_mort[],15,FALSE)="",VLOOKUP(all_lmics18[[who_choice_region]:[who_choice_region]],missing[],19,FALSE),VLOOKUP(all_lmics18[[Setting]:[Setting]],all_cause_mort[],15,FALSE))</f>
        <v>6.1845214999999999E-3</v>
      </c>
      <c r="AB88">
        <f>IF(VLOOKUP(all_lmics18[[Setting]:[Setting]],all_cause_mort[],16,FALSE)="",VLOOKUP(all_lmics18[[who_choice_region]:[who_choice_region]],missing[],20,FALSE),VLOOKUP(all_lmics18[[Setting]:[Setting]],all_cause_mort[],16,FALSE))</f>
        <v>9.2934188999999993E-3</v>
      </c>
      <c r="AC88">
        <f>IF(VLOOKUP(all_lmics18[[Setting]:[Setting]],all_cause_mort[],17,FALSE)="",VLOOKUP(all_lmics18[[who_choice_region]:[who_choice_region]],missing[],21,FALSE),VLOOKUP(all_lmics18[[Setting]:[Setting]],all_cause_mort[],17,FALSE))</f>
        <v>1.2742138E-2</v>
      </c>
      <c r="AD88">
        <f>IF(VLOOKUP(all_lmics18[[Setting]:[Setting]],all_cause_mort[],18,FALSE)="",VLOOKUP(all_lmics18[[who_choice_region]:[who_choice_region]],missing[],22,FALSE),VLOOKUP(all_lmics18[[Setting]:[Setting]],all_cause_mort[],18,FALSE))</f>
        <v>2.0623757999999999E-2</v>
      </c>
      <c r="AE88">
        <f>IF(VLOOKUP(all_lmics18[[Setting]:[Setting]],all_cause_mort[],19,FALSE)="",VLOOKUP(all_lmics18[[who_choice_region]:[who_choice_region]],missing[],23,FALSE),VLOOKUP(all_lmics18[[Setting]:[Setting]],all_cause_mort[],19,FALSE))</f>
        <v>3.0673853000000001E-2</v>
      </c>
      <c r="AF88">
        <f>IF(VLOOKUP(all_lmics18[[Setting]:[Setting]],all_cause_mort[],20,FALSE)="",VLOOKUP(all_lmics18[[who_choice_region]:[who_choice_region]],missing[],24,FALSE),VLOOKUP(all_lmics18[[Setting]:[Setting]],all_cause_mort[],20,FALSE))</f>
        <v>4.5973561000000003E-2</v>
      </c>
      <c r="AG88">
        <f>IF(VLOOKUP(all_lmics18[[Setting]:[Setting]],all_cause_mort[],21,FALSE)="",VLOOKUP(all_lmics18[[who_choice_region]:[who_choice_region]],missing[],25,FALSE),VLOOKUP(all_lmics18[[Setting]:[Setting]],all_cause_mort[],21,FALSE))</f>
        <v>6.8831007999999999E-2</v>
      </c>
      <c r="AH88">
        <f>IF(VLOOKUP(all_lmics18[[Setting]:[Setting]],all_cause_mort[],22,FALSE)="",VLOOKUP(all_lmics18[[who_choice_region]:[who_choice_region]],missing[],26,FALSE),VLOOKUP(all_lmics18[[Setting]:[Setting]],all_cause_mort[],22,FALSE))</f>
        <v>0.10241421000000001</v>
      </c>
      <c r="AI88">
        <f>IF(VLOOKUP(all_lmics18[[Setting]:[Setting]],all_cause_mort[],23,FALSE)="",VLOOKUP(all_lmics18[[who_choice_region]:[who_choice_region]],missing[],27,FALSE),VLOOKUP(all_lmics18[[Setting]:[Setting]],all_cause_mort[],23,FALSE))</f>
        <v>0.15050156000000001</v>
      </c>
      <c r="AJ88">
        <f>IF(VLOOKUP(all_lmics18[[Setting]:[Setting]],all_cause_mort[],24,FALSE)="",VLOOKUP(all_lmics18[[who_choice_region]:[who_choice_region]],missing[],28,FALSE),VLOOKUP(all_lmics18[[Setting]:[Setting]],all_cause_mort[],24,FALSE))</f>
        <v>0.21646425999999999</v>
      </c>
      <c r="AK88">
        <f>IF(VLOOKUP(all_lmics18[[Setting]:[Setting]],all_cause_mort[],25,FALSE)="",VLOOKUP(all_lmics18[[who_choice_region]:[who_choice_region]],missing[],29,FALSE),VLOOKUP(all_lmics18[[Setting]:[Setting]],all_cause_mort[],25,FALSE))</f>
        <v>0.31673164363547202</v>
      </c>
      <c r="AL88">
        <f>VLOOKUP(all_lmics18[[worldbank_region]:[worldbank_region]],Table13[],2,FALSE)</f>
        <v>73.064384999999987</v>
      </c>
      <c r="AM88">
        <f>VLOOKUP(all_lmics18[[worldbank_region]:[worldbank_region]],Table13[],3,FALSE)</f>
        <v>73.064384999999987</v>
      </c>
      <c r="AN88">
        <f>VLOOKUP(all_lmics18[[worldbank_region]:[worldbank_region]],Table13[],4,FALSE)</f>
        <v>120.79324499999998</v>
      </c>
      <c r="AO88">
        <f>VLOOKUP(all_lmics18[[worldbank_region]:[worldbank_region]],Table13[],5,FALSE)</f>
        <v>120.79324499999998</v>
      </c>
      <c r="AP88">
        <f>VLOOKUP(all_lmics18[[worldbank_region]:[worldbank_region]],Table13[],6,FALSE)</f>
        <v>120.79324499999998</v>
      </c>
      <c r="AQ88">
        <f>VLOOKUP(all_lmics18[[worldbank_region]:[worldbank_region]],Table14[],2,FALSE)</f>
        <v>1.34029</v>
      </c>
      <c r="AR88">
        <f>VLOOKUP(all_lmics18[[worldbank_region]:[worldbank_region]],Table14[],3,FALSE)</f>
        <v>1.9577900000000001</v>
      </c>
      <c r="AS88">
        <f>VLOOKUP(all_lmics18[[worldbank_region]:[worldbank_region]],Table14[],4,FALSE)</f>
        <v>1.9723159999999997</v>
      </c>
      <c r="AT88">
        <f>VLOOKUP(all_lmics18[[worldbank_region]:[worldbank_region]],Table14[],5,FALSE)</f>
        <v>2.5898159999999999</v>
      </c>
      <c r="AU88">
        <f>VLOOKUP(all_lmics18[[worldbank_region]:[worldbank_region]],Table14[],6,FALSE)</f>
        <v>3.1600679999999999</v>
      </c>
      <c r="AV88">
        <f>IFERROR(VLOOKUP(all_lmics18[[Setting]:[Setting]],nFacSBA[],4,FALSE),VLOOKUP(all_lmics18[[who_choice_region]:[who_choice_region]],missing[],30,FALSE))</f>
        <v>0.11198516051870065</v>
      </c>
      <c r="AW88">
        <f>VLOOKUP(all_lmics18[[worldbank_region]:[worldbank_region]],hbe[],2)</f>
        <v>0.3</v>
      </c>
      <c r="AX88">
        <f>VLOOKUP(all_lmics18[[worldbank_region]:[worldbank_region]],hbe[],5)</f>
        <v>0.875</v>
      </c>
      <c r="AY88">
        <f>VLOOKUP(all_lmics18[[worldbank_region]:[worldbank_region]],hbe[],8)</f>
        <v>0.15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Y88"/>
  <sheetViews>
    <sheetView topLeftCell="A37" workbookViewId="0">
      <selection activeCell="A54" sqref="A54:XFD54"/>
    </sheetView>
  </sheetViews>
  <sheetFormatPr defaultRowHeight="14.5" x14ac:dyDescent="0.35"/>
  <cols>
    <col min="1" max="3" width="8.7265625" customWidth="1"/>
  </cols>
  <sheetData>
    <row r="1" spans="1:51" x14ac:dyDescent="0.35">
      <c r="A1" t="s">
        <v>441</v>
      </c>
      <c r="B1" t="s">
        <v>442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240</v>
      </c>
      <c r="J1" t="s">
        <v>450</v>
      </c>
      <c r="K1" t="s">
        <v>451</v>
      </c>
      <c r="L1" t="s">
        <v>244</v>
      </c>
      <c r="M1" t="s">
        <v>452</v>
      </c>
      <c r="N1" t="s">
        <v>453</v>
      </c>
      <c r="O1" t="s">
        <v>454</v>
      </c>
      <c r="P1" t="s">
        <v>385</v>
      </c>
      <c r="Q1" t="s">
        <v>386</v>
      </c>
      <c r="R1" t="s">
        <v>387</v>
      </c>
      <c r="S1" s="39" t="s">
        <v>388</v>
      </c>
      <c r="T1" s="39" t="s">
        <v>389</v>
      </c>
      <c r="U1" s="39" t="s">
        <v>390</v>
      </c>
      <c r="V1" s="39" t="s">
        <v>391</v>
      </c>
      <c r="W1" s="39" t="s">
        <v>392</v>
      </c>
      <c r="X1" s="39" t="s">
        <v>393</v>
      </c>
      <c r="Y1" s="39" t="s">
        <v>394</v>
      </c>
      <c r="Z1" s="39" t="s">
        <v>395</v>
      </c>
      <c r="AA1" s="39" t="s">
        <v>396</v>
      </c>
      <c r="AB1" s="39" t="s">
        <v>397</v>
      </c>
      <c r="AC1" s="39" t="s">
        <v>398</v>
      </c>
      <c r="AD1" s="39" t="s">
        <v>399</v>
      </c>
      <c r="AE1" s="39" t="s">
        <v>400</v>
      </c>
      <c r="AF1" s="39" t="s">
        <v>401</v>
      </c>
      <c r="AG1" s="39" t="s">
        <v>402</v>
      </c>
      <c r="AH1" s="39" t="s">
        <v>403</v>
      </c>
      <c r="AI1" t="s">
        <v>404</v>
      </c>
      <c r="AJ1" t="s">
        <v>405</v>
      </c>
      <c r="AK1" t="s">
        <v>406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455</v>
      </c>
      <c r="AW1" t="s">
        <v>374</v>
      </c>
      <c r="AX1" t="s">
        <v>377</v>
      </c>
      <c r="AY1" t="s">
        <v>456</v>
      </c>
    </row>
    <row r="2" spans="1:51" x14ac:dyDescent="0.35">
      <c r="A2" s="8" t="s">
        <v>4</v>
      </c>
      <c r="B2" s="10" t="s">
        <v>6</v>
      </c>
      <c r="C2" s="11" t="s">
        <v>7</v>
      </c>
      <c r="D2">
        <f>VLOOKUP(all_lmics1819[[Setting]:[Setting]],populations[],9,FALSE)</f>
        <v>35530081</v>
      </c>
      <c r="E2">
        <f>VLOOKUP(all_lmics1819[[Setting]:[Setting]],birthrate[],3,FALSE)</f>
        <v>3.3214E-2</v>
      </c>
      <c r="F2">
        <f>all_lmics1819[[#This Row],[2017_population]]*all_lmics1819[[#This Row],[2016_birthrate]]</f>
        <v>1180096.1103340001</v>
      </c>
      <c r="G2">
        <f>VLOOKUP(all_lmics1819[[Setting]:[Setting]],birthdose[],4,FALSE)*0.95</f>
        <v>0.17099999999999999</v>
      </c>
      <c r="H2">
        <f>VLOOKUP(all_lmics1819[[Setting]:[Setting]],fullvax[],4,FALSE)*0.95</f>
        <v>0.61749999999999994</v>
      </c>
      <c r="I2">
        <f>IFERROR(VLOOKUP(all_lmics1819[[Setting]:[Setting]],prev[],3,FALSE),VLOOKUP(all_lmics1819[[who_choice_region]:[who_choice_region]],missing[],2,FALSE))</f>
        <v>1.6199999999999999E-2</v>
      </c>
      <c r="J2">
        <f>IFERROR(VLOOKUP(all_lmics1819[[Setting]:[Setting]],prev[],4,FALSE),VLOOKUP(all_lmics1819[[who_choice_region]:[who_choice_region]],missing[],3,FALSE))</f>
        <v>1.29E-2</v>
      </c>
      <c r="K2">
        <f>IFERROR(VLOOKUP(all_lmics1819[[Setting]:[Setting]],prev[],5,FALSE),VLOOKUP(all_lmics1819[[who_choice_region]:[who_choice_region]],missing[],4,FALSE))</f>
        <v>2.0299999999999999E-2</v>
      </c>
      <c r="L2">
        <f>IFERROR(VLOOKUP(all_lmics1819[[Setting]:[Setting]],prev[],7,FALSE),VLOOKUP(all_lmics1819[[who_choice_region]:[who_choice_region]],missing[],5,FALSE))</f>
        <v>2.0918367346938775E-3</v>
      </c>
      <c r="M2">
        <f>IFERROR(VLOOKUP(all_lmics1819[[Setting]:[Setting]],prev[],6,FALSE),0)</f>
        <v>28803167</v>
      </c>
      <c r="N2">
        <f>IFERROR(VLOOKUP(all_lmics1819[[Setting]:[Setting]],SBA[],4,FALSE),VLOOKUP(all_lmics1819[[who_choice_region]:[who_choice_region]],missing[],6,FALSE))*0.95</f>
        <v>0.47974999999999995</v>
      </c>
      <c r="O2">
        <f>IFERROR(VLOOKUP(all_lmics1819[[Setting]:[Setting]], facility[], 3,FALSE),VLOOKUP(all_lmics1819[[who_choice_region]:[who_choice_region]],missing[],7,FALSE))*0.95</f>
        <v>0.45695000000000002</v>
      </c>
      <c r="P2">
        <f>IF(VLOOKUP(all_lmics1819[[Setting]:[Setting]],all_cause_mort[],4,FALSE)="",VLOOKUP(all_lmics1819[[who_choice_region]:[who_choice_region]],missing[],8,FALSE),VLOOKUP(all_lmics1819[[Setting]:[Setting]],all_cause_mort[],4,FALSE))*0.95</f>
        <v>5.1249412500000001E-2</v>
      </c>
      <c r="Q2">
        <f>IF(VLOOKUP(all_lmics1819[[Setting]:[Setting]],all_cause_mort[],5,FALSE)="",VLOOKUP(all_lmics1819[[who_choice_region]:[who_choice_region]],missing[],9,FALSE),VLOOKUP(all_lmics1819[[Setting]:[Setting]],all_cause_mort[],5,FALSE))*0.95</f>
        <v>4.0919251200000001E-3</v>
      </c>
      <c r="R2">
        <f>IF(VLOOKUP(all_lmics1819[[Setting]:[Setting]],all_cause_mort[],6,FALSE)="",VLOOKUP(all_lmics1819[[who_choice_region]:[who_choice_region]],missing[],10,FALSE),VLOOKUP(all_lmics1819[[Setting]:[Setting]],all_cause_mort[],6,FALSE))*0.95</f>
        <v>1.2609208449999999E-3</v>
      </c>
      <c r="S2">
        <f>IF(VLOOKUP(all_lmics1819[[Setting]:[Setting]],all_cause_mort[],7,FALSE)="",VLOOKUP(all_lmics1819[[who_choice_region]:[who_choice_region]],missing[],11,FALSE),VLOOKUP(all_lmics1819[[Setting]:[Setting]],all_cause_mort[],7,FALSE))*0.95</f>
        <v>9.9085569999999993E-4</v>
      </c>
      <c r="T2">
        <f>IF(VLOOKUP(all_lmics1819[[Setting]:[Setting]],all_cause_mort[],8,FALSE)="",VLOOKUP(all_lmics1819[[who_choice_region]:[who_choice_region]],missing[],12,FALSE),VLOOKUP(all_lmics1819[[Setting]:[Setting]],all_cause_mort[],8,FALSE))*0.95</f>
        <v>1.6000131799999999E-3</v>
      </c>
      <c r="U2">
        <f>IF(VLOOKUP(all_lmics1819[[Setting]:[Setting]],all_cause_mort[],9,FALSE)="",VLOOKUP(all_lmics1819[[who_choice_region]:[who_choice_region]],missing[],13,FALSE),VLOOKUP(all_lmics1819[[Setting]:[Setting]],all_cause_mort[],9,FALSE))*0.95</f>
        <v>2.2334008849999999E-3</v>
      </c>
      <c r="V2">
        <f>IF(VLOOKUP(all_lmics1819[[Setting]:[Setting]],all_cause_mort[],10,FALSE)="",VLOOKUP(all_lmics1819[[who_choice_region]:[who_choice_region]],missing[],14,FALSE),VLOOKUP(all_lmics1819[[Setting]:[Setting]],all_cause_mort[],10,FALSE))*0.95</f>
        <v>2.4339222300000002E-3</v>
      </c>
      <c r="W2">
        <f>IF(VLOOKUP(all_lmics1819[[Setting]:[Setting]],all_cause_mort[],11,FALSE)="",VLOOKUP(all_lmics1819[[who_choice_region]:[who_choice_region]],missing[],15,FALSE),VLOOKUP(all_lmics1819[[Setting]:[Setting]],all_cause_mort[],11,FALSE))*0.95</f>
        <v>2.7884922499999999E-3</v>
      </c>
      <c r="X2">
        <f>IF(VLOOKUP(all_lmics1819[[Setting]:[Setting]],all_cause_mort[],12,FALSE)="",VLOOKUP(all_lmics1819[[who_choice_region]:[who_choice_region]],missing[],16,FALSE),VLOOKUP(all_lmics1819[[Setting]:[Setting]],all_cause_mort[],12,FALSE))*0.95</f>
        <v>3.4585961249999999E-3</v>
      </c>
      <c r="Y2">
        <f>IF(VLOOKUP(all_lmics1819[[Setting]:[Setting]],all_cause_mort[],13,FALSE)="",VLOOKUP(all_lmics1819[[who_choice_region]:[who_choice_region]],missing[],17,FALSE),VLOOKUP(all_lmics1819[[Setting]:[Setting]],all_cause_mort[],13,FALSE))*0.95</f>
        <v>4.578372715E-3</v>
      </c>
      <c r="Z2">
        <f>IF(VLOOKUP(all_lmics1819[[Setting]:[Setting]],all_cause_mort[],14,FALSE)="",VLOOKUP(all_lmics1819[[who_choice_region]:[who_choice_region]],missing[],18,FALSE),VLOOKUP(all_lmics1819[[Setting]:[Setting]],all_cause_mort[],14,FALSE))*0.95</f>
        <v>6.4373945600000003E-3</v>
      </c>
      <c r="AA2">
        <f>IF(VLOOKUP(all_lmics1819[[Setting]:[Setting]],all_cause_mort[],15,FALSE)="",VLOOKUP(all_lmics1819[[who_choice_region]:[who_choice_region]],missing[],19,FALSE),VLOOKUP(all_lmics1819[[Setting]:[Setting]],all_cause_mort[],15,FALSE))*0.95</f>
        <v>9.4417314650000004E-3</v>
      </c>
      <c r="AB2">
        <f>IF(VLOOKUP(all_lmics1819[[Setting]:[Setting]],all_cause_mort[],16,FALSE)="",VLOOKUP(all_lmics1819[[who_choice_region]:[who_choice_region]],missing[],20,FALSE),VLOOKUP(all_lmics1819[[Setting]:[Setting]],all_cause_mort[],16,FALSE))*0.95</f>
        <v>1.4078788149999999E-2</v>
      </c>
      <c r="AC2">
        <f>IF(VLOOKUP(all_lmics1819[[Setting]:[Setting]],all_cause_mort[],17,FALSE)="",VLOOKUP(all_lmics1819[[who_choice_region]:[who_choice_region]],missing[],21,FALSE),VLOOKUP(all_lmics1819[[Setting]:[Setting]],all_cause_mort[],17,FALSE))*0.95</f>
        <v>2.160075895E-2</v>
      </c>
      <c r="AD2">
        <f>IF(VLOOKUP(all_lmics1819[[Setting]:[Setting]],all_cause_mort[],18,FALSE)="",VLOOKUP(all_lmics1819[[who_choice_region]:[who_choice_region]],missing[],22,FALSE),VLOOKUP(all_lmics1819[[Setting]:[Setting]],all_cause_mort[],18,FALSE))*0.95</f>
        <v>3.3465845699999996E-2</v>
      </c>
      <c r="AE2">
        <f>IF(VLOOKUP(all_lmics1819[[Setting]:[Setting]],all_cause_mort[],19,FALSE)="",VLOOKUP(all_lmics1819[[who_choice_region]:[who_choice_region]],missing[],23,FALSE),VLOOKUP(all_lmics1819[[Setting]:[Setting]],all_cause_mort[],19,FALSE))*0.95</f>
        <v>5.3478573249999994E-2</v>
      </c>
      <c r="AF2">
        <f>IF(VLOOKUP(all_lmics1819[[Setting]:[Setting]],all_cause_mort[],20,FALSE)="",VLOOKUP(all_lmics1819[[who_choice_region]:[who_choice_region]],missing[],24,FALSE),VLOOKUP(all_lmics1819[[Setting]:[Setting]],all_cause_mort[],20,FALSE))*0.95</f>
        <v>8.5887610449999999E-2</v>
      </c>
      <c r="AG2">
        <f>IF(VLOOKUP(all_lmics1819[[Setting]:[Setting]],all_cause_mort[],21,FALSE)="",VLOOKUP(all_lmics1819[[who_choice_region]:[who_choice_region]],missing[],25,FALSE),VLOOKUP(all_lmics1819[[Setting]:[Setting]],all_cause_mort[],21,FALSE))*0.95</f>
        <v>0.13718828399999999</v>
      </c>
      <c r="AH2">
        <f>IF(VLOOKUP(all_lmics1819[[Setting]:[Setting]],all_cause_mort[],22,FALSE)="",VLOOKUP(all_lmics1819[[who_choice_region]:[who_choice_region]],missing[],26,FALSE),VLOOKUP(all_lmics1819[[Setting]:[Setting]],all_cause_mort[],22,FALSE))*0.95</f>
        <v>0.211683921</v>
      </c>
      <c r="AI2">
        <f>IF(VLOOKUP(all_lmics1819[[Setting]:[Setting]],all_cause_mort[],23,FALSE)="",VLOOKUP(all_lmics1819[[who_choice_region]:[who_choice_region]],missing[],27,FALSE),VLOOKUP(all_lmics1819[[Setting]:[Setting]],all_cause_mort[],23,FALSE))*0.95</f>
        <v>0.30710725999999999</v>
      </c>
      <c r="AJ2">
        <f>IF(VLOOKUP(all_lmics1819[[Setting]:[Setting]],all_cause_mort[],24,FALSE)="",VLOOKUP(all_lmics1819[[who_choice_region]:[who_choice_region]],missing[],28,FALSE),VLOOKUP(all_lmics1819[[Setting]:[Setting]],all_cause_mort[],24,FALSE))*0.95</f>
        <v>0.42252060349999998</v>
      </c>
      <c r="AK2">
        <f>IF(VLOOKUP(all_lmics1819[[Setting]:[Setting]],all_cause_mort[],25,FALSE)="",VLOOKUP(all_lmics1819[[who_choice_region]:[who_choice_region]],missing[],29,FALSE),VLOOKUP(all_lmics1819[[Setting]:[Setting]],all_cause_mort[],25,FALSE))*0.95</f>
        <v>0.54932429064597899</v>
      </c>
      <c r="AL2">
        <f>VLOOKUP(all_lmics1819[[worldbank_region]:[worldbank_region]],Table13[],2,FALSE)*0.95</f>
        <v>55.011325099999993</v>
      </c>
      <c r="AM2">
        <f>VLOOKUP(all_lmics1819[[worldbank_region]:[worldbank_region]],Table13[],3,FALSE)*0.95</f>
        <v>55.011325099999993</v>
      </c>
      <c r="AN2">
        <f>VLOOKUP(all_lmics1819[[worldbank_region]:[worldbank_region]],Table13[],4,FALSE)*0.95</f>
        <v>100.35374209999999</v>
      </c>
      <c r="AO2">
        <f>VLOOKUP(all_lmics1819[[worldbank_region]:[worldbank_region]],Table13[],5,FALSE)*0.95</f>
        <v>100.35374209999999</v>
      </c>
      <c r="AP2">
        <f>VLOOKUP(all_lmics1819[[worldbank_region]:[worldbank_region]],Table13[],6,FALSE)*0.95</f>
        <v>100.35374209999999</v>
      </c>
      <c r="AQ2">
        <f>VLOOKUP(all_lmics1819[[worldbank_region]:[worldbank_region]],Table14[],2,FALSE)*0.95</f>
        <v>1.4285577499999997</v>
      </c>
      <c r="AR2">
        <f>VLOOKUP(all_lmics1819[[worldbank_region]:[worldbank_region]],Table14[],3,FALSE)*0.95</f>
        <v>2.0151827500000001</v>
      </c>
      <c r="AS2">
        <f>VLOOKUP(all_lmics1819[[worldbank_region]:[worldbank_region]],Table14[],4,FALSE)*0.95</f>
        <v>1.8840523499999997</v>
      </c>
      <c r="AT2">
        <f>VLOOKUP(all_lmics1819[[worldbank_region]:[worldbank_region]],Table14[],5,FALSE)*0.95</f>
        <v>2.4706773499999999</v>
      </c>
      <c r="AU2">
        <f>VLOOKUP(all_lmics1819[[worldbank_region]:[worldbank_region]],Table14[],6,FALSE)*0.95</f>
        <v>3.0124167499999999</v>
      </c>
      <c r="AV2">
        <f>IFERROR(VLOOKUP(all_lmics1819[[Setting]:[Setting]],nFacSBA[],4,FALSE),VLOOKUP(all_lmics1819[[who_choice_region]:[who_choice_region]],missing[],30,FALSE))*0.95</f>
        <v>9.4097510848524149E-2</v>
      </c>
      <c r="AW2">
        <f>VLOOKUP(all_lmics1819[[worldbank_region]:[worldbank_region]],hbe[],3)</f>
        <v>0.2</v>
      </c>
      <c r="AX2">
        <f>VLOOKUP(all_lmics1819[[worldbank_region]:[worldbank_region]],hbe[],6)</f>
        <v>0.75</v>
      </c>
      <c r="AY2">
        <f>VLOOKUP(all_lmics1819[[worldbank_region]:[worldbank_region]],hbe[],9)</f>
        <v>0.05</v>
      </c>
    </row>
    <row r="3" spans="1:51" x14ac:dyDescent="0.35">
      <c r="A3" s="12" t="s">
        <v>8</v>
      </c>
      <c r="B3" s="13" t="s">
        <v>10</v>
      </c>
      <c r="C3" s="14" t="s">
        <v>11</v>
      </c>
      <c r="D3">
        <f>VLOOKUP(all_lmics1819[[Setting]:[Setting]],populations[],9,FALSE)</f>
        <v>2873457</v>
      </c>
      <c r="E3">
        <f>VLOOKUP(all_lmics1819[[Setting]:[Setting]],birthrate[],3,FALSE)</f>
        <v>1.1816E-2</v>
      </c>
      <c r="F3">
        <f>all_lmics1819[[#This Row],[2017_population]]*all_lmics1819[[#This Row],[2016_birthrate]]</f>
        <v>33952.767912000003</v>
      </c>
      <c r="G3">
        <f>VLOOKUP(all_lmics1819[[Setting]:[Setting]],birthdose[],4,FALSE)*0.95</f>
        <v>0.9405</v>
      </c>
      <c r="H3">
        <f>VLOOKUP(all_lmics1819[[Setting]:[Setting]],fullvax[],4,FALSE)*0.95</f>
        <v>0.9405</v>
      </c>
      <c r="I3">
        <f>IFERROR(VLOOKUP(all_lmics1819[[Setting]:[Setting]],prev[],3,FALSE),VLOOKUP(all_lmics1819[[who_choice_region]:[who_choice_region]],missing[],2,FALSE))</f>
        <v>6.9000000000000006E-2</v>
      </c>
      <c r="J3">
        <f>IFERROR(VLOOKUP(all_lmics1819[[Setting]:[Setting]],prev[],4,FALSE),VLOOKUP(all_lmics1819[[who_choice_region]:[who_choice_region]],missing[],3,FALSE))</f>
        <v>4.7E-2</v>
      </c>
      <c r="K3">
        <f>IFERROR(VLOOKUP(all_lmics1819[[Setting]:[Setting]],prev[],5,FALSE),VLOOKUP(all_lmics1819[[who_choice_region]:[who_choice_region]],missing[],4,FALSE))</f>
        <v>9.2999999999999999E-2</v>
      </c>
      <c r="L3">
        <f>IFERROR(VLOOKUP(all_lmics1819[[Setting]:[Setting]],prev[],7,FALSE),VLOOKUP(all_lmics1819[[who_choice_region]:[who_choice_region]],missing[],5,FALSE))</f>
        <v>1.2244897959183671E-2</v>
      </c>
      <c r="M3">
        <f>IFERROR(VLOOKUP(all_lmics1819[[Setting]:[Setting]],prev[],6,FALSE),0)</f>
        <v>2873457</v>
      </c>
      <c r="N3">
        <f>IFERROR(VLOOKUP(all_lmics1819[[Setting]:[Setting]],SBA[],4,FALSE),VLOOKUP(all_lmics1819[[who_choice_region]:[who_choice_region]],missing[],6,FALSE))*0.95</f>
        <v>0.94334999999999991</v>
      </c>
      <c r="O3">
        <f>IFERROR(VLOOKUP(all_lmics1819[[Setting]:[Setting]], facility[], 3,FALSE),VLOOKUP(all_lmics1819[[who_choice_region]:[who_choice_region]],missing[],7,FALSE))*0.95</f>
        <v>0.91865000000000008</v>
      </c>
      <c r="P3">
        <f>IF(VLOOKUP(all_lmics1819[[Setting]:[Setting]],all_cause_mort[],4,FALSE)="",VLOOKUP(all_lmics1819[[who_choice_region]:[who_choice_region]],missing[],8,FALSE),VLOOKUP(all_lmics1819[[Setting]:[Setting]],all_cause_mort[],4,FALSE))*0.95</f>
        <v>7.68760938E-3</v>
      </c>
      <c r="Q3">
        <f>IF(VLOOKUP(all_lmics1819[[Setting]:[Setting]],all_cause_mort[],5,FALSE)="",VLOOKUP(all_lmics1819[[who_choice_region]:[who_choice_region]],missing[],9,FALSE),VLOOKUP(all_lmics1819[[Setting]:[Setting]],all_cause_mort[],5,FALSE))*0.95</f>
        <v>8.0212442500000002E-4</v>
      </c>
      <c r="R3">
        <f>IF(VLOOKUP(all_lmics1819[[Setting]:[Setting]],all_cause_mort[],6,FALSE)="",VLOOKUP(all_lmics1819[[who_choice_region]:[who_choice_region]],missing[],10,FALSE),VLOOKUP(all_lmics1819[[Setting]:[Setting]],all_cause_mort[],6,FALSE))*0.95</f>
        <v>2.1213848649999999E-4</v>
      </c>
      <c r="S3">
        <f>IF(VLOOKUP(all_lmics1819[[Setting]:[Setting]],all_cause_mort[],7,FALSE)="",VLOOKUP(all_lmics1819[[who_choice_region]:[who_choice_region]],missing[],11,FALSE),VLOOKUP(all_lmics1819[[Setting]:[Setting]],all_cause_mort[],7,FALSE))*0.95</f>
        <v>2.5475434649999996E-4</v>
      </c>
      <c r="T3">
        <f>IF(VLOOKUP(all_lmics1819[[Setting]:[Setting]],all_cause_mort[],8,FALSE)="",VLOOKUP(all_lmics1819[[who_choice_region]:[who_choice_region]],missing[],12,FALSE),VLOOKUP(all_lmics1819[[Setting]:[Setting]],all_cause_mort[],8,FALSE))*0.95</f>
        <v>3.5348949000000001E-4</v>
      </c>
      <c r="U3">
        <f>IF(VLOOKUP(all_lmics1819[[Setting]:[Setting]],all_cause_mort[],9,FALSE)="",VLOOKUP(all_lmics1819[[who_choice_region]:[who_choice_region]],missing[],13,FALSE),VLOOKUP(all_lmics1819[[Setting]:[Setting]],all_cause_mort[],9,FALSE))*0.95</f>
        <v>4.0327288149999999E-4</v>
      </c>
      <c r="V3">
        <f>IF(VLOOKUP(all_lmics1819[[Setting]:[Setting]],all_cause_mort[],10,FALSE)="",VLOOKUP(all_lmics1819[[who_choice_region]:[who_choice_region]],missing[],14,FALSE),VLOOKUP(all_lmics1819[[Setting]:[Setting]],all_cause_mort[],10,FALSE))*0.95</f>
        <v>4.6519010050000001E-4</v>
      </c>
      <c r="W3">
        <f>IF(VLOOKUP(all_lmics1819[[Setting]:[Setting]],all_cause_mort[],11,FALSE)="",VLOOKUP(all_lmics1819[[who_choice_region]:[who_choice_region]],missing[],15,FALSE),VLOOKUP(all_lmics1819[[Setting]:[Setting]],all_cause_mort[],11,FALSE))*0.95</f>
        <v>5.9929878849999995E-4</v>
      </c>
      <c r="X3">
        <f>IF(VLOOKUP(all_lmics1819[[Setting]:[Setting]],all_cause_mort[],12,FALSE)="",VLOOKUP(all_lmics1819[[who_choice_region]:[who_choice_region]],missing[],16,FALSE),VLOOKUP(all_lmics1819[[Setting]:[Setting]],all_cause_mort[],12,FALSE))*0.95</f>
        <v>9.8218894500000007E-4</v>
      </c>
      <c r="Y3">
        <f>IF(VLOOKUP(all_lmics1819[[Setting]:[Setting]],all_cause_mort[],13,FALSE)="",VLOOKUP(all_lmics1819[[who_choice_region]:[who_choice_region]],missing[],17,FALSE),VLOOKUP(all_lmics1819[[Setting]:[Setting]],all_cause_mort[],13,FALSE))*0.95</f>
        <v>1.3305369399999999E-3</v>
      </c>
      <c r="Z3">
        <f>IF(VLOOKUP(all_lmics1819[[Setting]:[Setting]],all_cause_mort[],14,FALSE)="",VLOOKUP(all_lmics1819[[who_choice_region]:[who_choice_region]],missing[],18,FALSE),VLOOKUP(all_lmics1819[[Setting]:[Setting]],all_cause_mort[],14,FALSE))*0.95</f>
        <v>2.0723876649999997E-3</v>
      </c>
      <c r="AA3">
        <f>IF(VLOOKUP(all_lmics1819[[Setting]:[Setting]],all_cause_mort[],15,FALSE)="",VLOOKUP(all_lmics1819[[who_choice_region]:[who_choice_region]],missing[],19,FALSE),VLOOKUP(all_lmics1819[[Setting]:[Setting]],all_cause_mort[],15,FALSE))*0.95</f>
        <v>3.1612228500000001E-3</v>
      </c>
      <c r="AB3">
        <f>IF(VLOOKUP(all_lmics1819[[Setting]:[Setting]],all_cause_mort[],16,FALSE)="",VLOOKUP(all_lmics1819[[who_choice_region]:[who_choice_region]],missing[],20,FALSE),VLOOKUP(all_lmics1819[[Setting]:[Setting]],all_cause_mort[],16,FALSE))*0.95</f>
        <v>4.8645570799999999E-3</v>
      </c>
      <c r="AC3">
        <f>IF(VLOOKUP(all_lmics1819[[Setting]:[Setting]],all_cause_mort[],17,FALSE)="",VLOOKUP(all_lmics1819[[who_choice_region]:[who_choice_region]],missing[],21,FALSE),VLOOKUP(all_lmics1819[[Setting]:[Setting]],all_cause_mort[],17,FALSE))*0.95</f>
        <v>7.61200496E-3</v>
      </c>
      <c r="AD3">
        <f>IF(VLOOKUP(all_lmics1819[[Setting]:[Setting]],all_cause_mort[],18,FALSE)="",VLOOKUP(all_lmics1819[[who_choice_region]:[who_choice_region]],missing[],22,FALSE),VLOOKUP(all_lmics1819[[Setting]:[Setting]],all_cause_mort[],18,FALSE))*0.95</f>
        <v>1.2854799599999999E-2</v>
      </c>
      <c r="AE3">
        <f>IF(VLOOKUP(all_lmics1819[[Setting]:[Setting]],all_cause_mort[],19,FALSE)="",VLOOKUP(all_lmics1819[[who_choice_region]:[who_choice_region]],missing[],23,FALSE),VLOOKUP(all_lmics1819[[Setting]:[Setting]],all_cause_mort[],19,FALSE))*0.95</f>
        <v>2.3125014950000002E-2</v>
      </c>
      <c r="AF3">
        <f>IF(VLOOKUP(all_lmics1819[[Setting]:[Setting]],all_cause_mort[],20,FALSE)="",VLOOKUP(all_lmics1819[[who_choice_region]:[who_choice_region]],missing[],24,FALSE),VLOOKUP(all_lmics1819[[Setting]:[Setting]],all_cause_mort[],20,FALSE))*0.95</f>
        <v>4.4116749800000001E-2</v>
      </c>
      <c r="AG3">
        <f>IF(VLOOKUP(all_lmics1819[[Setting]:[Setting]],all_cause_mort[],21,FALSE)="",VLOOKUP(all_lmics1819[[who_choice_region]:[who_choice_region]],missing[],25,FALSE),VLOOKUP(all_lmics1819[[Setting]:[Setting]],all_cause_mort[],21,FALSE))*0.95</f>
        <v>8.8673563349999998E-2</v>
      </c>
      <c r="AH3">
        <f>IF(VLOOKUP(all_lmics1819[[Setting]:[Setting]],all_cause_mort[],22,FALSE)="",VLOOKUP(all_lmics1819[[who_choice_region]:[who_choice_region]],missing[],26,FALSE),VLOOKUP(all_lmics1819[[Setting]:[Setting]],all_cause_mort[],22,FALSE))*0.95</f>
        <v>0.15318867799999999</v>
      </c>
      <c r="AI3">
        <f>IF(VLOOKUP(all_lmics1819[[Setting]:[Setting]],all_cause_mort[],23,FALSE)="",VLOOKUP(all_lmics1819[[who_choice_region]:[who_choice_region]],missing[],27,FALSE),VLOOKUP(all_lmics1819[[Setting]:[Setting]],all_cause_mort[],23,FALSE))*0.95</f>
        <v>0.25062901899999995</v>
      </c>
      <c r="AJ3">
        <f>IF(VLOOKUP(all_lmics1819[[Setting]:[Setting]],all_cause_mort[],24,FALSE)="",VLOOKUP(all_lmics1819[[who_choice_region]:[who_choice_region]],missing[],28,FALSE),VLOOKUP(all_lmics1819[[Setting]:[Setting]],all_cause_mort[],24,FALSE))*0.95</f>
        <v>0.3884523305</v>
      </c>
      <c r="AK3">
        <f>IF(VLOOKUP(all_lmics1819[[Setting]:[Setting]],all_cause_mort[],25,FALSE)="",VLOOKUP(all_lmics1819[[who_choice_region]:[who_choice_region]],missing[],29,FALSE),VLOOKUP(all_lmics1819[[Setting]:[Setting]],all_cause_mort[],25,FALSE))*0.95</f>
        <v>0.55663298216823343</v>
      </c>
      <c r="AL3">
        <f>VLOOKUP(all_lmics1819[[worldbank_region]:[worldbank_region]],Table13[],2,FALSE)*0.95</f>
        <v>42.29888489999999</v>
      </c>
      <c r="AM3">
        <f>VLOOKUP(all_lmics1819[[worldbank_region]:[worldbank_region]],Table13[],3,FALSE)*0.95</f>
        <v>42.29888489999999</v>
      </c>
      <c r="AN3">
        <f>VLOOKUP(all_lmics1819[[worldbank_region]:[worldbank_region]],Table13[],4,FALSE)*0.95</f>
        <v>87.641301899999988</v>
      </c>
      <c r="AO3">
        <f>VLOOKUP(all_lmics1819[[worldbank_region]:[worldbank_region]],Table13[],5,FALSE)*0.95</f>
        <v>87.641301899999988</v>
      </c>
      <c r="AP3">
        <f>VLOOKUP(all_lmics1819[[worldbank_region]:[worldbank_region]],Table13[],6,FALSE)*0.95</f>
        <v>87.641301899999988</v>
      </c>
      <c r="AQ3">
        <f>VLOOKUP(all_lmics1819[[worldbank_region]:[worldbank_region]],Table14[],2,FALSE)*0.95</f>
        <v>6.0973773999999992</v>
      </c>
      <c r="AR3">
        <f>VLOOKUP(all_lmics1819[[worldbank_region]:[worldbank_region]],Table14[],3,FALSE)*0.95</f>
        <v>6.6840023999999998</v>
      </c>
      <c r="AS3">
        <f>VLOOKUP(all_lmics1819[[worldbank_region]:[worldbank_region]],Table14[],4,FALSE)*0.95</f>
        <v>9.9587293499999969</v>
      </c>
      <c r="AT3">
        <f>VLOOKUP(all_lmics1819[[worldbank_region]:[worldbank_region]],Table14[],5,FALSE)*0.95</f>
        <v>10.545354349999998</v>
      </c>
      <c r="AU3">
        <f>VLOOKUP(all_lmics1819[[worldbank_region]:[worldbank_region]],Table14[],6,FALSE)*0.95</f>
        <v>11.087093749999999</v>
      </c>
      <c r="AV3">
        <f>IFERROR(VLOOKUP(all_lmics1819[[Setting]:[Setting]],nFacSBA[],4,FALSE),VLOOKUP(all_lmics1819[[who_choice_region]:[who_choice_region]],missing[],30,FALSE))*0.95</f>
        <v>0.73676416957549296</v>
      </c>
      <c r="AW3">
        <f>VLOOKUP(all_lmics1819[[worldbank_region]:[worldbank_region]],hbe[],3)</f>
        <v>0.2</v>
      </c>
      <c r="AX3">
        <f>VLOOKUP(all_lmics1819[[worldbank_region]:[worldbank_region]],hbe[],6)</f>
        <v>0.75</v>
      </c>
      <c r="AY3">
        <f>VLOOKUP(all_lmics1819[[worldbank_region]:[worldbank_region]],hbe[],9)</f>
        <v>0.05</v>
      </c>
    </row>
    <row r="4" spans="1:51" x14ac:dyDescent="0.35">
      <c r="A4" s="8" t="s">
        <v>12</v>
      </c>
      <c r="B4" s="10" t="s">
        <v>14</v>
      </c>
      <c r="C4" s="11" t="s">
        <v>15</v>
      </c>
      <c r="D4">
        <f>VLOOKUP(all_lmics1819[[Setting]:[Setting]],populations[],9,FALSE)</f>
        <v>41318142</v>
      </c>
      <c r="E4">
        <f>VLOOKUP(all_lmics1819[[Setting]:[Setting]],birthrate[],3,FALSE)</f>
        <v>2.3132E-2</v>
      </c>
      <c r="F4">
        <f>all_lmics1819[[#This Row],[2017_population]]*all_lmics1819[[#This Row],[2016_birthrate]]</f>
        <v>955771.26074399997</v>
      </c>
      <c r="G4">
        <f>VLOOKUP(all_lmics1819[[Setting]:[Setting]],birthdose[],4,FALSE)*0.95</f>
        <v>0.9405</v>
      </c>
      <c r="H4">
        <f>VLOOKUP(all_lmics1819[[Setting]:[Setting]],fullvax[],4,FALSE)*0.95</f>
        <v>0.86449999999999994</v>
      </c>
      <c r="I4">
        <f>IFERROR(VLOOKUP(all_lmics1819[[Setting]:[Setting]],prev[],3,FALSE),VLOOKUP(all_lmics1819[[who_choice_region]:[who_choice_region]],missing[],2,FALSE))</f>
        <v>2.1499999999999998E-2</v>
      </c>
      <c r="J4">
        <f>IFERROR(VLOOKUP(all_lmics1819[[Setting]:[Setting]],prev[],4,FALSE),VLOOKUP(all_lmics1819[[who_choice_region]:[who_choice_region]],missing[],3,FALSE))</f>
        <v>1.4E-2</v>
      </c>
      <c r="K4">
        <f>IFERROR(VLOOKUP(all_lmics1819[[Setting]:[Setting]],prev[],5,FALSE),VLOOKUP(all_lmics1819[[who_choice_region]:[who_choice_region]],missing[],4,FALSE))</f>
        <v>3.2300000000000002E-2</v>
      </c>
      <c r="L4">
        <f>IFERROR(VLOOKUP(all_lmics1819[[Setting]:[Setting]],prev[],7,FALSE),VLOOKUP(all_lmics1819[[who_choice_region]:[who_choice_region]],missing[],5,FALSE))</f>
        <v>5.5102040816326549E-3</v>
      </c>
      <c r="M4">
        <f>IFERROR(VLOOKUP(all_lmics1819[[Setting]:[Setting]],prev[],6,FALSE),0)</f>
        <v>36117637</v>
      </c>
      <c r="N4">
        <f>IFERROR(VLOOKUP(all_lmics1819[[Setting]:[Setting]],SBA[],4,FALSE),VLOOKUP(all_lmics1819[[who_choice_region]:[who_choice_region]],missing[],6,FALSE))*0.95</f>
        <v>0.91769999999999996</v>
      </c>
      <c r="O4">
        <f>IFERROR(VLOOKUP(all_lmics1819[[Setting]:[Setting]], facility[], 3,FALSE),VLOOKUP(all_lmics1819[[who_choice_region]:[who_choice_region]],missing[],7,FALSE))*0.95</f>
        <v>0.91959999999999997</v>
      </c>
      <c r="P4">
        <f>IF(VLOOKUP(all_lmics1819[[Setting]:[Setting]],all_cause_mort[],4,FALSE)="",VLOOKUP(all_lmics1819[[who_choice_region]:[who_choice_region]],missing[],8,FALSE),VLOOKUP(all_lmics1819[[Setting]:[Setting]],all_cause_mort[],4,FALSE))*0.95</f>
        <v>2.0576529749999999E-2</v>
      </c>
      <c r="Q4">
        <f>IF(VLOOKUP(all_lmics1819[[Setting]:[Setting]],all_cause_mort[],5,FALSE)="",VLOOKUP(all_lmics1819[[who_choice_region]:[who_choice_region]],missing[],9,FALSE),VLOOKUP(all_lmics1819[[Setting]:[Setting]],all_cause_mort[],5,FALSE))*0.95</f>
        <v>8.3171201349999991E-4</v>
      </c>
      <c r="R4">
        <f>IF(VLOOKUP(all_lmics1819[[Setting]:[Setting]],all_cause_mort[],6,FALSE)="",VLOOKUP(all_lmics1819[[who_choice_region]:[who_choice_region]],missing[],10,FALSE),VLOOKUP(all_lmics1819[[Setting]:[Setting]],all_cause_mort[],6,FALSE))*0.95</f>
        <v>4.2383481449999999E-4</v>
      </c>
      <c r="S4">
        <f>IF(VLOOKUP(all_lmics1819[[Setting]:[Setting]],all_cause_mort[],7,FALSE)="",VLOOKUP(all_lmics1819[[who_choice_region]:[who_choice_region]],missing[],11,FALSE),VLOOKUP(all_lmics1819[[Setting]:[Setting]],all_cause_mort[],7,FALSE))*0.95</f>
        <v>3.7650611849999999E-4</v>
      </c>
      <c r="T4">
        <f>IF(VLOOKUP(all_lmics1819[[Setting]:[Setting]],all_cause_mort[],8,FALSE)="",VLOOKUP(all_lmics1819[[who_choice_region]:[who_choice_region]],missing[],12,FALSE),VLOOKUP(all_lmics1819[[Setting]:[Setting]],all_cause_mort[],8,FALSE))*0.95</f>
        <v>5.3942304349999996E-4</v>
      </c>
      <c r="U4">
        <f>IF(VLOOKUP(all_lmics1819[[Setting]:[Setting]],all_cause_mort[],9,FALSE)="",VLOOKUP(all_lmics1819[[who_choice_region]:[who_choice_region]],missing[],13,FALSE),VLOOKUP(all_lmics1819[[Setting]:[Setting]],all_cause_mort[],9,FALSE))*0.95</f>
        <v>7.0219619549999996E-4</v>
      </c>
      <c r="V4">
        <f>IF(VLOOKUP(all_lmics1819[[Setting]:[Setting]],all_cause_mort[],10,FALSE)="",VLOOKUP(all_lmics1819[[who_choice_region]:[who_choice_region]],missing[],14,FALSE),VLOOKUP(all_lmics1819[[Setting]:[Setting]],all_cause_mort[],10,FALSE))*0.95</f>
        <v>8.2892577750000003E-4</v>
      </c>
      <c r="W4">
        <f>IF(VLOOKUP(all_lmics1819[[Setting]:[Setting]],all_cause_mort[],11,FALSE)="",VLOOKUP(all_lmics1819[[who_choice_region]:[who_choice_region]],missing[],15,FALSE),VLOOKUP(all_lmics1819[[Setting]:[Setting]],all_cause_mort[],11,FALSE))*0.95</f>
        <v>9.7956304999999994E-4</v>
      </c>
      <c r="X4">
        <f>IF(VLOOKUP(all_lmics1819[[Setting]:[Setting]],all_cause_mort[],12,FALSE)="",VLOOKUP(all_lmics1819[[who_choice_region]:[who_choice_region]],missing[],16,FALSE),VLOOKUP(all_lmics1819[[Setting]:[Setting]],all_cause_mort[],12,FALSE))*0.95</f>
        <v>1.3162186349999999E-3</v>
      </c>
      <c r="Y4">
        <f>IF(VLOOKUP(all_lmics1819[[Setting]:[Setting]],all_cause_mort[],13,FALSE)="",VLOOKUP(all_lmics1819[[who_choice_region]:[who_choice_region]],missing[],17,FALSE),VLOOKUP(all_lmics1819[[Setting]:[Setting]],all_cause_mort[],13,FALSE))*0.95</f>
        <v>1.7860716300000001E-3</v>
      </c>
      <c r="Z4">
        <f>IF(VLOOKUP(all_lmics1819[[Setting]:[Setting]],all_cause_mort[],14,FALSE)="",VLOOKUP(all_lmics1819[[who_choice_region]:[who_choice_region]],missing[],18,FALSE),VLOOKUP(all_lmics1819[[Setting]:[Setting]],all_cause_mort[],14,FALSE))*0.95</f>
        <v>2.6167973250000001E-3</v>
      </c>
      <c r="AA4">
        <f>IF(VLOOKUP(all_lmics1819[[Setting]:[Setting]],all_cause_mort[],15,FALSE)="",VLOOKUP(all_lmics1819[[who_choice_region]:[who_choice_region]],missing[],19,FALSE),VLOOKUP(all_lmics1819[[Setting]:[Setting]],all_cause_mort[],15,FALSE))*0.95</f>
        <v>3.8801799049999995E-3</v>
      </c>
      <c r="AB4">
        <f>IF(VLOOKUP(all_lmics1819[[Setting]:[Setting]],all_cause_mort[],16,FALSE)="",VLOOKUP(all_lmics1819[[who_choice_region]:[who_choice_region]],missing[],20,FALSE),VLOOKUP(all_lmics1819[[Setting]:[Setting]],all_cause_mort[],16,FALSE))*0.95</f>
        <v>5.9010787099999995E-3</v>
      </c>
      <c r="AC4">
        <f>IF(VLOOKUP(all_lmics1819[[Setting]:[Setting]],all_cause_mort[],17,FALSE)="",VLOOKUP(all_lmics1819[[who_choice_region]:[who_choice_region]],missing[],21,FALSE),VLOOKUP(all_lmics1819[[Setting]:[Setting]],all_cause_mort[],17,FALSE))*0.95</f>
        <v>9.4325328999999986E-3</v>
      </c>
      <c r="AD4">
        <f>IF(VLOOKUP(all_lmics1819[[Setting]:[Setting]],all_cause_mort[],18,FALSE)="",VLOOKUP(all_lmics1819[[who_choice_region]:[who_choice_region]],missing[],22,FALSE),VLOOKUP(all_lmics1819[[Setting]:[Setting]],all_cause_mort[],18,FALSE))*0.95</f>
        <v>1.4504561049999998E-2</v>
      </c>
      <c r="AE4">
        <f>IF(VLOOKUP(all_lmics1819[[Setting]:[Setting]],all_cause_mort[],19,FALSE)="",VLOOKUP(all_lmics1819[[who_choice_region]:[who_choice_region]],missing[],23,FALSE),VLOOKUP(all_lmics1819[[Setting]:[Setting]],all_cause_mort[],19,FALSE))*0.95</f>
        <v>2.4172976099999997E-2</v>
      </c>
      <c r="AF4">
        <f>IF(VLOOKUP(all_lmics1819[[Setting]:[Setting]],all_cause_mort[],20,FALSE)="",VLOOKUP(all_lmics1819[[who_choice_region]:[who_choice_region]],missing[],24,FALSE),VLOOKUP(all_lmics1819[[Setting]:[Setting]],all_cause_mort[],20,FALSE))*0.95</f>
        <v>4.2671589849999997E-2</v>
      </c>
      <c r="AG4">
        <f>IF(VLOOKUP(all_lmics1819[[Setting]:[Setting]],all_cause_mort[],21,FALSE)="",VLOOKUP(all_lmics1819[[who_choice_region]:[who_choice_region]],missing[],25,FALSE),VLOOKUP(all_lmics1819[[Setting]:[Setting]],all_cause_mort[],21,FALSE))*0.95</f>
        <v>7.6216156349999994E-2</v>
      </c>
      <c r="AH4">
        <f>IF(VLOOKUP(all_lmics1819[[Setting]:[Setting]],all_cause_mort[],22,FALSE)="",VLOOKUP(all_lmics1819[[who_choice_region]:[who_choice_region]],missing[],26,FALSE),VLOOKUP(all_lmics1819[[Setting]:[Setting]],all_cause_mort[],22,FALSE))*0.95</f>
        <v>0.12955741849999999</v>
      </c>
      <c r="AI4">
        <f>IF(VLOOKUP(all_lmics1819[[Setting]:[Setting]],all_cause_mort[],23,FALSE)="",VLOOKUP(all_lmics1819[[who_choice_region]:[who_choice_region]],missing[],27,FALSE),VLOOKUP(all_lmics1819[[Setting]:[Setting]],all_cause_mort[],23,FALSE))*0.95</f>
        <v>0.205070743</v>
      </c>
      <c r="AJ4">
        <f>IF(VLOOKUP(all_lmics1819[[Setting]:[Setting]],all_cause_mort[],24,FALSE)="",VLOOKUP(all_lmics1819[[who_choice_region]:[who_choice_region]],missing[],28,FALSE),VLOOKUP(all_lmics1819[[Setting]:[Setting]],all_cause_mort[],24,FALSE))*0.95</f>
        <v>0.30061826600000002</v>
      </c>
      <c r="AK4">
        <f>IF(VLOOKUP(all_lmics1819[[Setting]:[Setting]],all_cause_mort[],25,FALSE)="",VLOOKUP(all_lmics1819[[who_choice_region]:[who_choice_region]],missing[],29,FALSE),VLOOKUP(all_lmics1819[[Setting]:[Setting]],all_cause_mort[],25,FALSE))*0.95</f>
        <v>0.4337342620664415</v>
      </c>
      <c r="AL4">
        <f>VLOOKUP(all_lmics1819[[worldbank_region]:[worldbank_region]],Table13[],2,FALSE)*0.95</f>
        <v>28.416651749999996</v>
      </c>
      <c r="AM4">
        <f>VLOOKUP(all_lmics1819[[worldbank_region]:[worldbank_region]],Table13[],3,FALSE)*0.95</f>
        <v>28.416651749999996</v>
      </c>
      <c r="AN4">
        <f>VLOOKUP(all_lmics1819[[worldbank_region]:[worldbank_region]],Table13[],4,FALSE)*0.95</f>
        <v>73.759068749999983</v>
      </c>
      <c r="AO4">
        <f>VLOOKUP(all_lmics1819[[worldbank_region]:[worldbank_region]],Table13[],5,FALSE)*0.95</f>
        <v>73.759068749999983</v>
      </c>
      <c r="AP4">
        <f>VLOOKUP(all_lmics1819[[worldbank_region]:[worldbank_region]],Table13[],6,FALSE)*0.95</f>
        <v>73.759068749999983</v>
      </c>
      <c r="AQ4">
        <f>VLOOKUP(all_lmics1819[[worldbank_region]:[worldbank_region]],Table14[],2,FALSE)*0.95</f>
        <v>0.92130239999999997</v>
      </c>
      <c r="AR4">
        <f>VLOOKUP(all_lmics1819[[worldbank_region]:[worldbank_region]],Table14[],3,FALSE)*0.95</f>
        <v>1.5079274</v>
      </c>
      <c r="AS4">
        <f>VLOOKUP(all_lmics1819[[worldbank_region]:[worldbank_region]],Table14[],4,FALSE)*0.95</f>
        <v>5.5073048499999988</v>
      </c>
      <c r="AT4">
        <f>VLOOKUP(all_lmics1819[[worldbank_region]:[worldbank_region]],Table14[],5,FALSE)*0.95</f>
        <v>6.0939298499999985</v>
      </c>
      <c r="AU4">
        <f>VLOOKUP(all_lmics1819[[worldbank_region]:[worldbank_region]],Table14[],6,FALSE)*0.95</f>
        <v>6.6356692499999985</v>
      </c>
      <c r="AV4">
        <f>IFERROR(VLOOKUP(all_lmics1819[[Setting]:[Setting]],nFacSBA[],4,FALSE),VLOOKUP(all_lmics1819[[who_choice_region]:[who_choice_region]],missing[],30,FALSE))*0.95</f>
        <v>6.5722973400299922E-2</v>
      </c>
      <c r="AW4">
        <f>VLOOKUP(all_lmics1819[[worldbank_region]:[worldbank_region]],hbe[],3)</f>
        <v>0.2</v>
      </c>
      <c r="AX4">
        <f>VLOOKUP(all_lmics1819[[worldbank_region]:[worldbank_region]],hbe[],6)</f>
        <v>0.75</v>
      </c>
      <c r="AY4">
        <f>VLOOKUP(all_lmics1819[[worldbank_region]:[worldbank_region]],hbe[],9)</f>
        <v>0.05</v>
      </c>
    </row>
    <row r="5" spans="1:51" x14ac:dyDescent="0.35">
      <c r="A5" s="8" t="s">
        <v>24</v>
      </c>
      <c r="B5" s="10" t="s">
        <v>22</v>
      </c>
      <c r="C5" s="11" t="s">
        <v>383</v>
      </c>
      <c r="D5">
        <f>VLOOKUP(all_lmics1819[[Setting]:[Setting]],populations[],9,FALSE)</f>
        <v>44271041</v>
      </c>
      <c r="E5">
        <f>VLOOKUP(all_lmics1819[[Setting]:[Setting]],birthrate[],3,FALSE)</f>
        <v>1.7172E-2</v>
      </c>
      <c r="F5">
        <f>all_lmics1819[[#This Row],[2017_population]]*all_lmics1819[[#This Row],[2016_birthrate]]</f>
        <v>760222.31605200004</v>
      </c>
      <c r="G5">
        <f>VLOOKUP(all_lmics1819[[Setting]:[Setting]],birthdose[],4,FALSE)*0.95</f>
        <v>0.76</v>
      </c>
      <c r="H5">
        <f>VLOOKUP(all_lmics1819[[Setting]:[Setting]],fullvax[],4,FALSE)*0.95</f>
        <v>0.81699999999999995</v>
      </c>
      <c r="I5">
        <f>IFERROR(VLOOKUP(all_lmics1819[[Setting]:[Setting]],prev[],3,FALSE),VLOOKUP(all_lmics1819[[who_choice_region]:[who_choice_region]],missing[],2,FALSE))</f>
        <v>2E-3</v>
      </c>
      <c r="J5">
        <f>IFERROR(VLOOKUP(all_lmics1819[[Setting]:[Setting]],prev[],4,FALSE),VLOOKUP(all_lmics1819[[who_choice_region]:[who_choice_region]],missing[],3,FALSE))</f>
        <v>1E-3</v>
      </c>
      <c r="K5">
        <f>IFERROR(VLOOKUP(all_lmics1819[[Setting]:[Setting]],prev[],5,FALSE),VLOOKUP(all_lmics1819[[who_choice_region]:[who_choice_region]],missing[],4,FALSE))</f>
        <v>3.0000000000000001E-3</v>
      </c>
      <c r="L5">
        <f>IFERROR(VLOOKUP(all_lmics1819[[Setting]:[Setting]],prev[],7,FALSE),VLOOKUP(all_lmics1819[[who_choice_region]:[who_choice_region]],missing[],5,FALSE))</f>
        <v>5.1020408163265311E-4</v>
      </c>
      <c r="M5">
        <f>IFERROR(VLOOKUP(all_lmics1819[[Setting]:[Setting]],prev[],6,FALSE),0)</f>
        <v>44271041</v>
      </c>
      <c r="N5">
        <f>IFERROR(VLOOKUP(all_lmics1819[[Setting]:[Setting]],SBA[],4,FALSE),VLOOKUP(all_lmics1819[[who_choice_region]:[who_choice_region]],missing[],6,FALSE))*0.95</f>
        <v>0.94619999999999993</v>
      </c>
      <c r="O5">
        <f>IFERROR(VLOOKUP(all_lmics1819[[Setting]:[Setting]], facility[], 3,FALSE),VLOOKUP(all_lmics1819[[who_choice_region]:[who_choice_region]],missing[],7,FALSE))*0.95</f>
        <v>0.94306499999999993</v>
      </c>
      <c r="P5">
        <f>IF(VLOOKUP(all_lmics1819[[Setting]:[Setting]],all_cause_mort[],4,FALSE)="",VLOOKUP(all_lmics1819[[who_choice_region]:[who_choice_region]],missing[],8,FALSE),VLOOKUP(all_lmics1819[[Setting]:[Setting]],all_cause_mort[],4,FALSE))*0.95</f>
        <v>9.8064633499999991E-3</v>
      </c>
      <c r="Q5">
        <f>IF(VLOOKUP(all_lmics1819[[Setting]:[Setting]],all_cause_mort[],5,FALSE)="",VLOOKUP(all_lmics1819[[who_choice_region]:[who_choice_region]],missing[],9,FALSE),VLOOKUP(all_lmics1819[[Setting]:[Setting]],all_cause_mort[],5,FALSE))*0.95</f>
        <v>3.9321429099999994E-4</v>
      </c>
      <c r="R5">
        <f>IF(VLOOKUP(all_lmics1819[[Setting]:[Setting]],all_cause_mort[],6,FALSE)="",VLOOKUP(all_lmics1819[[who_choice_region]:[who_choice_region]],missing[],10,FALSE),VLOOKUP(all_lmics1819[[Setting]:[Setting]],all_cause_mort[],6,FALSE))*0.95</f>
        <v>1.7326403999999999E-4</v>
      </c>
      <c r="S5">
        <f>IF(VLOOKUP(all_lmics1819[[Setting]:[Setting]],all_cause_mort[],7,FALSE)="",VLOOKUP(all_lmics1819[[who_choice_region]:[who_choice_region]],missing[],11,FALSE),VLOOKUP(all_lmics1819[[Setting]:[Setting]],all_cause_mort[],7,FALSE))*0.95</f>
        <v>2.268421685E-4</v>
      </c>
      <c r="T5">
        <f>IF(VLOOKUP(all_lmics1819[[Setting]:[Setting]],all_cause_mort[],8,FALSE)="",VLOOKUP(all_lmics1819[[who_choice_region]:[who_choice_region]],missing[],12,FALSE),VLOOKUP(all_lmics1819[[Setting]:[Setting]],all_cause_mort[],8,FALSE))*0.95</f>
        <v>7.0698890750000003E-4</v>
      </c>
      <c r="U5">
        <f>IF(VLOOKUP(all_lmics1819[[Setting]:[Setting]],all_cause_mort[],9,FALSE)="",VLOOKUP(all_lmics1819[[who_choice_region]:[who_choice_region]],missing[],13,FALSE),VLOOKUP(all_lmics1819[[Setting]:[Setting]],all_cause_mort[],9,FALSE))*0.95</f>
        <v>9.7340961499999999E-4</v>
      </c>
      <c r="V5">
        <f>IF(VLOOKUP(all_lmics1819[[Setting]:[Setting]],all_cause_mort[],10,FALSE)="",VLOOKUP(all_lmics1819[[who_choice_region]:[who_choice_region]],missing[],14,FALSE),VLOOKUP(all_lmics1819[[Setting]:[Setting]],all_cause_mort[],10,FALSE))*0.95</f>
        <v>9.790710449999998E-4</v>
      </c>
      <c r="W5">
        <f>IF(VLOOKUP(all_lmics1819[[Setting]:[Setting]],all_cause_mort[],11,FALSE)="",VLOOKUP(all_lmics1819[[who_choice_region]:[who_choice_region]],missing[],15,FALSE),VLOOKUP(all_lmics1819[[Setting]:[Setting]],all_cause_mort[],11,FALSE))*0.95</f>
        <v>1.110026075E-3</v>
      </c>
      <c r="X5">
        <f>IF(VLOOKUP(all_lmics1819[[Setting]:[Setting]],all_cause_mort[],12,FALSE)="",VLOOKUP(all_lmics1819[[who_choice_region]:[who_choice_region]],missing[],16,FALSE),VLOOKUP(all_lmics1819[[Setting]:[Setting]],all_cause_mort[],12,FALSE))*0.95</f>
        <v>1.3445287299999999E-3</v>
      </c>
      <c r="Y5">
        <f>IF(VLOOKUP(all_lmics1819[[Setting]:[Setting]],all_cause_mort[],13,FALSE)="",VLOOKUP(all_lmics1819[[who_choice_region]:[who_choice_region]],missing[],17,FALSE),VLOOKUP(all_lmics1819[[Setting]:[Setting]],all_cause_mort[],13,FALSE))*0.95</f>
        <v>1.8977108800000001E-3</v>
      </c>
      <c r="Z5">
        <f>IF(VLOOKUP(all_lmics1819[[Setting]:[Setting]],all_cause_mort[],14,FALSE)="",VLOOKUP(all_lmics1819[[who_choice_region]:[who_choice_region]],missing[],18,FALSE),VLOOKUP(all_lmics1819[[Setting]:[Setting]],all_cause_mort[],14,FALSE))*0.95</f>
        <v>3.0126679299999999E-3</v>
      </c>
      <c r="AA5">
        <f>IF(VLOOKUP(all_lmics1819[[Setting]:[Setting]],all_cause_mort[],15,FALSE)="",VLOOKUP(all_lmics1819[[who_choice_region]:[who_choice_region]],missing[],19,FALSE),VLOOKUP(all_lmics1819[[Setting]:[Setting]],all_cause_mort[],15,FALSE))*0.95</f>
        <v>4.8818944849999997E-3</v>
      </c>
      <c r="AB5">
        <f>IF(VLOOKUP(all_lmics1819[[Setting]:[Setting]],all_cause_mort[],16,FALSE)="",VLOOKUP(all_lmics1819[[who_choice_region]:[who_choice_region]],missing[],20,FALSE),VLOOKUP(all_lmics1819[[Setting]:[Setting]],all_cause_mort[],16,FALSE))*0.95</f>
        <v>8.0939649449999988E-3</v>
      </c>
      <c r="AC5">
        <f>IF(VLOOKUP(all_lmics1819[[Setting]:[Setting]],all_cause_mort[],17,FALSE)="",VLOOKUP(all_lmics1819[[who_choice_region]:[who_choice_region]],missing[],21,FALSE),VLOOKUP(all_lmics1819[[Setting]:[Setting]],all_cause_mort[],17,FALSE))*0.95</f>
        <v>1.2285593799999999E-2</v>
      </c>
      <c r="AD5">
        <f>IF(VLOOKUP(all_lmics1819[[Setting]:[Setting]],all_cause_mort[],18,FALSE)="",VLOOKUP(all_lmics1819[[who_choice_region]:[who_choice_region]],missing[],22,FALSE),VLOOKUP(all_lmics1819[[Setting]:[Setting]],all_cause_mort[],18,FALSE))*0.95</f>
        <v>1.8797462849999998E-2</v>
      </c>
      <c r="AE5">
        <f>IF(VLOOKUP(all_lmics1819[[Setting]:[Setting]],all_cause_mort[],19,FALSE)="",VLOOKUP(all_lmics1819[[who_choice_region]:[who_choice_region]],missing[],23,FALSE),VLOOKUP(all_lmics1819[[Setting]:[Setting]],all_cause_mort[],19,FALSE))*0.95</f>
        <v>2.8057506150000001E-2</v>
      </c>
      <c r="AF5">
        <f>IF(VLOOKUP(all_lmics1819[[Setting]:[Setting]],all_cause_mort[],20,FALSE)="",VLOOKUP(all_lmics1819[[who_choice_region]:[who_choice_region]],missing[],24,FALSE),VLOOKUP(all_lmics1819[[Setting]:[Setting]],all_cause_mort[],20,FALSE))*0.95</f>
        <v>4.4075326949999993E-2</v>
      </c>
      <c r="AG5">
        <f>IF(VLOOKUP(all_lmics1819[[Setting]:[Setting]],all_cause_mort[],21,FALSE)="",VLOOKUP(all_lmics1819[[who_choice_region]:[who_choice_region]],missing[],25,FALSE),VLOOKUP(all_lmics1819[[Setting]:[Setting]],all_cause_mort[],21,FALSE))*0.95</f>
        <v>7.2927674349999999E-2</v>
      </c>
      <c r="AH5">
        <f>IF(VLOOKUP(all_lmics1819[[Setting]:[Setting]],all_cause_mort[],22,FALSE)="",VLOOKUP(all_lmics1819[[who_choice_region]:[who_choice_region]],missing[],26,FALSE),VLOOKUP(all_lmics1819[[Setting]:[Setting]],all_cause_mort[],22,FALSE))*0.95</f>
        <v>0.119342458</v>
      </c>
      <c r="AI5">
        <f>IF(VLOOKUP(all_lmics1819[[Setting]:[Setting]],all_cause_mort[],23,FALSE)="",VLOOKUP(all_lmics1819[[who_choice_region]:[who_choice_region]],missing[],27,FALSE),VLOOKUP(all_lmics1819[[Setting]:[Setting]],all_cause_mort[],23,FALSE))*0.95</f>
        <v>0.1899354855</v>
      </c>
      <c r="AJ5">
        <f>IF(VLOOKUP(all_lmics1819[[Setting]:[Setting]],all_cause_mort[],24,FALSE)="",VLOOKUP(all_lmics1819[[who_choice_region]:[who_choice_region]],missing[],28,FALSE),VLOOKUP(all_lmics1819[[Setting]:[Setting]],all_cause_mort[],24,FALSE))*0.95</f>
        <v>0.29361767799999999</v>
      </c>
      <c r="AK5">
        <f>IF(VLOOKUP(all_lmics1819[[Setting]:[Setting]],all_cause_mort[],25,FALSE)="",VLOOKUP(all_lmics1819[[who_choice_region]:[who_choice_region]],missing[],29,FALSE),VLOOKUP(all_lmics1819[[Setting]:[Setting]],all_cause_mort[],25,FALSE))*0.95</f>
        <v>0.43855838564719329</v>
      </c>
      <c r="AL5">
        <f>VLOOKUP(all_lmics1819[[worldbank_region]:[worldbank_region]],Table13[],2,FALSE)*0.95</f>
        <v>82.51698764999999</v>
      </c>
      <c r="AM5">
        <f>VLOOKUP(all_lmics1819[[worldbank_region]:[worldbank_region]],Table13[],3,FALSE)*0.95</f>
        <v>82.51698764999999</v>
      </c>
      <c r="AN5">
        <f>VLOOKUP(all_lmics1819[[worldbank_region]:[worldbank_region]],Table13[],4,FALSE)*0.95</f>
        <v>127.85940464999999</v>
      </c>
      <c r="AO5">
        <f>VLOOKUP(all_lmics1819[[worldbank_region]:[worldbank_region]],Table13[],5,FALSE)*0.95</f>
        <v>127.85940464999999</v>
      </c>
      <c r="AP5">
        <f>VLOOKUP(all_lmics1819[[worldbank_region]:[worldbank_region]],Table13[],6,FALSE)*0.95</f>
        <v>127.85940464999999</v>
      </c>
      <c r="AQ5">
        <f>VLOOKUP(all_lmics1819[[worldbank_region]:[worldbank_region]],Table14[],2,FALSE)*0.95</f>
        <v>1.4389099000000001</v>
      </c>
      <c r="AR5">
        <f>VLOOKUP(all_lmics1819[[worldbank_region]:[worldbank_region]],Table14[],3,FALSE)*0.95</f>
        <v>2.0255348999999998</v>
      </c>
      <c r="AS5">
        <f>VLOOKUP(all_lmics1819[[worldbank_region]:[worldbank_region]],Table14[],4,FALSE)*0.95</f>
        <v>1.4596142000000001</v>
      </c>
      <c r="AT5">
        <f>VLOOKUP(all_lmics1819[[worldbank_region]:[worldbank_region]],Table14[],5,FALSE)*0.95</f>
        <v>2.0462391999999996</v>
      </c>
      <c r="AU5">
        <f>VLOOKUP(all_lmics1819[[worldbank_region]:[worldbank_region]],Table14[],6,FALSE)*0.95</f>
        <v>2.5879785999999996</v>
      </c>
      <c r="AV5">
        <f>IFERROR(VLOOKUP(all_lmics1819[[Setting]:[Setting]],nFacSBA[],4,FALSE),VLOOKUP(all_lmics1819[[who_choice_region]:[who_choice_region]],missing[],30,FALSE))*0.95</f>
        <v>0.19387920306497206</v>
      </c>
      <c r="AW5">
        <f>VLOOKUP(all_lmics1819[[worldbank_region]:[worldbank_region]],hbe[],3)</f>
        <v>0.2</v>
      </c>
      <c r="AX5">
        <f>VLOOKUP(all_lmics1819[[worldbank_region]:[worldbank_region]],hbe[],6)</f>
        <v>0.75</v>
      </c>
      <c r="AY5">
        <f>VLOOKUP(all_lmics1819[[worldbank_region]:[worldbank_region]],hbe[],9)</f>
        <v>0.05</v>
      </c>
    </row>
    <row r="6" spans="1:51" x14ac:dyDescent="0.35">
      <c r="A6" s="12" t="s">
        <v>25</v>
      </c>
      <c r="B6" s="13" t="s">
        <v>10</v>
      </c>
      <c r="C6" s="14" t="s">
        <v>11</v>
      </c>
      <c r="D6">
        <f>VLOOKUP(all_lmics1819[[Setting]:[Setting]],populations[],9,FALSE)</f>
        <v>2930450</v>
      </c>
      <c r="E6">
        <f>VLOOKUP(all_lmics1819[[Setting]:[Setting]],birthrate[],3,FALSE)</f>
        <v>1.3455999999999999E-2</v>
      </c>
      <c r="F6">
        <f>all_lmics1819[[#This Row],[2017_population]]*all_lmics1819[[#This Row],[2016_birthrate]]</f>
        <v>39432.135199999997</v>
      </c>
      <c r="G6">
        <f>VLOOKUP(all_lmics1819[[Setting]:[Setting]],birthdose[],4,FALSE)*0.95</f>
        <v>0.92149999999999999</v>
      </c>
      <c r="H6">
        <f>VLOOKUP(all_lmics1819[[Setting]:[Setting]],fullvax[],4,FALSE)*0.95</f>
        <v>0.8929999999999999</v>
      </c>
      <c r="I6">
        <f>IFERROR(VLOOKUP(all_lmics1819[[Setting]:[Setting]],prev[],3,FALSE),VLOOKUP(all_lmics1819[[who_choice_region]:[who_choice_region]],missing[],2,FALSE))</f>
        <v>1.9E-2</v>
      </c>
      <c r="J6">
        <f>IFERROR(VLOOKUP(all_lmics1819[[Setting]:[Setting]],prev[],4,FALSE),VLOOKUP(all_lmics1819[[who_choice_region]:[who_choice_region]],missing[],3,FALSE))</f>
        <v>1.7000000000000001E-2</v>
      </c>
      <c r="K6">
        <f>IFERROR(VLOOKUP(all_lmics1819[[Setting]:[Setting]],prev[],5,FALSE),VLOOKUP(all_lmics1819[[who_choice_region]:[who_choice_region]],missing[],4,FALSE))</f>
        <v>2.1000000000000001E-2</v>
      </c>
      <c r="L6">
        <f>IFERROR(VLOOKUP(all_lmics1819[[Setting]:[Setting]],prev[],7,FALSE),VLOOKUP(all_lmics1819[[who_choice_region]:[who_choice_region]],missing[],5,FALSE))</f>
        <v>1.0204081632653071E-3</v>
      </c>
      <c r="M6">
        <f>IFERROR(VLOOKUP(all_lmics1819[[Setting]:[Setting]],prev[],6,FALSE),0)</f>
        <v>2930450</v>
      </c>
      <c r="N6">
        <f>IFERROR(VLOOKUP(all_lmics1819[[Setting]:[Setting]],SBA[],4,FALSE),VLOOKUP(all_lmics1819[[who_choice_region]:[who_choice_region]],missing[],6,FALSE))*0.95</f>
        <v>0.94809999999999994</v>
      </c>
      <c r="O6">
        <f>IFERROR(VLOOKUP(all_lmics1819[[Setting]:[Setting]], facility[], 3,FALSE),VLOOKUP(all_lmics1819[[who_choice_region]:[who_choice_region]],missing[],7,FALSE))*0.95</f>
        <v>0.94334999999999991</v>
      </c>
      <c r="P6">
        <f>IF(VLOOKUP(all_lmics1819[[Setting]:[Setting]],all_cause_mort[],4,FALSE)="",VLOOKUP(all_lmics1819[[who_choice_region]:[who_choice_region]],missing[],8,FALSE),VLOOKUP(all_lmics1819[[Setting]:[Setting]],all_cause_mort[],4,FALSE))*0.95</f>
        <v>1.033148655E-2</v>
      </c>
      <c r="Q6">
        <f>IF(VLOOKUP(all_lmics1819[[Setting]:[Setting]],all_cause_mort[],5,FALSE)="",VLOOKUP(all_lmics1819[[who_choice_region]:[who_choice_region]],missing[],9,FALSE),VLOOKUP(all_lmics1819[[Setting]:[Setting]],all_cause_mort[],5,FALSE))*0.95</f>
        <v>5.7572160299999993E-4</v>
      </c>
      <c r="R6">
        <f>IF(VLOOKUP(all_lmics1819[[Setting]:[Setting]],all_cause_mort[],6,FALSE)="",VLOOKUP(all_lmics1819[[who_choice_region]:[who_choice_region]],missing[],10,FALSE),VLOOKUP(all_lmics1819[[Setting]:[Setting]],all_cause_mort[],6,FALSE))*0.95</f>
        <v>1.843176035E-4</v>
      </c>
      <c r="S6">
        <f>IF(VLOOKUP(all_lmics1819[[Setting]:[Setting]],all_cause_mort[],7,FALSE)="",VLOOKUP(all_lmics1819[[who_choice_region]:[who_choice_region]],missing[],11,FALSE),VLOOKUP(all_lmics1819[[Setting]:[Setting]],all_cause_mort[],7,FALSE))*0.95</f>
        <v>2.3604043899999998E-4</v>
      </c>
      <c r="T6">
        <f>IF(VLOOKUP(all_lmics1819[[Setting]:[Setting]],all_cause_mort[],8,FALSE)="",VLOOKUP(all_lmics1819[[who_choice_region]:[who_choice_region]],missing[],12,FALSE),VLOOKUP(all_lmics1819[[Setting]:[Setting]],all_cause_mort[],8,FALSE))*0.95</f>
        <v>5.9927724249999995E-4</v>
      </c>
      <c r="U6">
        <f>IF(VLOOKUP(all_lmics1819[[Setting]:[Setting]],all_cause_mort[],9,FALSE)="",VLOOKUP(all_lmics1819[[who_choice_region]:[who_choice_region]],missing[],13,FALSE),VLOOKUP(all_lmics1819[[Setting]:[Setting]],all_cause_mort[],9,FALSE))*0.95</f>
        <v>5.8727841949999995E-4</v>
      </c>
      <c r="V6">
        <f>IF(VLOOKUP(all_lmics1819[[Setting]:[Setting]],all_cause_mort[],10,FALSE)="",VLOOKUP(all_lmics1819[[who_choice_region]:[who_choice_region]],missing[],14,FALSE),VLOOKUP(all_lmics1819[[Setting]:[Setting]],all_cause_mort[],10,FALSE))*0.95</f>
        <v>5.5544985700000001E-4</v>
      </c>
      <c r="W6">
        <f>IF(VLOOKUP(all_lmics1819[[Setting]:[Setting]],all_cause_mort[],11,FALSE)="",VLOOKUP(all_lmics1819[[who_choice_region]:[who_choice_region]],missing[],15,FALSE),VLOOKUP(all_lmics1819[[Setting]:[Setting]],all_cause_mort[],11,FALSE))*0.95</f>
        <v>7.3170159949999996E-4</v>
      </c>
      <c r="X6">
        <f>IF(VLOOKUP(all_lmics1819[[Setting]:[Setting]],all_cause_mort[],12,FALSE)="",VLOOKUP(all_lmics1819[[who_choice_region]:[who_choice_region]],missing[],16,FALSE),VLOOKUP(all_lmics1819[[Setting]:[Setting]],all_cause_mort[],12,FALSE))*0.95</f>
        <v>1.101285505E-3</v>
      </c>
      <c r="Y6">
        <f>IF(VLOOKUP(all_lmics1819[[Setting]:[Setting]],all_cause_mort[],13,FALSE)="",VLOOKUP(all_lmics1819[[who_choice_region]:[who_choice_region]],missing[],17,FALSE),VLOOKUP(all_lmics1819[[Setting]:[Setting]],all_cause_mort[],13,FALSE))*0.95</f>
        <v>2.07664072E-3</v>
      </c>
      <c r="Z6">
        <f>IF(VLOOKUP(all_lmics1819[[Setting]:[Setting]],all_cause_mort[],14,FALSE)="",VLOOKUP(all_lmics1819[[who_choice_region]:[who_choice_region]],missing[],18,FALSE),VLOOKUP(all_lmics1819[[Setting]:[Setting]],all_cause_mort[],14,FALSE))*0.95</f>
        <v>3.4594023899999996E-3</v>
      </c>
      <c r="AA6">
        <f>IF(VLOOKUP(all_lmics1819[[Setting]:[Setting]],all_cause_mort[],15,FALSE)="",VLOOKUP(all_lmics1819[[who_choice_region]:[who_choice_region]],missing[],19,FALSE),VLOOKUP(all_lmics1819[[Setting]:[Setting]],all_cause_mort[],15,FALSE))*0.95</f>
        <v>5.7206784599999998E-3</v>
      </c>
      <c r="AB6">
        <f>IF(VLOOKUP(all_lmics1819[[Setting]:[Setting]],all_cause_mort[],16,FALSE)="",VLOOKUP(all_lmics1819[[who_choice_region]:[who_choice_region]],missing[],20,FALSE),VLOOKUP(all_lmics1819[[Setting]:[Setting]],all_cause_mort[],16,FALSE))*0.95</f>
        <v>8.6607253499999988E-3</v>
      </c>
      <c r="AC6">
        <f>IF(VLOOKUP(all_lmics1819[[Setting]:[Setting]],all_cause_mort[],17,FALSE)="",VLOOKUP(all_lmics1819[[who_choice_region]:[who_choice_region]],missing[],21,FALSE),VLOOKUP(all_lmics1819[[Setting]:[Setting]],all_cause_mort[],17,FALSE))*0.95</f>
        <v>1.3653216649999999E-2</v>
      </c>
      <c r="AD6">
        <f>IF(VLOOKUP(all_lmics1819[[Setting]:[Setting]],all_cause_mort[],18,FALSE)="",VLOOKUP(all_lmics1819[[who_choice_region]:[who_choice_region]],missing[],22,FALSE),VLOOKUP(all_lmics1819[[Setting]:[Setting]],all_cause_mort[],18,FALSE))*0.95</f>
        <v>2.0969311049999998E-2</v>
      </c>
      <c r="AE6">
        <f>IF(VLOOKUP(all_lmics1819[[Setting]:[Setting]],all_cause_mort[],19,FALSE)="",VLOOKUP(all_lmics1819[[who_choice_region]:[who_choice_region]],missing[],23,FALSE),VLOOKUP(all_lmics1819[[Setting]:[Setting]],all_cause_mort[],19,FALSE))*0.95</f>
        <v>3.4443279799999997E-2</v>
      </c>
      <c r="AF6">
        <f>IF(VLOOKUP(all_lmics1819[[Setting]:[Setting]],all_cause_mort[],20,FALSE)="",VLOOKUP(all_lmics1819[[who_choice_region]:[who_choice_region]],missing[],24,FALSE),VLOOKUP(all_lmics1819[[Setting]:[Setting]],all_cause_mort[],20,FALSE))*0.95</f>
        <v>5.9804064649999995E-2</v>
      </c>
      <c r="AG6">
        <f>IF(VLOOKUP(all_lmics1819[[Setting]:[Setting]],all_cause_mort[],21,FALSE)="",VLOOKUP(all_lmics1819[[who_choice_region]:[who_choice_region]],missing[],25,FALSE),VLOOKUP(all_lmics1819[[Setting]:[Setting]],all_cause_mort[],21,FALSE))*0.95</f>
        <v>9.9516024499999994E-2</v>
      </c>
      <c r="AH6">
        <f>IF(VLOOKUP(all_lmics1819[[Setting]:[Setting]],all_cause_mort[],22,FALSE)="",VLOOKUP(all_lmics1819[[who_choice_region]:[who_choice_region]],missing[],26,FALSE),VLOOKUP(all_lmics1819[[Setting]:[Setting]],all_cause_mort[],22,FALSE))*0.95</f>
        <v>0.15947174999999997</v>
      </c>
      <c r="AI6">
        <f>IF(VLOOKUP(all_lmics1819[[Setting]:[Setting]],all_cause_mort[],23,FALSE)="",VLOOKUP(all_lmics1819[[who_choice_region]:[who_choice_region]],missing[],27,FALSE),VLOOKUP(all_lmics1819[[Setting]:[Setting]],all_cause_mort[],23,FALSE))*0.95</f>
        <v>0.24858475199999996</v>
      </c>
      <c r="AJ6">
        <f>IF(VLOOKUP(all_lmics1819[[Setting]:[Setting]],all_cause_mort[],24,FALSE)="",VLOOKUP(all_lmics1819[[who_choice_region]:[who_choice_region]],missing[],28,FALSE),VLOOKUP(all_lmics1819[[Setting]:[Setting]],all_cause_mort[],24,FALSE))*0.95</f>
        <v>0.34719098999999998</v>
      </c>
      <c r="AK6">
        <f>IF(VLOOKUP(all_lmics1819[[Setting]:[Setting]],all_cause_mort[],25,FALSE)="",VLOOKUP(all_lmics1819[[who_choice_region]:[who_choice_region]],missing[],29,FALSE),VLOOKUP(all_lmics1819[[Setting]:[Setting]],all_cause_mort[],25,FALSE))*0.95</f>
        <v>0.48042593045859922</v>
      </c>
      <c r="AL6">
        <f>VLOOKUP(all_lmics1819[[worldbank_region]:[worldbank_region]],Table13[],2,FALSE)*0.95</f>
        <v>42.29888489999999</v>
      </c>
      <c r="AM6">
        <f>VLOOKUP(all_lmics1819[[worldbank_region]:[worldbank_region]],Table13[],3,FALSE)*0.95</f>
        <v>42.29888489999999</v>
      </c>
      <c r="AN6">
        <f>VLOOKUP(all_lmics1819[[worldbank_region]:[worldbank_region]],Table13[],4,FALSE)*0.95</f>
        <v>87.641301899999988</v>
      </c>
      <c r="AO6">
        <f>VLOOKUP(all_lmics1819[[worldbank_region]:[worldbank_region]],Table13[],5,FALSE)*0.95</f>
        <v>87.641301899999988</v>
      </c>
      <c r="AP6">
        <f>VLOOKUP(all_lmics1819[[worldbank_region]:[worldbank_region]],Table13[],6,FALSE)*0.95</f>
        <v>87.641301899999988</v>
      </c>
      <c r="AQ6">
        <f>VLOOKUP(all_lmics1819[[worldbank_region]:[worldbank_region]],Table14[],2,FALSE)*0.95</f>
        <v>6.0973773999999992</v>
      </c>
      <c r="AR6">
        <f>VLOOKUP(all_lmics1819[[worldbank_region]:[worldbank_region]],Table14[],3,FALSE)*0.95</f>
        <v>6.6840023999999998</v>
      </c>
      <c r="AS6">
        <f>VLOOKUP(all_lmics1819[[worldbank_region]:[worldbank_region]],Table14[],4,FALSE)*0.95</f>
        <v>9.9587293499999969</v>
      </c>
      <c r="AT6">
        <f>VLOOKUP(all_lmics1819[[worldbank_region]:[worldbank_region]],Table14[],5,FALSE)*0.95</f>
        <v>10.545354349999998</v>
      </c>
      <c r="AU6">
        <f>VLOOKUP(all_lmics1819[[worldbank_region]:[worldbank_region]],Table14[],6,FALSE)*0.95</f>
        <v>11.087093749999999</v>
      </c>
      <c r="AV6">
        <f>IFERROR(VLOOKUP(all_lmics1819[[Setting]:[Setting]],nFacSBA[],4,FALSE),VLOOKUP(all_lmics1819[[who_choice_region]:[who_choice_region]],missing[],30,FALSE))*0.95</f>
        <v>0.54950695294734997</v>
      </c>
      <c r="AW6">
        <f>VLOOKUP(all_lmics1819[[worldbank_region]:[worldbank_region]],hbe[],3)</f>
        <v>0.2</v>
      </c>
      <c r="AX6">
        <f>VLOOKUP(all_lmics1819[[worldbank_region]:[worldbank_region]],hbe[],6)</f>
        <v>0.75</v>
      </c>
      <c r="AY6">
        <f>VLOOKUP(all_lmics1819[[worldbank_region]:[worldbank_region]],hbe[],9)</f>
        <v>0.05</v>
      </c>
    </row>
    <row r="7" spans="1:51" x14ac:dyDescent="0.35">
      <c r="A7" s="8" t="s">
        <v>30</v>
      </c>
      <c r="B7" s="10" t="s">
        <v>10</v>
      </c>
      <c r="C7" s="11" t="s">
        <v>11</v>
      </c>
      <c r="D7">
        <f>VLOOKUP(all_lmics1819[[Setting]:[Setting]],populations[],9,FALSE)</f>
        <v>9862429</v>
      </c>
      <c r="E7">
        <f>VLOOKUP(all_lmics1819[[Setting]:[Setting]],birthrate[],3,FALSE)</f>
        <v>1.6300000000000002E-2</v>
      </c>
      <c r="F7">
        <f>all_lmics1819[[#This Row],[2017_population]]*all_lmics1819[[#This Row],[2016_birthrate]]</f>
        <v>160757.59270000001</v>
      </c>
      <c r="G7">
        <f>VLOOKUP(all_lmics1819[[Setting]:[Setting]],birthdose[],4,FALSE)*0.95</f>
        <v>0.9405</v>
      </c>
      <c r="H7">
        <f>VLOOKUP(all_lmics1819[[Setting]:[Setting]],fullvax[],4,FALSE)*0.95</f>
        <v>0.90249999999999997</v>
      </c>
      <c r="I7">
        <f>IFERROR(VLOOKUP(all_lmics1819[[Setting]:[Setting]],prev[],3,FALSE),VLOOKUP(all_lmics1819[[who_choice_region]:[who_choice_region]],missing[],2,FALSE))</f>
        <v>1.7999999999999999E-2</v>
      </c>
      <c r="J7">
        <f>IFERROR(VLOOKUP(all_lmics1819[[Setting]:[Setting]],prev[],4,FALSE),VLOOKUP(all_lmics1819[[who_choice_region]:[who_choice_region]],missing[],3,FALSE))</f>
        <v>1.4999999999999999E-2</v>
      </c>
      <c r="K7">
        <f>IFERROR(VLOOKUP(all_lmics1819[[Setting]:[Setting]],prev[],5,FALSE),VLOOKUP(all_lmics1819[[who_choice_region]:[who_choice_region]],missing[],4,FALSE))</f>
        <v>2.1000000000000001E-2</v>
      </c>
      <c r="L7">
        <f>IFERROR(VLOOKUP(all_lmics1819[[Setting]:[Setting]],prev[],7,FALSE),VLOOKUP(all_lmics1819[[who_choice_region]:[who_choice_region]],missing[],5,FALSE))</f>
        <v>1.5306122448979606E-3</v>
      </c>
      <c r="M7">
        <f>IFERROR(VLOOKUP(all_lmics1819[[Setting]:[Setting]],prev[],6,FALSE),0)</f>
        <v>9862429</v>
      </c>
      <c r="N7">
        <f>IFERROR(VLOOKUP(all_lmics1819[[Setting]:[Setting]],SBA[],4,FALSE),VLOOKUP(all_lmics1819[[who_choice_region]:[who_choice_region]],missing[],6,FALSE))*0.95</f>
        <v>0.94809999999999994</v>
      </c>
      <c r="O7">
        <f>IFERROR(VLOOKUP(all_lmics1819[[Setting]:[Setting]], facility[], 3,FALSE),VLOOKUP(all_lmics1819[[who_choice_region]:[who_choice_region]],missing[],7,FALSE))*0.95</f>
        <v>0.88444999999999985</v>
      </c>
      <c r="P7">
        <f>IF(VLOOKUP(all_lmics1819[[Setting]:[Setting]],all_cause_mort[],4,FALSE)="",VLOOKUP(all_lmics1819[[who_choice_region]:[who_choice_region]],missing[],8,FALSE),VLOOKUP(all_lmics1819[[Setting]:[Setting]],all_cause_mort[],4,FALSE))*0.95</f>
        <v>2.0139761549999999E-2</v>
      </c>
      <c r="Q7">
        <f>IF(VLOOKUP(all_lmics1819[[Setting]:[Setting]],all_cause_mort[],5,FALSE)="",VLOOKUP(all_lmics1819[[who_choice_region]:[who_choice_region]],missing[],9,FALSE),VLOOKUP(all_lmics1819[[Setting]:[Setting]],all_cause_mort[],5,FALSE))*0.95</f>
        <v>1.070019485E-3</v>
      </c>
      <c r="R7">
        <f>IF(VLOOKUP(all_lmics1819[[Setting]:[Setting]],all_cause_mort[],6,FALSE)="",VLOOKUP(all_lmics1819[[who_choice_region]:[who_choice_region]],missing[],10,FALSE),VLOOKUP(all_lmics1819[[Setting]:[Setting]],all_cause_mort[],6,FALSE))*0.95</f>
        <v>3.6434422799999996E-4</v>
      </c>
      <c r="S7">
        <f>IF(VLOOKUP(all_lmics1819[[Setting]:[Setting]],all_cause_mort[],7,FALSE)="",VLOOKUP(all_lmics1819[[who_choice_region]:[who_choice_region]],missing[],11,FALSE),VLOOKUP(all_lmics1819[[Setting]:[Setting]],all_cause_mort[],7,FALSE))*0.95</f>
        <v>3.1140115549999997E-4</v>
      </c>
      <c r="T7">
        <f>IF(VLOOKUP(all_lmics1819[[Setting]:[Setting]],all_cause_mort[],8,FALSE)="",VLOOKUP(all_lmics1819[[who_choice_region]:[who_choice_region]],missing[],12,FALSE),VLOOKUP(all_lmics1819[[Setting]:[Setting]],all_cause_mort[],8,FALSE))*0.95</f>
        <v>6.3849695699999998E-4</v>
      </c>
      <c r="U7">
        <f>IF(VLOOKUP(all_lmics1819[[Setting]:[Setting]],all_cause_mort[],9,FALSE)="",VLOOKUP(all_lmics1819[[who_choice_region]:[who_choice_region]],missing[],13,FALSE),VLOOKUP(all_lmics1819[[Setting]:[Setting]],all_cause_mort[],9,FALSE))*0.95</f>
        <v>7.94146439E-4</v>
      </c>
      <c r="V7">
        <f>IF(VLOOKUP(all_lmics1819[[Setting]:[Setting]],all_cause_mort[],10,FALSE)="",VLOOKUP(all_lmics1819[[who_choice_region]:[who_choice_region]],missing[],14,FALSE),VLOOKUP(all_lmics1819[[Setting]:[Setting]],all_cause_mort[],10,FALSE))*0.95</f>
        <v>7.9997363450000001E-4</v>
      </c>
      <c r="W7">
        <f>IF(VLOOKUP(all_lmics1819[[Setting]:[Setting]],all_cause_mort[],11,FALSE)="",VLOOKUP(all_lmics1819[[who_choice_region]:[who_choice_region]],missing[],15,FALSE),VLOOKUP(all_lmics1819[[Setting]:[Setting]],all_cause_mort[],11,FALSE))*0.95</f>
        <v>9.5973958999999995E-4</v>
      </c>
      <c r="X7">
        <f>IF(VLOOKUP(all_lmics1819[[Setting]:[Setting]],all_cause_mort[],12,FALSE)="",VLOOKUP(all_lmics1819[[who_choice_region]:[who_choice_region]],missing[],16,FALSE),VLOOKUP(all_lmics1819[[Setting]:[Setting]],all_cause_mort[],12,FALSE))*0.95</f>
        <v>1.3452409449999998E-3</v>
      </c>
      <c r="Y7">
        <f>IF(VLOOKUP(all_lmics1819[[Setting]:[Setting]],all_cause_mort[],13,FALSE)="",VLOOKUP(all_lmics1819[[who_choice_region]:[who_choice_region]],missing[],17,FALSE),VLOOKUP(all_lmics1819[[Setting]:[Setting]],all_cause_mort[],13,FALSE))*0.95</f>
        <v>2.0375033800000002E-3</v>
      </c>
      <c r="Z7">
        <f>IF(VLOOKUP(all_lmics1819[[Setting]:[Setting]],all_cause_mort[],14,FALSE)="",VLOOKUP(all_lmics1819[[who_choice_region]:[who_choice_region]],missing[],18,FALSE),VLOOKUP(all_lmics1819[[Setting]:[Setting]],all_cause_mort[],14,FALSE))*0.95</f>
        <v>3.3173516449999997E-3</v>
      </c>
      <c r="AA7">
        <f>IF(VLOOKUP(all_lmics1819[[Setting]:[Setting]],all_cause_mort[],15,FALSE)="",VLOOKUP(all_lmics1819[[who_choice_region]:[who_choice_region]],missing[],19,FALSE),VLOOKUP(all_lmics1819[[Setting]:[Setting]],all_cause_mort[],15,FALSE))*0.95</f>
        <v>5.4227462050000005E-3</v>
      </c>
      <c r="AB7">
        <f>IF(VLOOKUP(all_lmics1819[[Setting]:[Setting]],all_cause_mort[],16,FALSE)="",VLOOKUP(all_lmics1819[[who_choice_region]:[who_choice_region]],missing[],20,FALSE),VLOOKUP(all_lmics1819[[Setting]:[Setting]],all_cause_mort[],16,FALSE))*0.95</f>
        <v>8.8633392599999986E-3</v>
      </c>
      <c r="AC7">
        <f>IF(VLOOKUP(all_lmics1819[[Setting]:[Setting]],all_cause_mort[],17,FALSE)="",VLOOKUP(all_lmics1819[[who_choice_region]:[who_choice_region]],missing[],21,FALSE),VLOOKUP(all_lmics1819[[Setting]:[Setting]],all_cause_mort[],17,FALSE))*0.95</f>
        <v>1.466077335E-2</v>
      </c>
      <c r="AD7">
        <f>IF(VLOOKUP(all_lmics1819[[Setting]:[Setting]],all_cause_mort[],18,FALSE)="",VLOOKUP(all_lmics1819[[who_choice_region]:[who_choice_region]],missing[],22,FALSE),VLOOKUP(all_lmics1819[[Setting]:[Setting]],all_cause_mort[],18,FALSE))*0.95</f>
        <v>2.4251223799999999E-2</v>
      </c>
      <c r="AE7">
        <f>IF(VLOOKUP(all_lmics1819[[Setting]:[Setting]],all_cause_mort[],19,FALSE)="",VLOOKUP(all_lmics1819[[who_choice_region]:[who_choice_region]],missing[],23,FALSE),VLOOKUP(all_lmics1819[[Setting]:[Setting]],all_cause_mort[],19,FALSE))*0.95</f>
        <v>4.0709060849999999E-2</v>
      </c>
      <c r="AF7">
        <f>IF(VLOOKUP(all_lmics1819[[Setting]:[Setting]],all_cause_mort[],20,FALSE)="",VLOOKUP(all_lmics1819[[who_choice_region]:[who_choice_region]],missing[],24,FALSE),VLOOKUP(all_lmics1819[[Setting]:[Setting]],all_cause_mort[],20,FALSE))*0.95</f>
        <v>6.8889868450000002E-2</v>
      </c>
      <c r="AG7">
        <f>IF(VLOOKUP(all_lmics1819[[Setting]:[Setting]],all_cause_mort[],21,FALSE)="",VLOOKUP(all_lmics1819[[who_choice_region]:[who_choice_region]],missing[],25,FALSE),VLOOKUP(all_lmics1819[[Setting]:[Setting]],all_cause_mort[],21,FALSE))*0.95</f>
        <v>0.113290141</v>
      </c>
      <c r="AH7">
        <f>IF(VLOOKUP(all_lmics1819[[Setting]:[Setting]],all_cause_mort[],22,FALSE)="",VLOOKUP(all_lmics1819[[who_choice_region]:[who_choice_region]],missing[],26,FALSE),VLOOKUP(all_lmics1819[[Setting]:[Setting]],all_cause_mort[],22,FALSE))*0.95</f>
        <v>0.1806069035</v>
      </c>
      <c r="AI7">
        <f>IF(VLOOKUP(all_lmics1819[[Setting]:[Setting]],all_cause_mort[],23,FALSE)="",VLOOKUP(all_lmics1819[[who_choice_region]:[who_choice_region]],missing[],27,FALSE),VLOOKUP(all_lmics1819[[Setting]:[Setting]],all_cause_mort[],23,FALSE))*0.95</f>
        <v>0.26880586299999998</v>
      </c>
      <c r="AJ7">
        <f>IF(VLOOKUP(all_lmics1819[[Setting]:[Setting]],all_cause_mort[],24,FALSE)="",VLOOKUP(all_lmics1819[[who_choice_region]:[who_choice_region]],missing[],28,FALSE),VLOOKUP(all_lmics1819[[Setting]:[Setting]],all_cause_mort[],24,FALSE))*0.95</f>
        <v>0.36426317399999997</v>
      </c>
      <c r="AK7">
        <f>IF(VLOOKUP(all_lmics1819[[Setting]:[Setting]],all_cause_mort[],25,FALSE)="",VLOOKUP(all_lmics1819[[who_choice_region]:[who_choice_region]],missing[],29,FALSE),VLOOKUP(all_lmics1819[[Setting]:[Setting]],all_cause_mort[],25,FALSE))*0.95</f>
        <v>0.49243217278128365</v>
      </c>
      <c r="AL7">
        <f>VLOOKUP(all_lmics1819[[worldbank_region]:[worldbank_region]],Table13[],2,FALSE)*0.95</f>
        <v>42.29888489999999</v>
      </c>
      <c r="AM7">
        <f>VLOOKUP(all_lmics1819[[worldbank_region]:[worldbank_region]],Table13[],3,FALSE)*0.95</f>
        <v>42.29888489999999</v>
      </c>
      <c r="AN7">
        <f>VLOOKUP(all_lmics1819[[worldbank_region]:[worldbank_region]],Table13[],4,FALSE)*0.95</f>
        <v>87.641301899999988</v>
      </c>
      <c r="AO7">
        <f>VLOOKUP(all_lmics1819[[worldbank_region]:[worldbank_region]],Table13[],5,FALSE)*0.95</f>
        <v>87.641301899999988</v>
      </c>
      <c r="AP7">
        <f>VLOOKUP(all_lmics1819[[worldbank_region]:[worldbank_region]],Table13[],6,FALSE)*0.95</f>
        <v>87.641301899999988</v>
      </c>
      <c r="AQ7">
        <f>VLOOKUP(all_lmics1819[[worldbank_region]:[worldbank_region]],Table14[],2,FALSE)*0.95</f>
        <v>6.0973773999999992</v>
      </c>
      <c r="AR7">
        <f>VLOOKUP(all_lmics1819[[worldbank_region]:[worldbank_region]],Table14[],3,FALSE)*0.95</f>
        <v>6.6840023999999998</v>
      </c>
      <c r="AS7">
        <f>VLOOKUP(all_lmics1819[[worldbank_region]:[worldbank_region]],Table14[],4,FALSE)*0.95</f>
        <v>9.9587293499999969</v>
      </c>
      <c r="AT7">
        <f>VLOOKUP(all_lmics1819[[worldbank_region]:[worldbank_region]],Table14[],5,FALSE)*0.95</f>
        <v>10.545354349999998</v>
      </c>
      <c r="AU7">
        <f>VLOOKUP(all_lmics1819[[worldbank_region]:[worldbank_region]],Table14[],6,FALSE)*0.95</f>
        <v>11.087093749999999</v>
      </c>
      <c r="AV7">
        <f>IFERROR(VLOOKUP(all_lmics1819[[Setting]:[Setting]],nFacSBA[],4,FALSE),VLOOKUP(all_lmics1819[[who_choice_region]:[who_choice_region]],missing[],30,FALSE))*0.95</f>
        <v>0.48672407928799533</v>
      </c>
      <c r="AW7">
        <f>VLOOKUP(all_lmics1819[[worldbank_region]:[worldbank_region]],hbe[],3)</f>
        <v>0.2</v>
      </c>
      <c r="AX7">
        <f>VLOOKUP(all_lmics1819[[worldbank_region]:[worldbank_region]],hbe[],6)</f>
        <v>0.75</v>
      </c>
      <c r="AY7">
        <f>VLOOKUP(all_lmics1819[[worldbank_region]:[worldbank_region]],hbe[],9)</f>
        <v>0.05</v>
      </c>
    </row>
    <row r="8" spans="1:51" x14ac:dyDescent="0.35">
      <c r="A8" s="8" t="s">
        <v>32</v>
      </c>
      <c r="B8" s="10" t="s">
        <v>33</v>
      </c>
      <c r="C8" s="11" t="s">
        <v>7</v>
      </c>
      <c r="D8">
        <f>VLOOKUP(all_lmics1819[[Setting]:[Setting]],populations[],9,FALSE)</f>
        <v>1492584</v>
      </c>
      <c r="E8">
        <f>VLOOKUP(all_lmics1819[[Setting]:[Setting]],birthrate[],3,FALSE)</f>
        <v>1.4762000000000001E-2</v>
      </c>
      <c r="F8">
        <f>all_lmics1819[[#This Row],[2017_population]]*all_lmics1819[[#This Row],[2016_birthrate]]</f>
        <v>22033.525008000001</v>
      </c>
      <c r="G8">
        <f>VLOOKUP(all_lmics1819[[Setting]:[Setting]],birthdose[],4,FALSE)*0.95</f>
        <v>0.9405</v>
      </c>
      <c r="H8">
        <f>VLOOKUP(all_lmics1819[[Setting]:[Setting]],fullvax[],4,FALSE)*0.95</f>
        <v>0.93099999999999994</v>
      </c>
      <c r="I8">
        <f>IFERROR(VLOOKUP(all_lmics1819[[Setting]:[Setting]],prev[],3,FALSE),VLOOKUP(all_lmics1819[[who_choice_region]:[who_choice_region]],missing[],2,FALSE))</f>
        <v>0.01</v>
      </c>
      <c r="J8">
        <f>IFERROR(VLOOKUP(all_lmics1819[[Setting]:[Setting]],prev[],4,FALSE),VLOOKUP(all_lmics1819[[who_choice_region]:[who_choice_region]],missing[],3,FALSE))</f>
        <v>6.0000000000000001E-3</v>
      </c>
      <c r="K8">
        <f>IFERROR(VLOOKUP(all_lmics1819[[Setting]:[Setting]],prev[],5,FALSE),VLOOKUP(all_lmics1819[[who_choice_region]:[who_choice_region]],missing[],4,FALSE))</f>
        <v>1.0999999999999999E-2</v>
      </c>
      <c r="L8">
        <f>IFERROR(VLOOKUP(all_lmics1819[[Setting]:[Setting]],prev[],7,FALSE),VLOOKUP(all_lmics1819[[who_choice_region]:[who_choice_region]],missing[],5,FALSE))</f>
        <v>5.1020408163265267E-4</v>
      </c>
      <c r="M8">
        <f>IFERROR(VLOOKUP(all_lmics1819[[Setting]:[Setting]],prev[],6,FALSE),0)</f>
        <v>1492584</v>
      </c>
      <c r="N8">
        <f>IFERROR(VLOOKUP(all_lmics1819[[Setting]:[Setting]],SBA[],4,FALSE),VLOOKUP(all_lmics1819[[who_choice_region]:[who_choice_region]],missing[],6,FALSE))*0.95</f>
        <v>0.94714999999999994</v>
      </c>
      <c r="O8">
        <f>IFERROR(VLOOKUP(all_lmics1819[[Setting]:[Setting]], facility[], 3,FALSE),VLOOKUP(all_lmics1819[[who_choice_region]:[who_choice_region]],missing[],7,FALSE))*0.95</f>
        <v>0.92624999999999991</v>
      </c>
      <c r="P8">
        <f>IF(VLOOKUP(all_lmics1819[[Setting]:[Setting]],all_cause_mort[],4,FALSE)="",VLOOKUP(all_lmics1819[[who_choice_region]:[who_choice_region]],missing[],8,FALSE),VLOOKUP(all_lmics1819[[Setting]:[Setting]],all_cause_mort[],4,FALSE))*0.95</f>
        <v>5.6594647349999996E-3</v>
      </c>
      <c r="Q8">
        <f>IF(VLOOKUP(all_lmics1819[[Setting]:[Setting]],all_cause_mort[],5,FALSE)="",VLOOKUP(all_lmics1819[[who_choice_region]:[who_choice_region]],missing[],9,FALSE),VLOOKUP(all_lmics1819[[Setting]:[Setting]],all_cause_mort[],5,FALSE))*0.95</f>
        <v>3.9620357999999999E-4</v>
      </c>
      <c r="R8">
        <f>IF(VLOOKUP(all_lmics1819[[Setting]:[Setting]],all_cause_mort[],6,FALSE)="",VLOOKUP(all_lmics1819[[who_choice_region]:[who_choice_region]],missing[],10,FALSE),VLOOKUP(all_lmics1819[[Setting]:[Setting]],all_cause_mort[],6,FALSE))*0.95</f>
        <v>1.8011503149999999E-4</v>
      </c>
      <c r="S8">
        <f>IF(VLOOKUP(all_lmics1819[[Setting]:[Setting]],all_cause_mort[],7,FALSE)="",VLOOKUP(all_lmics1819[[who_choice_region]:[who_choice_region]],missing[],11,FALSE),VLOOKUP(all_lmics1819[[Setting]:[Setting]],all_cause_mort[],7,FALSE))*0.95</f>
        <v>1.62102072E-4</v>
      </c>
      <c r="T8">
        <f>IF(VLOOKUP(all_lmics1819[[Setting]:[Setting]],all_cause_mort[],8,FALSE)="",VLOOKUP(all_lmics1819[[who_choice_region]:[who_choice_region]],missing[],12,FALSE),VLOOKUP(all_lmics1819[[Setting]:[Setting]],all_cause_mort[],8,FALSE))*0.95</f>
        <v>3.8729083199999997E-4</v>
      </c>
      <c r="U8">
        <f>IF(VLOOKUP(all_lmics1819[[Setting]:[Setting]],all_cause_mort[],9,FALSE)="",VLOOKUP(all_lmics1819[[who_choice_region]:[who_choice_region]],missing[],13,FALSE),VLOOKUP(all_lmics1819[[Setting]:[Setting]],all_cause_mort[],9,FALSE))*0.95</f>
        <v>4.8507409449999995E-4</v>
      </c>
      <c r="V8">
        <f>IF(VLOOKUP(all_lmics1819[[Setting]:[Setting]],all_cause_mort[],10,FALSE)="",VLOOKUP(all_lmics1819[[who_choice_region]:[who_choice_region]],missing[],14,FALSE),VLOOKUP(all_lmics1819[[Setting]:[Setting]],all_cause_mort[],10,FALSE))*0.95</f>
        <v>4.7668562299999997E-4</v>
      </c>
      <c r="W8">
        <f>IF(VLOOKUP(all_lmics1819[[Setting]:[Setting]],all_cause_mort[],11,FALSE)="",VLOOKUP(all_lmics1819[[who_choice_region]:[who_choice_region]],missing[],15,FALSE),VLOOKUP(all_lmics1819[[Setting]:[Setting]],all_cause_mort[],11,FALSE))*0.95</f>
        <v>5.589270185E-4</v>
      </c>
      <c r="X8">
        <f>IF(VLOOKUP(all_lmics1819[[Setting]:[Setting]],all_cause_mort[],12,FALSE)="",VLOOKUP(all_lmics1819[[who_choice_region]:[who_choice_region]],missing[],16,FALSE),VLOOKUP(all_lmics1819[[Setting]:[Setting]],all_cause_mort[],12,FALSE))*0.95</f>
        <v>6.6752733249999998E-4</v>
      </c>
      <c r="Y8">
        <f>IF(VLOOKUP(all_lmics1819[[Setting]:[Setting]],all_cause_mort[],13,FALSE)="",VLOOKUP(all_lmics1819[[who_choice_region]:[who_choice_region]],missing[],17,FALSE),VLOOKUP(all_lmics1819[[Setting]:[Setting]],all_cause_mort[],13,FALSE))*0.95</f>
        <v>1.0032627E-3</v>
      </c>
      <c r="Z8">
        <f>IF(VLOOKUP(all_lmics1819[[Setting]:[Setting]],all_cause_mort[],14,FALSE)="",VLOOKUP(all_lmics1819[[who_choice_region]:[who_choice_region]],missing[],18,FALSE),VLOOKUP(all_lmics1819[[Setting]:[Setting]],all_cause_mort[],14,FALSE))*0.95</f>
        <v>1.5775951749999999E-3</v>
      </c>
      <c r="AA8">
        <f>IF(VLOOKUP(all_lmics1819[[Setting]:[Setting]],all_cause_mort[],15,FALSE)="",VLOOKUP(all_lmics1819[[who_choice_region]:[who_choice_region]],missing[],19,FALSE),VLOOKUP(all_lmics1819[[Setting]:[Setting]],all_cause_mort[],15,FALSE))*0.95</f>
        <v>2.5517834099999998E-3</v>
      </c>
      <c r="AB8">
        <f>IF(VLOOKUP(all_lmics1819[[Setting]:[Setting]],all_cause_mort[],16,FALSE)="",VLOOKUP(all_lmics1819[[who_choice_region]:[who_choice_region]],missing[],20,FALSE),VLOOKUP(all_lmics1819[[Setting]:[Setting]],all_cause_mort[],16,FALSE))*0.95</f>
        <v>5.4862970249999997E-3</v>
      </c>
      <c r="AC8">
        <f>IF(VLOOKUP(all_lmics1819[[Setting]:[Setting]],all_cause_mort[],17,FALSE)="",VLOOKUP(all_lmics1819[[who_choice_region]:[who_choice_region]],missing[],21,FALSE),VLOOKUP(all_lmics1819[[Setting]:[Setting]],all_cause_mort[],17,FALSE))*0.95</f>
        <v>1.0770381799999999E-2</v>
      </c>
      <c r="AD8">
        <f>IF(VLOOKUP(all_lmics1819[[Setting]:[Setting]],all_cause_mort[],18,FALSE)="",VLOOKUP(all_lmics1819[[who_choice_region]:[who_choice_region]],missing[],22,FALSE),VLOOKUP(all_lmics1819[[Setting]:[Setting]],all_cause_mort[],18,FALSE))*0.95</f>
        <v>1.9933025399999998E-2</v>
      </c>
      <c r="AE8">
        <f>IF(VLOOKUP(all_lmics1819[[Setting]:[Setting]],all_cause_mort[],19,FALSE)="",VLOOKUP(all_lmics1819[[who_choice_region]:[who_choice_region]],missing[],23,FALSE),VLOOKUP(all_lmics1819[[Setting]:[Setting]],all_cause_mort[],19,FALSE))*0.95</f>
        <v>3.4574272449999999E-2</v>
      </c>
      <c r="AF8">
        <f>IF(VLOOKUP(all_lmics1819[[Setting]:[Setting]],all_cause_mort[],20,FALSE)="",VLOOKUP(all_lmics1819[[who_choice_region]:[who_choice_region]],missing[],24,FALSE),VLOOKUP(all_lmics1819[[Setting]:[Setting]],all_cause_mort[],20,FALSE))*0.95</f>
        <v>6.0369903650000001E-2</v>
      </c>
      <c r="AG8">
        <f>IF(VLOOKUP(all_lmics1819[[Setting]:[Setting]],all_cause_mort[],21,FALSE)="",VLOOKUP(all_lmics1819[[who_choice_region]:[who_choice_region]],missing[],25,FALSE),VLOOKUP(all_lmics1819[[Setting]:[Setting]],all_cause_mort[],21,FALSE))*0.95</f>
        <v>0.10006692949999998</v>
      </c>
      <c r="AH8">
        <f>IF(VLOOKUP(all_lmics1819[[Setting]:[Setting]],all_cause_mort[],22,FALSE)="",VLOOKUP(all_lmics1819[[who_choice_region]:[who_choice_region]],missing[],26,FALSE),VLOOKUP(all_lmics1819[[Setting]:[Setting]],all_cause_mort[],22,FALSE))*0.95</f>
        <v>0.15749066749999999</v>
      </c>
      <c r="AI8">
        <f>IF(VLOOKUP(all_lmics1819[[Setting]:[Setting]],all_cause_mort[],23,FALSE)="",VLOOKUP(all_lmics1819[[who_choice_region]:[who_choice_region]],missing[],27,FALSE),VLOOKUP(all_lmics1819[[Setting]:[Setting]],all_cause_mort[],23,FALSE))*0.95</f>
        <v>0.2321454865</v>
      </c>
      <c r="AJ8">
        <f>IF(VLOOKUP(all_lmics1819[[Setting]:[Setting]],all_cause_mort[],24,FALSE)="",VLOOKUP(all_lmics1819[[who_choice_region]:[who_choice_region]],missing[],28,FALSE),VLOOKUP(all_lmics1819[[Setting]:[Setting]],all_cause_mort[],24,FALSE))*0.95</f>
        <v>0.3278718565</v>
      </c>
      <c r="AK8">
        <f>IF(VLOOKUP(all_lmics1819[[Setting]:[Setting]],all_cause_mort[],25,FALSE)="",VLOOKUP(all_lmics1819[[who_choice_region]:[who_choice_region]],missing[],29,FALSE),VLOOKUP(all_lmics1819[[Setting]:[Setting]],all_cause_mort[],25,FALSE))*0.95</f>
        <v>0.45869555193266515</v>
      </c>
      <c r="AL8">
        <f>VLOOKUP(all_lmics1819[[worldbank_region]:[worldbank_region]],Table13[],2,FALSE)*0.95</f>
        <v>55.011325099999993</v>
      </c>
      <c r="AM8">
        <f>VLOOKUP(all_lmics1819[[worldbank_region]:[worldbank_region]],Table13[],3,FALSE)*0.95</f>
        <v>55.011325099999993</v>
      </c>
      <c r="AN8">
        <f>VLOOKUP(all_lmics1819[[worldbank_region]:[worldbank_region]],Table13[],4,FALSE)*0.95</f>
        <v>100.35374209999999</v>
      </c>
      <c r="AO8">
        <f>VLOOKUP(all_lmics1819[[worldbank_region]:[worldbank_region]],Table13[],5,FALSE)*0.95</f>
        <v>100.35374209999999</v>
      </c>
      <c r="AP8">
        <f>VLOOKUP(all_lmics1819[[worldbank_region]:[worldbank_region]],Table13[],6,FALSE)*0.95</f>
        <v>100.35374209999999</v>
      </c>
      <c r="AQ8">
        <f>VLOOKUP(all_lmics1819[[worldbank_region]:[worldbank_region]],Table14[],2,FALSE)*0.95</f>
        <v>1.4285577499999997</v>
      </c>
      <c r="AR8">
        <f>VLOOKUP(all_lmics1819[[worldbank_region]:[worldbank_region]],Table14[],3,FALSE)*0.95</f>
        <v>2.0151827500000001</v>
      </c>
      <c r="AS8">
        <f>VLOOKUP(all_lmics1819[[worldbank_region]:[worldbank_region]],Table14[],4,FALSE)*0.95</f>
        <v>1.8840523499999997</v>
      </c>
      <c r="AT8">
        <f>VLOOKUP(all_lmics1819[[worldbank_region]:[worldbank_region]],Table14[],5,FALSE)*0.95</f>
        <v>2.4706773499999999</v>
      </c>
      <c r="AU8">
        <f>VLOOKUP(all_lmics1819[[worldbank_region]:[worldbank_region]],Table14[],6,FALSE)*0.95</f>
        <v>3.0124167499999999</v>
      </c>
      <c r="AV8">
        <f>IFERROR(VLOOKUP(all_lmics1819[[Setting]:[Setting]],nFacSBA[],4,FALSE),VLOOKUP(all_lmics1819[[who_choice_region]:[who_choice_region]],missing[],30,FALSE))*0.95</f>
        <v>0.368442657134743</v>
      </c>
      <c r="AW8">
        <f>VLOOKUP(all_lmics1819[[worldbank_region]:[worldbank_region]],hbe[],3)</f>
        <v>0.2</v>
      </c>
      <c r="AX8">
        <f>VLOOKUP(all_lmics1819[[worldbank_region]:[worldbank_region]],hbe[],6)</f>
        <v>0.75</v>
      </c>
      <c r="AY8">
        <f>VLOOKUP(all_lmics1819[[worldbank_region]:[worldbank_region]],hbe[],9)</f>
        <v>0.05</v>
      </c>
    </row>
    <row r="9" spans="1:51" x14ac:dyDescent="0.35">
      <c r="A9" s="12" t="s">
        <v>39</v>
      </c>
      <c r="B9" s="13" t="s">
        <v>40</v>
      </c>
      <c r="C9" s="14" t="s">
        <v>11</v>
      </c>
      <c r="D9">
        <f>VLOOKUP(all_lmics1819[[Setting]:[Setting]],populations[],9,FALSE)</f>
        <v>9507875</v>
      </c>
      <c r="E9">
        <f>VLOOKUP(all_lmics1819[[Setting]:[Setting]],birthrate[],3,FALSE)</f>
        <v>1.24E-2</v>
      </c>
      <c r="F9">
        <f>all_lmics1819[[#This Row],[2017_population]]*all_lmics1819[[#This Row],[2016_birthrate]]</f>
        <v>117897.65</v>
      </c>
      <c r="G9">
        <f>VLOOKUP(all_lmics1819[[Setting]:[Setting]],birthdose[],4,FALSE)*0.95</f>
        <v>0.93099999999999994</v>
      </c>
      <c r="H9">
        <f>VLOOKUP(all_lmics1819[[Setting]:[Setting]],fullvax[],4,FALSE)*0.95</f>
        <v>0.93099999999999994</v>
      </c>
      <c r="I9">
        <f>IFERROR(VLOOKUP(all_lmics1819[[Setting]:[Setting]],prev[],3,FALSE),VLOOKUP(all_lmics1819[[who_choice_region]:[who_choice_region]],missing[],2,FALSE))</f>
        <v>4.2999999999999997E-2</v>
      </c>
      <c r="J9">
        <f>IFERROR(VLOOKUP(all_lmics1819[[Setting]:[Setting]],prev[],4,FALSE),VLOOKUP(all_lmics1819[[who_choice_region]:[who_choice_region]],missing[],3,FALSE))</f>
        <v>3.9E-2</v>
      </c>
      <c r="K9">
        <f>IFERROR(VLOOKUP(all_lmics1819[[Setting]:[Setting]],prev[],5,FALSE),VLOOKUP(all_lmics1819[[who_choice_region]:[who_choice_region]],missing[],4,FALSE))</f>
        <v>4.8000000000000001E-2</v>
      </c>
      <c r="L9">
        <f>IFERROR(VLOOKUP(all_lmics1819[[Setting]:[Setting]],prev[],7,FALSE),VLOOKUP(all_lmics1819[[who_choice_region]:[who_choice_region]],missing[],5,FALSE))</f>
        <v>2.5510204081632677E-3</v>
      </c>
      <c r="M9">
        <f>IFERROR(VLOOKUP(all_lmics1819[[Setting]:[Setting]],prev[],6,FALSE),0)</f>
        <v>9507875</v>
      </c>
      <c r="N9">
        <f>IFERROR(VLOOKUP(all_lmics1819[[Setting]:[Setting]],SBA[],4,FALSE),VLOOKUP(all_lmics1819[[who_choice_region]:[who_choice_region]],missing[],6,FALSE))*0.95</f>
        <v>0.94809999999999994</v>
      </c>
      <c r="O9">
        <f>IFERROR(VLOOKUP(all_lmics1819[[Setting]:[Setting]], facility[], 3,FALSE),VLOOKUP(all_lmics1819[[who_choice_region]:[who_choice_region]],missing[],7,FALSE))*0.95</f>
        <v>0.94905000000000006</v>
      </c>
      <c r="P9">
        <f>IF(VLOOKUP(all_lmics1819[[Setting]:[Setting]],all_cause_mort[],4,FALSE)="",VLOOKUP(all_lmics1819[[who_choice_region]:[who_choice_region]],missing[],8,FALSE),VLOOKUP(all_lmics1819[[Setting]:[Setting]],all_cause_mort[],4,FALSE))*0.95</f>
        <v>2.82554415E-3</v>
      </c>
      <c r="Q9">
        <f>IF(VLOOKUP(all_lmics1819[[Setting]:[Setting]],all_cause_mort[],5,FALSE)="",VLOOKUP(all_lmics1819[[who_choice_region]:[who_choice_region]],missing[],9,FALSE),VLOOKUP(all_lmics1819[[Setting]:[Setting]],all_cause_mort[],5,FALSE))*0.95</f>
        <v>2.0733301599999997E-4</v>
      </c>
      <c r="R9">
        <f>IF(VLOOKUP(all_lmics1819[[Setting]:[Setting]],all_cause_mort[],6,FALSE)="",VLOOKUP(all_lmics1819[[who_choice_region]:[who_choice_region]],missing[],10,FALSE),VLOOKUP(all_lmics1819[[Setting]:[Setting]],all_cause_mort[],6,FALSE))*0.95</f>
        <v>1.3180794949999998E-4</v>
      </c>
      <c r="S9">
        <f>IF(VLOOKUP(all_lmics1819[[Setting]:[Setting]],all_cause_mort[],7,FALSE)="",VLOOKUP(all_lmics1819[[who_choice_region]:[who_choice_region]],missing[],11,FALSE),VLOOKUP(all_lmics1819[[Setting]:[Setting]],all_cause_mort[],7,FALSE))*0.95</f>
        <v>1.2513951950000001E-4</v>
      </c>
      <c r="T9">
        <f>IF(VLOOKUP(all_lmics1819[[Setting]:[Setting]],all_cause_mort[],8,FALSE)="",VLOOKUP(all_lmics1819[[who_choice_region]:[who_choice_region]],missing[],12,FALSE),VLOOKUP(all_lmics1819[[Setting]:[Setting]],all_cause_mort[],8,FALSE))*0.95</f>
        <v>3.34368973E-4</v>
      </c>
      <c r="U9">
        <f>IF(VLOOKUP(all_lmics1819[[Setting]:[Setting]],all_cause_mort[],9,FALSE)="",VLOOKUP(all_lmics1819[[who_choice_region]:[who_choice_region]],missing[],13,FALSE),VLOOKUP(all_lmics1819[[Setting]:[Setting]],all_cause_mort[],9,FALSE))*0.95</f>
        <v>5.6957827600000004E-4</v>
      </c>
      <c r="V9">
        <f>IF(VLOOKUP(all_lmics1819[[Setting]:[Setting]],all_cause_mort[],10,FALSE)="",VLOOKUP(all_lmics1819[[who_choice_region]:[who_choice_region]],missing[],14,FALSE),VLOOKUP(all_lmics1819[[Setting]:[Setting]],all_cause_mort[],10,FALSE))*0.95</f>
        <v>8.3256401149999989E-4</v>
      </c>
      <c r="W9">
        <f>IF(VLOOKUP(all_lmics1819[[Setting]:[Setting]],all_cause_mort[],11,FALSE)="",VLOOKUP(all_lmics1819[[who_choice_region]:[who_choice_region]],missing[],15,FALSE),VLOOKUP(all_lmics1819[[Setting]:[Setting]],all_cause_mort[],11,FALSE))*0.95</f>
        <v>1.3659369800000001E-3</v>
      </c>
      <c r="X9">
        <f>IF(VLOOKUP(all_lmics1819[[Setting]:[Setting]],all_cause_mort[],12,FALSE)="",VLOOKUP(all_lmics1819[[who_choice_region]:[who_choice_region]],missing[],16,FALSE),VLOOKUP(all_lmics1819[[Setting]:[Setting]],all_cause_mort[],12,FALSE))*0.95</f>
        <v>2.1914776700000002E-3</v>
      </c>
      <c r="Y9">
        <f>IF(VLOOKUP(all_lmics1819[[Setting]:[Setting]],all_cause_mort[],13,FALSE)="",VLOOKUP(all_lmics1819[[who_choice_region]:[who_choice_region]],missing[],17,FALSE),VLOOKUP(all_lmics1819[[Setting]:[Setting]],all_cause_mort[],13,FALSE))*0.95</f>
        <v>3.1745123049999996E-3</v>
      </c>
      <c r="Z9">
        <f>IF(VLOOKUP(all_lmics1819[[Setting]:[Setting]],all_cause_mort[],14,FALSE)="",VLOOKUP(all_lmics1819[[who_choice_region]:[who_choice_region]],missing[],18,FALSE),VLOOKUP(all_lmics1819[[Setting]:[Setting]],all_cause_mort[],14,FALSE))*0.95</f>
        <v>4.7828241149999997E-3</v>
      </c>
      <c r="AA9">
        <f>IF(VLOOKUP(all_lmics1819[[Setting]:[Setting]],all_cause_mort[],15,FALSE)="",VLOOKUP(all_lmics1819[[who_choice_region]:[who_choice_region]],missing[],19,FALSE),VLOOKUP(all_lmics1819[[Setting]:[Setting]],all_cause_mort[],15,FALSE))*0.95</f>
        <v>7.0597690099999996E-3</v>
      </c>
      <c r="AB9">
        <f>IF(VLOOKUP(all_lmics1819[[Setting]:[Setting]],all_cause_mort[],16,FALSE)="",VLOOKUP(all_lmics1819[[who_choice_region]:[who_choice_region]],missing[],20,FALSE),VLOOKUP(all_lmics1819[[Setting]:[Setting]],all_cause_mort[],16,FALSE))*0.95</f>
        <v>1.05926444E-2</v>
      </c>
      <c r="AC9">
        <f>IF(VLOOKUP(all_lmics1819[[Setting]:[Setting]],all_cause_mort[],17,FALSE)="",VLOOKUP(all_lmics1819[[who_choice_region]:[who_choice_region]],missing[],21,FALSE),VLOOKUP(all_lmics1819[[Setting]:[Setting]],all_cause_mort[],17,FALSE))*0.95</f>
        <v>1.62475061E-2</v>
      </c>
      <c r="AD9">
        <f>IF(VLOOKUP(all_lmics1819[[Setting]:[Setting]],all_cause_mort[],18,FALSE)="",VLOOKUP(all_lmics1819[[who_choice_region]:[who_choice_region]],missing[],22,FALSE),VLOOKUP(all_lmics1819[[Setting]:[Setting]],all_cause_mort[],18,FALSE))*0.95</f>
        <v>2.3301553449999998E-2</v>
      </c>
      <c r="AE9">
        <f>IF(VLOOKUP(all_lmics1819[[Setting]:[Setting]],all_cause_mort[],19,FALSE)="",VLOOKUP(all_lmics1819[[who_choice_region]:[who_choice_region]],missing[],23,FALSE),VLOOKUP(all_lmics1819[[Setting]:[Setting]],all_cause_mort[],19,FALSE))*0.95</f>
        <v>3.4360856850000003E-2</v>
      </c>
      <c r="AF9">
        <f>IF(VLOOKUP(all_lmics1819[[Setting]:[Setting]],all_cause_mort[],20,FALSE)="",VLOOKUP(all_lmics1819[[who_choice_region]:[who_choice_region]],missing[],24,FALSE),VLOOKUP(all_lmics1819[[Setting]:[Setting]],all_cause_mort[],20,FALSE))*0.95</f>
        <v>5.4430090399999992E-2</v>
      </c>
      <c r="AG9">
        <f>IF(VLOOKUP(all_lmics1819[[Setting]:[Setting]],all_cause_mort[],21,FALSE)="",VLOOKUP(all_lmics1819[[who_choice_region]:[who_choice_region]],missing[],25,FALSE),VLOOKUP(all_lmics1819[[Setting]:[Setting]],all_cause_mort[],21,FALSE))*0.95</f>
        <v>9.10573727E-2</v>
      </c>
      <c r="AH9">
        <f>IF(VLOOKUP(all_lmics1819[[Setting]:[Setting]],all_cause_mort[],22,FALSE)="",VLOOKUP(all_lmics1819[[who_choice_region]:[who_choice_region]],missing[],26,FALSE),VLOOKUP(all_lmics1819[[Setting]:[Setting]],all_cause_mort[],22,FALSE))*0.95</f>
        <v>0.14616434949999998</v>
      </c>
      <c r="AI9">
        <f>IF(VLOOKUP(all_lmics1819[[Setting]:[Setting]],all_cause_mort[],23,FALSE)="",VLOOKUP(all_lmics1819[[who_choice_region]:[who_choice_region]],missing[],27,FALSE),VLOOKUP(all_lmics1819[[Setting]:[Setting]],all_cause_mort[],23,FALSE))*0.95</f>
        <v>0.23373836100000001</v>
      </c>
      <c r="AJ9">
        <f>IF(VLOOKUP(all_lmics1819[[Setting]:[Setting]],all_cause_mort[],24,FALSE)="",VLOOKUP(all_lmics1819[[who_choice_region]:[who_choice_region]],missing[],28,FALSE),VLOOKUP(all_lmics1819[[Setting]:[Setting]],all_cause_mort[],24,FALSE))*0.95</f>
        <v>0.34809690050000003</v>
      </c>
      <c r="AK9">
        <f>IF(VLOOKUP(all_lmics1819[[Setting]:[Setting]],all_cause_mort[],25,FALSE)="",VLOOKUP(all_lmics1819[[who_choice_region]:[who_choice_region]],missing[],29,FALSE),VLOOKUP(all_lmics1819[[Setting]:[Setting]],all_cause_mort[],25,FALSE))*0.95</f>
        <v>0.4925191014460778</v>
      </c>
      <c r="AL9">
        <f>VLOOKUP(all_lmics1819[[worldbank_region]:[worldbank_region]],Table13[],2,FALSE)*0.95</f>
        <v>42.29888489999999</v>
      </c>
      <c r="AM9">
        <f>VLOOKUP(all_lmics1819[[worldbank_region]:[worldbank_region]],Table13[],3,FALSE)*0.95</f>
        <v>42.29888489999999</v>
      </c>
      <c r="AN9">
        <f>VLOOKUP(all_lmics1819[[worldbank_region]:[worldbank_region]],Table13[],4,FALSE)*0.95</f>
        <v>87.641301899999988</v>
      </c>
      <c r="AO9">
        <f>VLOOKUP(all_lmics1819[[worldbank_region]:[worldbank_region]],Table13[],5,FALSE)*0.95</f>
        <v>87.641301899999988</v>
      </c>
      <c r="AP9">
        <f>VLOOKUP(all_lmics1819[[worldbank_region]:[worldbank_region]],Table13[],6,FALSE)*0.95</f>
        <v>87.641301899999988</v>
      </c>
      <c r="AQ9">
        <f>VLOOKUP(all_lmics1819[[worldbank_region]:[worldbank_region]],Table14[],2,FALSE)*0.95</f>
        <v>6.0973773999999992</v>
      </c>
      <c r="AR9">
        <f>VLOOKUP(all_lmics1819[[worldbank_region]:[worldbank_region]],Table14[],3,FALSE)*0.95</f>
        <v>6.6840023999999998</v>
      </c>
      <c r="AS9">
        <f>VLOOKUP(all_lmics1819[[worldbank_region]:[worldbank_region]],Table14[],4,FALSE)*0.95</f>
        <v>9.9587293499999969</v>
      </c>
      <c r="AT9">
        <f>VLOOKUP(all_lmics1819[[worldbank_region]:[worldbank_region]],Table14[],5,FALSE)*0.95</f>
        <v>10.545354349999998</v>
      </c>
      <c r="AU9">
        <f>VLOOKUP(all_lmics1819[[worldbank_region]:[worldbank_region]],Table14[],6,FALSE)*0.95</f>
        <v>11.087093749999999</v>
      </c>
      <c r="AV9">
        <f>IFERROR(VLOOKUP(all_lmics1819[[Setting]:[Setting]],nFacSBA[],4,FALSE),VLOOKUP(all_lmics1819[[who_choice_region]:[who_choice_region]],missing[],30,FALSE))*0.95</f>
        <v>0.51184570107210414</v>
      </c>
      <c r="AW9">
        <f>VLOOKUP(all_lmics1819[[worldbank_region]:[worldbank_region]],hbe[],3)</f>
        <v>0.2</v>
      </c>
      <c r="AX9">
        <f>VLOOKUP(all_lmics1819[[worldbank_region]:[worldbank_region]],hbe[],6)</f>
        <v>0.75</v>
      </c>
      <c r="AY9">
        <f>VLOOKUP(all_lmics1819[[worldbank_region]:[worldbank_region]],hbe[],9)</f>
        <v>0.05</v>
      </c>
    </row>
    <row r="10" spans="1:51" x14ac:dyDescent="0.35">
      <c r="A10" s="12" t="s">
        <v>44</v>
      </c>
      <c r="B10" s="13" t="s">
        <v>36</v>
      </c>
      <c r="C10" s="14" t="s">
        <v>37</v>
      </c>
      <c r="D10">
        <f>VLOOKUP(all_lmics1819[[Setting]:[Setting]],populations[],9,FALSE)</f>
        <v>807610</v>
      </c>
      <c r="E10">
        <f>VLOOKUP(all_lmics1819[[Setting]:[Setting]],birthrate[],3,FALSE)</f>
        <v>1.8165000000000001E-2</v>
      </c>
      <c r="F10">
        <f>all_lmics1819[[#This Row],[2017_population]]*all_lmics1819[[#This Row],[2016_birthrate]]</f>
        <v>14670.235650000001</v>
      </c>
      <c r="G10">
        <f>VLOOKUP(all_lmics1819[[Setting]:[Setting]],birthdose[],4,FALSE)*0.95</f>
        <v>0.77899999999999991</v>
      </c>
      <c r="H10">
        <f>VLOOKUP(all_lmics1819[[Setting]:[Setting]],fullvax[],4,FALSE)*0.95</f>
        <v>0.93099999999999994</v>
      </c>
      <c r="I10">
        <f>IFERROR(VLOOKUP(all_lmics1819[[Setting]:[Setting]],prev[],3,FALSE),VLOOKUP(all_lmics1819[[who_choice_region]:[who_choice_region]],missing[],2,FALSE))</f>
        <v>5.8400000000000001E-2</v>
      </c>
      <c r="J10">
        <f>IFERROR(VLOOKUP(all_lmics1819[[Setting]:[Setting]],prev[],4,FALSE),VLOOKUP(all_lmics1819[[who_choice_region]:[who_choice_region]],missing[],3,FALSE))</f>
        <v>4.9200000000000001E-2</v>
      </c>
      <c r="K10">
        <f>IFERROR(VLOOKUP(all_lmics1819[[Setting]:[Setting]],prev[],5,FALSE),VLOOKUP(all_lmics1819[[who_choice_region]:[who_choice_region]],missing[],4,FALSE))</f>
        <v>6.93E-2</v>
      </c>
      <c r="L10">
        <f>IFERROR(VLOOKUP(all_lmics1819[[Setting]:[Setting]],prev[],7,FALSE),VLOOKUP(all_lmics1819[[who_choice_region]:[who_choice_region]],missing[],5,FALSE))</f>
        <v>5.5612244897959183E-3</v>
      </c>
      <c r="M10">
        <f>IFERROR(VLOOKUP(all_lmics1819[[Setting]:[Setting]],prev[],6,FALSE),0)</f>
        <v>727641</v>
      </c>
      <c r="N10">
        <f>IFERROR(VLOOKUP(all_lmics1819[[Setting]:[Setting]],SBA[],4,FALSE),VLOOKUP(all_lmics1819[[who_choice_region]:[who_choice_region]],missing[],6,FALSE))*0.95</f>
        <v>0.84549999999999992</v>
      </c>
      <c r="O10">
        <f>IFERROR(VLOOKUP(all_lmics1819[[Setting]:[Setting]], facility[], 3,FALSE),VLOOKUP(all_lmics1819[[who_choice_region]:[who_choice_region]],missing[],7,FALSE))*0.95</f>
        <v>0.70109999999999995</v>
      </c>
      <c r="P10">
        <f>IF(VLOOKUP(all_lmics1819[[Setting]:[Setting]],all_cause_mort[],4,FALSE)="",VLOOKUP(all_lmics1819[[who_choice_region]:[who_choice_region]],missing[],8,FALSE),VLOOKUP(all_lmics1819[[Setting]:[Setting]],all_cause_mort[],4,FALSE))*0.95</f>
        <v>2.3363312000000001E-2</v>
      </c>
      <c r="Q10">
        <f>IF(VLOOKUP(all_lmics1819[[Setting]:[Setting]],all_cause_mort[],5,FALSE)="",VLOOKUP(all_lmics1819[[who_choice_region]:[who_choice_region]],missing[],9,FALSE),VLOOKUP(all_lmics1819[[Setting]:[Setting]],all_cause_mort[],5,FALSE))*0.95</f>
        <v>1.3510680549999998E-3</v>
      </c>
      <c r="R10">
        <f>IF(VLOOKUP(all_lmics1819[[Setting]:[Setting]],all_cause_mort[],6,FALSE)="",VLOOKUP(all_lmics1819[[who_choice_region]:[who_choice_region]],missing[],10,FALSE),VLOOKUP(all_lmics1819[[Setting]:[Setting]],all_cause_mort[],6,FALSE))*0.95</f>
        <v>7.3638262950000003E-4</v>
      </c>
      <c r="S10">
        <f>IF(VLOOKUP(all_lmics1819[[Setting]:[Setting]],all_cause_mort[],7,FALSE)="",VLOOKUP(all_lmics1819[[who_choice_region]:[who_choice_region]],missing[],11,FALSE),VLOOKUP(all_lmics1819[[Setting]:[Setting]],all_cause_mort[],7,FALSE))*0.95</f>
        <v>5.9655808599999994E-4</v>
      </c>
      <c r="T10">
        <f>IF(VLOOKUP(all_lmics1819[[Setting]:[Setting]],all_cause_mort[],8,FALSE)="",VLOOKUP(all_lmics1819[[who_choice_region]:[who_choice_region]],missing[],12,FALSE),VLOOKUP(all_lmics1819[[Setting]:[Setting]],all_cause_mort[],8,FALSE))*0.95</f>
        <v>8.0751011749999996E-4</v>
      </c>
      <c r="U10">
        <f>IF(VLOOKUP(all_lmics1819[[Setting]:[Setting]],all_cause_mort[],9,FALSE)="",VLOOKUP(all_lmics1819[[who_choice_region]:[who_choice_region]],missing[],13,FALSE),VLOOKUP(all_lmics1819[[Setting]:[Setting]],all_cause_mort[],9,FALSE))*0.95</f>
        <v>1.31665991E-3</v>
      </c>
      <c r="V10">
        <f>IF(VLOOKUP(all_lmics1819[[Setting]:[Setting]],all_cause_mort[],10,FALSE)="",VLOOKUP(all_lmics1819[[who_choice_region]:[who_choice_region]],missing[],14,FALSE),VLOOKUP(all_lmics1819[[Setting]:[Setting]],all_cause_mort[],10,FALSE))*0.95</f>
        <v>1.9084093050000001E-3</v>
      </c>
      <c r="W10">
        <f>IF(VLOOKUP(all_lmics1819[[Setting]:[Setting]],all_cause_mort[],11,FALSE)="",VLOOKUP(all_lmics1819[[who_choice_region]:[who_choice_region]],missing[],15,FALSE),VLOOKUP(all_lmics1819[[Setting]:[Setting]],all_cause_mort[],11,FALSE))*0.95</f>
        <v>2.7720776749999999E-3</v>
      </c>
      <c r="X10">
        <f>IF(VLOOKUP(all_lmics1819[[Setting]:[Setting]],all_cause_mort[],12,FALSE)="",VLOOKUP(all_lmics1819[[who_choice_region]:[who_choice_region]],missing[],16,FALSE),VLOOKUP(all_lmics1819[[Setting]:[Setting]],all_cause_mort[],12,FALSE))*0.95</f>
        <v>3.7787964749999995E-3</v>
      </c>
      <c r="Y10">
        <f>IF(VLOOKUP(all_lmics1819[[Setting]:[Setting]],all_cause_mort[],13,FALSE)="",VLOOKUP(all_lmics1819[[who_choice_region]:[who_choice_region]],missing[],17,FALSE),VLOOKUP(all_lmics1819[[Setting]:[Setting]],all_cause_mort[],13,FALSE))*0.95</f>
        <v>4.9559527799999999E-3</v>
      </c>
      <c r="Z10">
        <f>IF(VLOOKUP(all_lmics1819[[Setting]:[Setting]],all_cause_mort[],14,FALSE)="",VLOOKUP(all_lmics1819[[who_choice_region]:[who_choice_region]],missing[],18,FALSE),VLOOKUP(all_lmics1819[[Setting]:[Setting]],all_cause_mort[],14,FALSE))*0.95</f>
        <v>6.4584320249999995E-3</v>
      </c>
      <c r="AA10">
        <f>IF(VLOOKUP(all_lmics1819[[Setting]:[Setting]],all_cause_mort[],15,FALSE)="",VLOOKUP(all_lmics1819[[who_choice_region]:[who_choice_region]],missing[],19,FALSE),VLOOKUP(all_lmics1819[[Setting]:[Setting]],all_cause_mort[],15,FALSE))*0.95</f>
        <v>8.5365566450000003E-3</v>
      </c>
      <c r="AB10">
        <f>IF(VLOOKUP(all_lmics1819[[Setting]:[Setting]],all_cause_mort[],16,FALSE)="",VLOOKUP(all_lmics1819[[who_choice_region]:[who_choice_region]],missing[],20,FALSE),VLOOKUP(all_lmics1819[[Setting]:[Setting]],all_cause_mort[],16,FALSE))*0.95</f>
        <v>1.1651415599999999E-2</v>
      </c>
      <c r="AC10">
        <f>IF(VLOOKUP(all_lmics1819[[Setting]:[Setting]],all_cause_mort[],17,FALSE)="",VLOOKUP(all_lmics1819[[who_choice_region]:[who_choice_region]],missing[],21,FALSE),VLOOKUP(all_lmics1819[[Setting]:[Setting]],all_cause_mort[],17,FALSE))*0.95</f>
        <v>1.5793476399999999E-2</v>
      </c>
      <c r="AD10">
        <f>IF(VLOOKUP(all_lmics1819[[Setting]:[Setting]],all_cause_mort[],18,FALSE)="",VLOOKUP(all_lmics1819[[who_choice_region]:[who_choice_region]],missing[],22,FALSE),VLOOKUP(all_lmics1819[[Setting]:[Setting]],all_cause_mort[],18,FALSE))*0.95</f>
        <v>2.2457744450000001E-2</v>
      </c>
      <c r="AE10">
        <f>IF(VLOOKUP(all_lmics1819[[Setting]:[Setting]],all_cause_mort[],19,FALSE)="",VLOOKUP(all_lmics1819[[who_choice_region]:[who_choice_region]],missing[],23,FALSE),VLOOKUP(all_lmics1819[[Setting]:[Setting]],all_cause_mort[],19,FALSE))*0.95</f>
        <v>3.2568885149999997E-2</v>
      </c>
      <c r="AF10">
        <f>IF(VLOOKUP(all_lmics1819[[Setting]:[Setting]],all_cause_mort[],20,FALSE)="",VLOOKUP(all_lmics1819[[who_choice_region]:[who_choice_region]],missing[],24,FALSE),VLOOKUP(all_lmics1819[[Setting]:[Setting]],all_cause_mort[],20,FALSE))*0.95</f>
        <v>4.8292826299999994E-2</v>
      </c>
      <c r="AG10">
        <f>IF(VLOOKUP(all_lmics1819[[Setting]:[Setting]],all_cause_mort[],21,FALSE)="",VLOOKUP(all_lmics1819[[who_choice_region]:[who_choice_region]],missing[],25,FALSE),VLOOKUP(all_lmics1819[[Setting]:[Setting]],all_cause_mort[],21,FALSE))*0.95</f>
        <v>7.2195000150000008E-2</v>
      </c>
      <c r="AH10">
        <f>IF(VLOOKUP(all_lmics1819[[Setting]:[Setting]],all_cause_mort[],22,FALSE)="",VLOOKUP(all_lmics1819[[who_choice_region]:[who_choice_region]],missing[],26,FALSE),VLOOKUP(all_lmics1819[[Setting]:[Setting]],all_cause_mort[],22,FALSE))*0.95</f>
        <v>0.102091142</v>
      </c>
      <c r="AI10">
        <f>IF(VLOOKUP(all_lmics1819[[Setting]:[Setting]],all_cause_mort[],23,FALSE)="",VLOOKUP(all_lmics1819[[who_choice_region]:[who_choice_region]],missing[],27,FALSE),VLOOKUP(all_lmics1819[[Setting]:[Setting]],all_cause_mort[],23,FALSE))*0.95</f>
        <v>0.14351027749999998</v>
      </c>
      <c r="AJ10">
        <f>IF(VLOOKUP(all_lmics1819[[Setting]:[Setting]],all_cause_mort[],24,FALSE)="",VLOOKUP(all_lmics1819[[who_choice_region]:[who_choice_region]],missing[],28,FALSE),VLOOKUP(all_lmics1819[[Setting]:[Setting]],all_cause_mort[],24,FALSE))*0.95</f>
        <v>0.19494199499999998</v>
      </c>
      <c r="AK10">
        <f>IF(VLOOKUP(all_lmics1819[[Setting]:[Setting]],all_cause_mort[],25,FALSE)="",VLOOKUP(all_lmics1819[[who_choice_region]:[who_choice_region]],missing[],29,FALSE),VLOOKUP(all_lmics1819[[Setting]:[Setting]],all_cause_mort[],25,FALSE))*0.95</f>
        <v>0.26739465565338449</v>
      </c>
      <c r="AL10">
        <f>VLOOKUP(all_lmics1819[[worldbank_region]:[worldbank_region]],Table13[],2,FALSE)*0.95</f>
        <v>54.493717599999997</v>
      </c>
      <c r="AM10">
        <f>VLOOKUP(all_lmics1819[[worldbank_region]:[worldbank_region]],Table13[],3,FALSE)*0.95</f>
        <v>54.493717599999997</v>
      </c>
      <c r="AN10">
        <f>VLOOKUP(all_lmics1819[[worldbank_region]:[worldbank_region]],Table13[],4,FALSE)*0.95</f>
        <v>99.836134599999994</v>
      </c>
      <c r="AO10">
        <f>VLOOKUP(all_lmics1819[[worldbank_region]:[worldbank_region]],Table13[],5,FALSE)*0.95</f>
        <v>99.836134599999994</v>
      </c>
      <c r="AP10">
        <f>VLOOKUP(all_lmics1819[[worldbank_region]:[worldbank_region]],Table13[],6,FALSE)*0.95</f>
        <v>99.836134599999994</v>
      </c>
      <c r="AQ10">
        <f>VLOOKUP(all_lmics1819[[worldbank_region]:[worldbank_region]],Table14[],2,FALSE)*0.95</f>
        <v>0.91095024999999996</v>
      </c>
      <c r="AR10">
        <f>VLOOKUP(all_lmics1819[[worldbank_region]:[worldbank_region]],Table14[],3,FALSE)*0.95</f>
        <v>1.4975752500000001</v>
      </c>
      <c r="AS10">
        <f>VLOOKUP(all_lmics1819[[worldbank_region]:[worldbank_region]],Table14[],4,FALSE)*0.95</f>
        <v>31.377327699999995</v>
      </c>
      <c r="AT10">
        <f>VLOOKUP(all_lmics1819[[worldbank_region]:[worldbank_region]],Table14[],5,FALSE)*0.95</f>
        <v>31.963952699999997</v>
      </c>
      <c r="AU10">
        <f>VLOOKUP(all_lmics1819[[worldbank_region]:[worldbank_region]],Table14[],6,FALSE)*0.95</f>
        <v>32.505692099999997</v>
      </c>
      <c r="AV10">
        <f>IFERROR(VLOOKUP(all_lmics1819[[Setting]:[Setting]],nFacSBA[],4,FALSE),VLOOKUP(all_lmics1819[[who_choice_region]:[who_choice_region]],missing[],30,FALSE))*0.95</f>
        <v>5.6919596008679421E-2</v>
      </c>
      <c r="AW10">
        <f>VLOOKUP(all_lmics1819[[worldbank_region]:[worldbank_region]],hbe[],3)</f>
        <v>0.2</v>
      </c>
      <c r="AX10">
        <f>VLOOKUP(all_lmics1819[[worldbank_region]:[worldbank_region]],hbe[],6)</f>
        <v>0.75</v>
      </c>
      <c r="AY10">
        <f>VLOOKUP(all_lmics1819[[worldbank_region]:[worldbank_region]],hbe[],9)</f>
        <v>0.05</v>
      </c>
    </row>
    <row r="11" spans="1:51" x14ac:dyDescent="0.35">
      <c r="A11" s="12" t="s">
        <v>50</v>
      </c>
      <c r="B11" s="13" t="s">
        <v>22</v>
      </c>
      <c r="C11" s="14" t="s">
        <v>383</v>
      </c>
      <c r="D11">
        <f>VLOOKUP(all_lmics1819[[Setting]:[Setting]],populations[],9,FALSE)</f>
        <v>209288278</v>
      </c>
      <c r="E11">
        <f>VLOOKUP(all_lmics1819[[Setting]:[Setting]],birthrate[],3,FALSE)</f>
        <v>1.4163E-2</v>
      </c>
      <c r="F11">
        <f>all_lmics1819[[#This Row],[2017_population]]*all_lmics1819[[#This Row],[2016_birthrate]]</f>
        <v>2964149.8813140001</v>
      </c>
      <c r="G11">
        <f>VLOOKUP(all_lmics1819[[Setting]:[Setting]],birthdose[],4,FALSE)*0.95</f>
        <v>0.76</v>
      </c>
      <c r="H11">
        <f>VLOOKUP(all_lmics1819[[Setting]:[Setting]],fullvax[],4,FALSE)*0.95</f>
        <v>0.88349999999999995</v>
      </c>
      <c r="I11">
        <f>IFERROR(VLOOKUP(all_lmics1819[[Setting]:[Setting]],prev[],3,FALSE),VLOOKUP(all_lmics1819[[who_choice_region]:[who_choice_region]],missing[],2,FALSE))</f>
        <v>4.0000000000000001E-3</v>
      </c>
      <c r="J11">
        <f>IFERROR(VLOOKUP(all_lmics1819[[Setting]:[Setting]],prev[],4,FALSE),VLOOKUP(all_lmics1819[[who_choice_region]:[who_choice_region]],missing[],3,FALSE))</f>
        <v>2E-3</v>
      </c>
      <c r="K11">
        <f>IFERROR(VLOOKUP(all_lmics1819[[Setting]:[Setting]],prev[],5,FALSE),VLOOKUP(all_lmics1819[[who_choice_region]:[who_choice_region]],missing[],4,FALSE))</f>
        <v>6.0000000000000001E-3</v>
      </c>
      <c r="L11">
        <f>IFERROR(VLOOKUP(all_lmics1819[[Setting]:[Setting]],prev[],7,FALSE),VLOOKUP(all_lmics1819[[who_choice_region]:[who_choice_region]],missing[],5,FALSE))</f>
        <v>1.0204081632653062E-3</v>
      </c>
      <c r="M11">
        <f>IFERROR(VLOOKUP(all_lmics1819[[Setting]:[Setting]],prev[],6,FALSE),0)</f>
        <v>209288278</v>
      </c>
      <c r="N11">
        <f>IFERROR(VLOOKUP(all_lmics1819[[Setting]:[Setting]],SBA[],4,FALSE),VLOOKUP(all_lmics1819[[who_choice_region]:[who_choice_region]],missing[],6,FALSE))*0.95</f>
        <v>0.9414499999999999</v>
      </c>
      <c r="O11">
        <f>IFERROR(VLOOKUP(all_lmics1819[[Setting]:[Setting]], facility[], 3,FALSE),VLOOKUP(all_lmics1819[[who_choice_region]:[who_choice_region]],missing[],7,FALSE))*0.95</f>
        <v>0.9414499999999999</v>
      </c>
      <c r="P11">
        <f>IF(VLOOKUP(all_lmics1819[[Setting]:[Setting]],all_cause_mort[],4,FALSE)="",VLOOKUP(all_lmics1819[[who_choice_region]:[who_choice_region]],missing[],8,FALSE),VLOOKUP(all_lmics1819[[Setting]:[Setting]],all_cause_mort[],4,FALSE))*0.95</f>
        <v>1.2515417799999999E-2</v>
      </c>
      <c r="Q11">
        <f>IF(VLOOKUP(all_lmics1819[[Setting]:[Setting]],all_cause_mort[],5,FALSE)="",VLOOKUP(all_lmics1819[[who_choice_region]:[who_choice_region]],missing[],9,FALSE),VLOOKUP(all_lmics1819[[Setting]:[Setting]],all_cause_mort[],5,FALSE))*0.95</f>
        <v>5.3794115750000003E-4</v>
      </c>
      <c r="R11">
        <f>IF(VLOOKUP(all_lmics1819[[Setting]:[Setting]],all_cause_mort[],6,FALSE)="",VLOOKUP(all_lmics1819[[who_choice_region]:[who_choice_region]],missing[],10,FALSE),VLOOKUP(all_lmics1819[[Setting]:[Setting]],all_cause_mort[],6,FALSE))*0.95</f>
        <v>2.1487444849999999E-4</v>
      </c>
      <c r="S11">
        <f>IF(VLOOKUP(all_lmics1819[[Setting]:[Setting]],all_cause_mort[],7,FALSE)="",VLOOKUP(all_lmics1819[[who_choice_region]:[who_choice_region]],missing[],11,FALSE),VLOOKUP(all_lmics1819[[Setting]:[Setting]],all_cause_mort[],7,FALSE))*0.95</f>
        <v>2.9525050949999996E-4</v>
      </c>
      <c r="T11">
        <f>IF(VLOOKUP(all_lmics1819[[Setting]:[Setting]],all_cause_mort[],8,FALSE)="",VLOOKUP(all_lmics1819[[who_choice_region]:[who_choice_region]],missing[],12,FALSE),VLOOKUP(all_lmics1819[[Setting]:[Setting]],all_cause_mort[],8,FALSE))*0.95</f>
        <v>1.031657725E-3</v>
      </c>
      <c r="U11">
        <f>IF(VLOOKUP(all_lmics1819[[Setting]:[Setting]],all_cause_mort[],9,FALSE)="",VLOOKUP(all_lmics1819[[who_choice_region]:[who_choice_region]],missing[],13,FALSE),VLOOKUP(all_lmics1819[[Setting]:[Setting]],all_cause_mort[],9,FALSE))*0.95</f>
        <v>1.5704299899999999E-3</v>
      </c>
      <c r="V11">
        <f>IF(VLOOKUP(all_lmics1819[[Setting]:[Setting]],all_cause_mort[],10,FALSE)="",VLOOKUP(all_lmics1819[[who_choice_region]:[who_choice_region]],missing[],14,FALSE),VLOOKUP(all_lmics1819[[Setting]:[Setting]],all_cause_mort[],10,FALSE))*0.95</f>
        <v>1.5010931E-3</v>
      </c>
      <c r="W11">
        <f>IF(VLOOKUP(all_lmics1819[[Setting]:[Setting]],all_cause_mort[],11,FALSE)="",VLOOKUP(all_lmics1819[[who_choice_region]:[who_choice_region]],missing[],15,FALSE),VLOOKUP(all_lmics1819[[Setting]:[Setting]],all_cause_mort[],11,FALSE))*0.95</f>
        <v>1.7321418399999999E-3</v>
      </c>
      <c r="X11">
        <f>IF(VLOOKUP(all_lmics1819[[Setting]:[Setting]],all_cause_mort[],12,FALSE)="",VLOOKUP(all_lmics1819[[who_choice_region]:[who_choice_region]],missing[],16,FALSE),VLOOKUP(all_lmics1819[[Setting]:[Setting]],all_cause_mort[],12,FALSE))*0.95</f>
        <v>2.1903105950000002E-3</v>
      </c>
      <c r="Y11">
        <f>IF(VLOOKUP(all_lmics1819[[Setting]:[Setting]],all_cause_mort[],13,FALSE)="",VLOOKUP(all_lmics1819[[who_choice_region]:[who_choice_region]],missing[],17,FALSE),VLOOKUP(all_lmics1819[[Setting]:[Setting]],all_cause_mort[],13,FALSE))*0.95</f>
        <v>2.8215151999999998E-3</v>
      </c>
      <c r="Z11">
        <f>IF(VLOOKUP(all_lmics1819[[Setting]:[Setting]],all_cause_mort[],14,FALSE)="",VLOOKUP(all_lmics1819[[who_choice_region]:[who_choice_region]],missing[],18,FALSE),VLOOKUP(all_lmics1819[[Setting]:[Setting]],all_cause_mort[],14,FALSE))*0.95</f>
        <v>4.0823494049999996E-3</v>
      </c>
      <c r="AA11">
        <f>IF(VLOOKUP(all_lmics1819[[Setting]:[Setting]],all_cause_mort[],15,FALSE)="",VLOOKUP(all_lmics1819[[who_choice_region]:[who_choice_region]],missing[],19,FALSE),VLOOKUP(all_lmics1819[[Setting]:[Setting]],all_cause_mort[],15,FALSE))*0.95</f>
        <v>5.8455681199999993E-3</v>
      </c>
      <c r="AB11">
        <f>IF(VLOOKUP(all_lmics1819[[Setting]:[Setting]],all_cause_mort[],16,FALSE)="",VLOOKUP(all_lmics1819[[who_choice_region]:[who_choice_region]],missing[],20,FALSE),VLOOKUP(all_lmics1819[[Setting]:[Setting]],all_cause_mort[],16,FALSE))*0.95</f>
        <v>8.3119053000000002E-3</v>
      </c>
      <c r="AC11">
        <f>IF(VLOOKUP(all_lmics1819[[Setting]:[Setting]],all_cause_mort[],17,FALSE)="",VLOOKUP(all_lmics1819[[who_choice_region]:[who_choice_region]],missing[],21,FALSE),VLOOKUP(all_lmics1819[[Setting]:[Setting]],all_cause_mort[],17,FALSE))*0.95</f>
        <v>1.24973963E-2</v>
      </c>
      <c r="AD11">
        <f>IF(VLOOKUP(all_lmics1819[[Setting]:[Setting]],all_cause_mort[],18,FALSE)="",VLOOKUP(all_lmics1819[[who_choice_region]:[who_choice_region]],missing[],22,FALSE),VLOOKUP(all_lmics1819[[Setting]:[Setting]],all_cause_mort[],18,FALSE))*0.95</f>
        <v>1.879671615E-2</v>
      </c>
      <c r="AE11">
        <f>IF(VLOOKUP(all_lmics1819[[Setting]:[Setting]],all_cause_mort[],19,FALSE)="",VLOOKUP(all_lmics1819[[who_choice_region]:[who_choice_region]],missing[],23,FALSE),VLOOKUP(all_lmics1819[[Setting]:[Setting]],all_cause_mort[],19,FALSE))*0.95</f>
        <v>2.7269939999999999E-2</v>
      </c>
      <c r="AF11">
        <f>IF(VLOOKUP(all_lmics1819[[Setting]:[Setting]],all_cause_mort[],20,FALSE)="",VLOOKUP(all_lmics1819[[who_choice_region]:[who_choice_region]],missing[],24,FALSE),VLOOKUP(all_lmics1819[[Setting]:[Setting]],all_cause_mort[],20,FALSE))*0.95</f>
        <v>4.2279571399999993E-2</v>
      </c>
      <c r="AG11">
        <f>IF(VLOOKUP(all_lmics1819[[Setting]:[Setting]],all_cause_mort[],21,FALSE)="",VLOOKUP(all_lmics1819[[who_choice_region]:[who_choice_region]],missing[],25,FALSE),VLOOKUP(all_lmics1819[[Setting]:[Setting]],all_cause_mort[],21,FALSE))*0.95</f>
        <v>6.4666128549999993E-2</v>
      </c>
      <c r="AH11">
        <f>IF(VLOOKUP(all_lmics1819[[Setting]:[Setting]],all_cause_mort[],22,FALSE)="",VLOOKUP(all_lmics1819[[who_choice_region]:[who_choice_region]],missing[],26,FALSE),VLOOKUP(all_lmics1819[[Setting]:[Setting]],all_cause_mort[],22,FALSE))*0.95</f>
        <v>9.6827648000000002E-2</v>
      </c>
      <c r="AI11">
        <f>IF(VLOOKUP(all_lmics1819[[Setting]:[Setting]],all_cause_mort[],23,FALSE)="",VLOOKUP(all_lmics1819[[who_choice_region]:[who_choice_region]],missing[],27,FALSE),VLOOKUP(all_lmics1819[[Setting]:[Setting]],all_cause_mort[],23,FALSE))*0.95</f>
        <v>0.14034005149999998</v>
      </c>
      <c r="AJ11">
        <f>IF(VLOOKUP(all_lmics1819[[Setting]:[Setting]],all_cause_mort[],24,FALSE)="",VLOOKUP(all_lmics1819[[who_choice_region]:[who_choice_region]],missing[],28,FALSE),VLOOKUP(all_lmics1819[[Setting]:[Setting]],all_cause_mort[],24,FALSE))*0.95</f>
        <v>0.21250855899999999</v>
      </c>
      <c r="AK11">
        <f>IF(VLOOKUP(all_lmics1819[[Setting]:[Setting]],all_cause_mort[],25,FALSE)="",VLOOKUP(all_lmics1819[[who_choice_region]:[who_choice_region]],missing[],29,FALSE),VLOOKUP(all_lmics1819[[Setting]:[Setting]],all_cause_mort[],25,FALSE))*0.95</f>
        <v>0.31864365938696743</v>
      </c>
      <c r="AL11">
        <f>VLOOKUP(all_lmics1819[[worldbank_region]:[worldbank_region]],Table13[],2,FALSE)*0.95</f>
        <v>82.51698764999999</v>
      </c>
      <c r="AM11">
        <f>VLOOKUP(all_lmics1819[[worldbank_region]:[worldbank_region]],Table13[],3,FALSE)*0.95</f>
        <v>82.51698764999999</v>
      </c>
      <c r="AN11">
        <f>VLOOKUP(all_lmics1819[[worldbank_region]:[worldbank_region]],Table13[],4,FALSE)*0.95</f>
        <v>127.85940464999999</v>
      </c>
      <c r="AO11">
        <f>VLOOKUP(all_lmics1819[[worldbank_region]:[worldbank_region]],Table13[],5,FALSE)*0.95</f>
        <v>127.85940464999999</v>
      </c>
      <c r="AP11">
        <f>VLOOKUP(all_lmics1819[[worldbank_region]:[worldbank_region]],Table13[],6,FALSE)*0.95</f>
        <v>127.85940464999999</v>
      </c>
      <c r="AQ11">
        <f>VLOOKUP(all_lmics1819[[worldbank_region]:[worldbank_region]],Table14[],2,FALSE)*0.95</f>
        <v>1.4389099000000001</v>
      </c>
      <c r="AR11">
        <f>VLOOKUP(all_lmics1819[[worldbank_region]:[worldbank_region]],Table14[],3,FALSE)*0.95</f>
        <v>2.0255348999999998</v>
      </c>
      <c r="AS11">
        <f>VLOOKUP(all_lmics1819[[worldbank_region]:[worldbank_region]],Table14[],4,FALSE)*0.95</f>
        <v>1.4596142000000001</v>
      </c>
      <c r="AT11">
        <f>VLOOKUP(all_lmics1819[[worldbank_region]:[worldbank_region]],Table14[],5,FALSE)*0.95</f>
        <v>2.0462391999999996</v>
      </c>
      <c r="AU11">
        <f>VLOOKUP(all_lmics1819[[worldbank_region]:[worldbank_region]],Table14[],6,FALSE)*0.95</f>
        <v>2.5879785999999996</v>
      </c>
      <c r="AV11">
        <f>IFERROR(VLOOKUP(all_lmics1819[[Setting]:[Setting]],nFacSBA[],4,FALSE),VLOOKUP(all_lmics1819[[who_choice_region]:[who_choice_region]],missing[],30,FALSE))*0.95</f>
        <v>0.18970339733170249</v>
      </c>
      <c r="AW11">
        <f>VLOOKUP(all_lmics1819[[worldbank_region]:[worldbank_region]],hbe[],3)</f>
        <v>0.2</v>
      </c>
      <c r="AX11">
        <f>VLOOKUP(all_lmics1819[[worldbank_region]:[worldbank_region]],hbe[],6)</f>
        <v>0.75</v>
      </c>
      <c r="AY11">
        <f>VLOOKUP(all_lmics1819[[worldbank_region]:[worldbank_region]],hbe[],9)</f>
        <v>0.05</v>
      </c>
    </row>
    <row r="12" spans="1:51" x14ac:dyDescent="0.35">
      <c r="A12" s="12" t="s">
        <v>52</v>
      </c>
      <c r="B12" s="13" t="s">
        <v>10</v>
      </c>
      <c r="C12" s="14" t="s">
        <v>11</v>
      </c>
      <c r="D12">
        <f>VLOOKUP(all_lmics1819[[Setting]:[Setting]],populations[],9,FALSE)</f>
        <v>7075991</v>
      </c>
      <c r="E12">
        <f>VLOOKUP(all_lmics1819[[Setting]:[Setting]],birthrate[],3,FALSE)</f>
        <v>9.1000000000000004E-3</v>
      </c>
      <c r="F12">
        <f>all_lmics1819[[#This Row],[2017_population]]*all_lmics1819[[#This Row],[2016_birthrate]]</f>
        <v>64391.518100000001</v>
      </c>
      <c r="G12">
        <f>VLOOKUP(all_lmics1819[[Setting]:[Setting]],birthdose[],4,FALSE)*0.95</f>
        <v>0.92149999999999999</v>
      </c>
      <c r="H12">
        <f>VLOOKUP(all_lmics1819[[Setting]:[Setting]],fullvax[],4,FALSE)*0.95</f>
        <v>0.874</v>
      </c>
      <c r="I12">
        <f>IFERROR(VLOOKUP(all_lmics1819[[Setting]:[Setting]],prev[],3,FALSE),VLOOKUP(all_lmics1819[[who_choice_region]:[who_choice_region]],missing[],2,FALSE))</f>
        <v>3.2000000000000001E-2</v>
      </c>
      <c r="J12">
        <f>IFERROR(VLOOKUP(all_lmics1819[[Setting]:[Setting]],prev[],4,FALSE),VLOOKUP(all_lmics1819[[who_choice_region]:[who_choice_region]],missing[],3,FALSE))</f>
        <v>1.9E-2</v>
      </c>
      <c r="K12">
        <f>IFERROR(VLOOKUP(all_lmics1819[[Setting]:[Setting]],prev[],5,FALSE),VLOOKUP(all_lmics1819[[who_choice_region]:[who_choice_region]],missing[],4,FALSE))</f>
        <v>5.6000000000000001E-2</v>
      </c>
      <c r="L12">
        <f>IFERROR(VLOOKUP(all_lmics1819[[Setting]:[Setting]],prev[],7,FALSE),VLOOKUP(all_lmics1819[[who_choice_region]:[who_choice_region]],missing[],5,FALSE))</f>
        <v>1.2244897959183675E-2</v>
      </c>
      <c r="M12">
        <f>IFERROR(VLOOKUP(all_lmics1819[[Setting]:[Setting]],prev[],6,FALSE),0)</f>
        <v>7075991</v>
      </c>
      <c r="N12">
        <f>IFERROR(VLOOKUP(all_lmics1819[[Setting]:[Setting]],SBA[],4,FALSE),VLOOKUP(all_lmics1819[[who_choice_region]:[who_choice_region]],missing[],6,FALSE))*0.95</f>
        <v>0.94809999999999994</v>
      </c>
      <c r="O12">
        <f>IFERROR(VLOOKUP(all_lmics1819[[Setting]:[Setting]], facility[], 3,FALSE),VLOOKUP(all_lmics1819[[who_choice_region]:[who_choice_region]],missing[],7,FALSE))*0.95</f>
        <v>0.89109999999999989</v>
      </c>
      <c r="P12">
        <f>IF(VLOOKUP(all_lmics1819[[Setting]:[Setting]],all_cause_mort[],4,FALSE)="",VLOOKUP(all_lmics1819[[who_choice_region]:[who_choice_region]],missing[],8,FALSE),VLOOKUP(all_lmics1819[[Setting]:[Setting]],all_cause_mort[],4,FALSE))*0.95</f>
        <v>6.0081363950000004E-3</v>
      </c>
      <c r="Q12">
        <f>IF(VLOOKUP(all_lmics1819[[Setting]:[Setting]],all_cause_mort[],5,FALSE)="",VLOOKUP(all_lmics1819[[who_choice_region]:[who_choice_region]],missing[],9,FALSE),VLOOKUP(all_lmics1819[[Setting]:[Setting]],all_cause_mort[],5,FALSE))*0.95</f>
        <v>2.7968307799999999E-4</v>
      </c>
      <c r="R12">
        <f>IF(VLOOKUP(all_lmics1819[[Setting]:[Setting]],all_cause_mort[],6,FALSE)="",VLOOKUP(all_lmics1819[[who_choice_region]:[who_choice_region]],missing[],10,FALSE),VLOOKUP(all_lmics1819[[Setting]:[Setting]],all_cause_mort[],6,FALSE))*0.95</f>
        <v>1.3494385200000001E-4</v>
      </c>
      <c r="S12">
        <f>IF(VLOOKUP(all_lmics1819[[Setting]:[Setting]],all_cause_mort[],7,FALSE)="",VLOOKUP(all_lmics1819[[who_choice_region]:[who_choice_region]],missing[],11,FALSE),VLOOKUP(all_lmics1819[[Setting]:[Setting]],all_cause_mort[],7,FALSE))*0.95</f>
        <v>1.600101435E-4</v>
      </c>
      <c r="T12">
        <f>IF(VLOOKUP(all_lmics1819[[Setting]:[Setting]],all_cause_mort[],8,FALSE)="",VLOOKUP(all_lmics1819[[who_choice_region]:[who_choice_region]],missing[],12,FALSE),VLOOKUP(all_lmics1819[[Setting]:[Setting]],all_cause_mort[],8,FALSE))*0.95</f>
        <v>4.1957392200000002E-4</v>
      </c>
      <c r="U12">
        <f>IF(VLOOKUP(all_lmics1819[[Setting]:[Setting]],all_cause_mort[],9,FALSE)="",VLOOKUP(all_lmics1819[[who_choice_region]:[who_choice_region]],missing[],13,FALSE),VLOOKUP(all_lmics1819[[Setting]:[Setting]],all_cause_mort[],9,FALSE))*0.95</f>
        <v>5.5402534150000003E-4</v>
      </c>
      <c r="V12">
        <f>IF(VLOOKUP(all_lmics1819[[Setting]:[Setting]],all_cause_mort[],10,FALSE)="",VLOOKUP(all_lmics1819[[who_choice_region]:[who_choice_region]],missing[],14,FALSE),VLOOKUP(all_lmics1819[[Setting]:[Setting]],all_cause_mort[],10,FALSE))*0.95</f>
        <v>6.4720043899999999E-4</v>
      </c>
      <c r="W12">
        <f>IF(VLOOKUP(all_lmics1819[[Setting]:[Setting]],all_cause_mort[],11,FALSE)="",VLOOKUP(all_lmics1819[[who_choice_region]:[who_choice_region]],missing[],15,FALSE),VLOOKUP(all_lmics1819[[Setting]:[Setting]],all_cause_mort[],11,FALSE))*0.95</f>
        <v>9.3037354150000008E-4</v>
      </c>
      <c r="X12">
        <f>IF(VLOOKUP(all_lmics1819[[Setting]:[Setting]],all_cause_mort[],12,FALSE)="",VLOOKUP(all_lmics1819[[who_choice_region]:[who_choice_region]],missing[],16,FALSE),VLOOKUP(all_lmics1819[[Setting]:[Setting]],all_cause_mort[],12,FALSE))*0.95</f>
        <v>1.383890175E-3</v>
      </c>
      <c r="Y12">
        <f>IF(VLOOKUP(all_lmics1819[[Setting]:[Setting]],all_cause_mort[],13,FALSE)="",VLOOKUP(all_lmics1819[[who_choice_region]:[who_choice_region]],missing[],17,FALSE),VLOOKUP(all_lmics1819[[Setting]:[Setting]],all_cause_mort[],13,FALSE))*0.95</f>
        <v>2.323960205E-3</v>
      </c>
      <c r="Z12">
        <f>IF(VLOOKUP(all_lmics1819[[Setting]:[Setting]],all_cause_mort[],14,FALSE)="",VLOOKUP(all_lmics1819[[who_choice_region]:[who_choice_region]],missing[],18,FALSE),VLOOKUP(all_lmics1819[[Setting]:[Setting]],all_cause_mort[],14,FALSE))*0.95</f>
        <v>4.1344081700000002E-3</v>
      </c>
      <c r="AA12">
        <f>IF(VLOOKUP(all_lmics1819[[Setting]:[Setting]],all_cause_mort[],15,FALSE)="",VLOOKUP(all_lmics1819[[who_choice_region]:[who_choice_region]],missing[],19,FALSE),VLOOKUP(all_lmics1819[[Setting]:[Setting]],all_cause_mort[],15,FALSE))*0.95</f>
        <v>6.8379590200000001E-3</v>
      </c>
      <c r="AB12">
        <f>IF(VLOOKUP(all_lmics1819[[Setting]:[Setting]],all_cause_mort[],16,FALSE)="",VLOOKUP(all_lmics1819[[who_choice_region]:[who_choice_region]],missing[],20,FALSE),VLOOKUP(all_lmics1819[[Setting]:[Setting]],all_cause_mort[],16,FALSE))*0.95</f>
        <v>1.061939925E-2</v>
      </c>
      <c r="AC12">
        <f>IF(VLOOKUP(all_lmics1819[[Setting]:[Setting]],all_cause_mort[],17,FALSE)="",VLOOKUP(all_lmics1819[[who_choice_region]:[who_choice_region]],missing[],21,FALSE),VLOOKUP(all_lmics1819[[Setting]:[Setting]],all_cause_mort[],17,FALSE))*0.95</f>
        <v>1.549187135E-2</v>
      </c>
      <c r="AD12">
        <f>IF(VLOOKUP(all_lmics1819[[Setting]:[Setting]],all_cause_mort[],18,FALSE)="",VLOOKUP(all_lmics1819[[who_choice_region]:[who_choice_region]],missing[],22,FALSE),VLOOKUP(all_lmics1819[[Setting]:[Setting]],all_cause_mort[],18,FALSE))*0.95</f>
        <v>2.2050409149999999E-2</v>
      </c>
      <c r="AE12">
        <f>IF(VLOOKUP(all_lmics1819[[Setting]:[Setting]],all_cause_mort[],19,FALSE)="",VLOOKUP(all_lmics1819[[who_choice_region]:[who_choice_region]],missing[],23,FALSE),VLOOKUP(all_lmics1819[[Setting]:[Setting]],all_cause_mort[],19,FALSE))*0.95</f>
        <v>3.2161149899999998E-2</v>
      </c>
      <c r="AF12">
        <f>IF(VLOOKUP(all_lmics1819[[Setting]:[Setting]],all_cause_mort[],20,FALSE)="",VLOOKUP(all_lmics1819[[who_choice_region]:[who_choice_region]],missing[],24,FALSE),VLOOKUP(all_lmics1819[[Setting]:[Setting]],all_cause_mort[],20,FALSE))*0.95</f>
        <v>5.1457537549999995E-2</v>
      </c>
      <c r="AG12">
        <f>IF(VLOOKUP(all_lmics1819[[Setting]:[Setting]],all_cause_mort[],21,FALSE)="",VLOOKUP(all_lmics1819[[who_choice_region]:[who_choice_region]],missing[],25,FALSE),VLOOKUP(all_lmics1819[[Setting]:[Setting]],all_cause_mort[],21,FALSE))*0.95</f>
        <v>9.0280473149999999E-2</v>
      </c>
      <c r="AH12">
        <f>IF(VLOOKUP(all_lmics1819[[Setting]:[Setting]],all_cause_mort[],22,FALSE)="",VLOOKUP(all_lmics1819[[who_choice_region]:[who_choice_region]],missing[],26,FALSE),VLOOKUP(all_lmics1819[[Setting]:[Setting]],all_cause_mort[],22,FALSE))*0.95</f>
        <v>0.1878697295</v>
      </c>
      <c r="AI12">
        <f>IF(VLOOKUP(all_lmics1819[[Setting]:[Setting]],all_cause_mort[],23,FALSE)="",VLOOKUP(all_lmics1819[[who_choice_region]:[who_choice_region]],missing[],27,FALSE),VLOOKUP(all_lmics1819[[Setting]:[Setting]],all_cause_mort[],23,FALSE))*0.95</f>
        <v>0.25485082849999996</v>
      </c>
      <c r="AJ12">
        <f>IF(VLOOKUP(all_lmics1819[[Setting]:[Setting]],all_cause_mort[],24,FALSE)="",VLOOKUP(all_lmics1819[[who_choice_region]:[who_choice_region]],missing[],28,FALSE),VLOOKUP(all_lmics1819[[Setting]:[Setting]],all_cause_mort[],24,FALSE))*0.95</f>
        <v>0.38845148499999999</v>
      </c>
      <c r="AK12">
        <f>IF(VLOOKUP(all_lmics1819[[Setting]:[Setting]],all_cause_mort[],25,FALSE)="",VLOOKUP(all_lmics1819[[who_choice_region]:[who_choice_region]],missing[],29,FALSE),VLOOKUP(all_lmics1819[[Setting]:[Setting]],all_cause_mort[],25,FALSE))*0.95</f>
        <v>0.54719322706111273</v>
      </c>
      <c r="AL12">
        <f>VLOOKUP(all_lmics1819[[worldbank_region]:[worldbank_region]],Table13[],2,FALSE)*0.95</f>
        <v>42.29888489999999</v>
      </c>
      <c r="AM12">
        <f>VLOOKUP(all_lmics1819[[worldbank_region]:[worldbank_region]],Table13[],3,FALSE)*0.95</f>
        <v>42.29888489999999</v>
      </c>
      <c r="AN12">
        <f>VLOOKUP(all_lmics1819[[worldbank_region]:[worldbank_region]],Table13[],4,FALSE)*0.95</f>
        <v>87.641301899999988</v>
      </c>
      <c r="AO12">
        <f>VLOOKUP(all_lmics1819[[worldbank_region]:[worldbank_region]],Table13[],5,FALSE)*0.95</f>
        <v>87.641301899999988</v>
      </c>
      <c r="AP12">
        <f>VLOOKUP(all_lmics1819[[worldbank_region]:[worldbank_region]],Table13[],6,FALSE)*0.95</f>
        <v>87.641301899999988</v>
      </c>
      <c r="AQ12">
        <f>VLOOKUP(all_lmics1819[[worldbank_region]:[worldbank_region]],Table14[],2,FALSE)*0.95</f>
        <v>6.0973773999999992</v>
      </c>
      <c r="AR12">
        <f>VLOOKUP(all_lmics1819[[worldbank_region]:[worldbank_region]],Table14[],3,FALSE)*0.95</f>
        <v>6.6840023999999998</v>
      </c>
      <c r="AS12">
        <f>VLOOKUP(all_lmics1819[[worldbank_region]:[worldbank_region]],Table14[],4,FALSE)*0.95</f>
        <v>9.9587293499999969</v>
      </c>
      <c r="AT12">
        <f>VLOOKUP(all_lmics1819[[worldbank_region]:[worldbank_region]],Table14[],5,FALSE)*0.95</f>
        <v>10.545354349999998</v>
      </c>
      <c r="AU12">
        <f>VLOOKUP(all_lmics1819[[worldbank_region]:[worldbank_region]],Table14[],6,FALSE)*0.95</f>
        <v>11.087093749999999</v>
      </c>
      <c r="AV12">
        <f>IFERROR(VLOOKUP(all_lmics1819[[Setting]:[Setting]],nFacSBA[],4,FALSE),VLOOKUP(all_lmics1819[[who_choice_region]:[who_choice_region]],missing[],30,FALSE))*0.95</f>
        <v>0.50689921499704871</v>
      </c>
      <c r="AW12">
        <f>VLOOKUP(all_lmics1819[[worldbank_region]:[worldbank_region]],hbe[],3)</f>
        <v>0.2</v>
      </c>
      <c r="AX12">
        <f>VLOOKUP(all_lmics1819[[worldbank_region]:[worldbank_region]],hbe[],6)</f>
        <v>0.75</v>
      </c>
      <c r="AY12">
        <f>VLOOKUP(all_lmics1819[[worldbank_region]:[worldbank_region]],hbe[],9)</f>
        <v>0.05</v>
      </c>
    </row>
    <row r="13" spans="1:51" x14ac:dyDescent="0.35">
      <c r="A13" s="8" t="s">
        <v>55</v>
      </c>
      <c r="B13" s="10" t="s">
        <v>14</v>
      </c>
      <c r="C13" s="11" t="s">
        <v>15</v>
      </c>
      <c r="D13">
        <f>VLOOKUP(all_lmics1819[[Setting]:[Setting]],populations[],9,FALSE)</f>
        <v>546388</v>
      </c>
      <c r="E13">
        <f>VLOOKUP(all_lmics1819[[Setting]:[Setting]],birthrate[],3,FALSE)</f>
        <v>2.0900999999999999E-2</v>
      </c>
      <c r="F13">
        <f>all_lmics1819[[#This Row],[2017_population]]*all_lmics1819[[#This Row],[2016_birthrate]]</f>
        <v>11420.055587999999</v>
      </c>
      <c r="G13">
        <f>VLOOKUP(all_lmics1819[[Setting]:[Setting]],birthdose[],4,FALSE)*0.95</f>
        <v>0.91199999999999992</v>
      </c>
      <c r="H13">
        <f>VLOOKUP(all_lmics1819[[Setting]:[Setting]],fullvax[],4,FALSE)*0.95</f>
        <v>0.92149999999999999</v>
      </c>
      <c r="I13">
        <f>IFERROR(VLOOKUP(all_lmics1819[[Setting]:[Setting]],prev[],3,FALSE),VLOOKUP(all_lmics1819[[who_choice_region]:[who_choice_region]],missing[],2,FALSE))</f>
        <v>9.5690136475304097E-2</v>
      </c>
      <c r="J13">
        <f>IFERROR(VLOOKUP(all_lmics1819[[Setting]:[Setting]],prev[],4,FALSE),VLOOKUP(all_lmics1819[[who_choice_region]:[who_choice_region]],missing[],3,FALSE))</f>
        <v>8.3483655386644831E-2</v>
      </c>
      <c r="K13">
        <f>IFERROR(VLOOKUP(all_lmics1819[[Setting]:[Setting]],prev[],5,FALSE),VLOOKUP(all_lmics1819[[who_choice_region]:[who_choice_region]],missing[],4,FALSE))</f>
        <v>0.10963942706260829</v>
      </c>
      <c r="L13">
        <f>IFERROR(VLOOKUP(all_lmics1819[[Setting]:[Setting]],prev[],7,FALSE),VLOOKUP(all_lmics1819[[who_choice_region]:[who_choice_region]],missing[],5,FALSE))</f>
        <v>7.116984993522547E-3</v>
      </c>
      <c r="M13">
        <f>IFERROR(VLOOKUP(all_lmics1819[[Setting]:[Setting]],prev[],6,FALSE),0)</f>
        <v>0</v>
      </c>
      <c r="N13">
        <f>IFERROR(VLOOKUP(all_lmics1819[[Setting]:[Setting]],SBA[],4,FALSE),VLOOKUP(all_lmics1819[[who_choice_region]:[who_choice_region]],missing[],6,FALSE))*0.95</f>
        <v>0.86829999999999996</v>
      </c>
      <c r="O13">
        <f>IFERROR(VLOOKUP(all_lmics1819[[Setting]:[Setting]], facility[], 3,FALSE),VLOOKUP(all_lmics1819[[who_choice_region]:[who_choice_region]],missing[],7,FALSE))*0.95</f>
        <v>0.49707651818872239</v>
      </c>
      <c r="P13">
        <f>IF(VLOOKUP(all_lmics1819[[Setting]:[Setting]],all_cause_mort[],4,FALSE)="",VLOOKUP(all_lmics1819[[who_choice_region]:[who_choice_region]],missing[],8,FALSE),VLOOKUP(all_lmics1819[[Setting]:[Setting]],all_cause_mort[],4,FALSE))*0.95</f>
        <v>1.6295631199999997E-2</v>
      </c>
      <c r="Q13">
        <f>IF(VLOOKUP(all_lmics1819[[Setting]:[Setting]],all_cause_mort[],5,FALSE)="",VLOOKUP(all_lmics1819[[who_choice_region]:[who_choice_region]],missing[],9,FALSE),VLOOKUP(all_lmics1819[[Setting]:[Setting]],all_cause_mort[],5,FALSE))*0.95</f>
        <v>8.4115194499999996E-4</v>
      </c>
      <c r="R13">
        <f>IF(VLOOKUP(all_lmics1819[[Setting]:[Setting]],all_cause_mort[],6,FALSE)="",VLOOKUP(all_lmics1819[[who_choice_region]:[who_choice_region]],missing[],10,FALSE),VLOOKUP(all_lmics1819[[Setting]:[Setting]],all_cause_mort[],6,FALSE))*0.95</f>
        <v>3.4248986749999997E-4</v>
      </c>
      <c r="S13">
        <f>IF(VLOOKUP(all_lmics1819[[Setting]:[Setting]],all_cause_mort[],7,FALSE)="",VLOOKUP(all_lmics1819[[who_choice_region]:[who_choice_region]],missing[],11,FALSE),VLOOKUP(all_lmics1819[[Setting]:[Setting]],all_cause_mort[],7,FALSE))*0.95</f>
        <v>3.0180293499999994E-4</v>
      </c>
      <c r="T13">
        <f>IF(VLOOKUP(all_lmics1819[[Setting]:[Setting]],all_cause_mort[],8,FALSE)="",VLOOKUP(all_lmics1819[[who_choice_region]:[who_choice_region]],missing[],12,FALSE),VLOOKUP(all_lmics1819[[Setting]:[Setting]],all_cause_mort[],8,FALSE))*0.95</f>
        <v>6.8392415199999997E-4</v>
      </c>
      <c r="U13">
        <f>IF(VLOOKUP(all_lmics1819[[Setting]:[Setting]],all_cause_mort[],9,FALSE)="",VLOOKUP(all_lmics1819[[who_choice_region]:[who_choice_region]],missing[],13,FALSE),VLOOKUP(all_lmics1819[[Setting]:[Setting]],all_cause_mort[],9,FALSE))*0.95</f>
        <v>9.4017595499999989E-4</v>
      </c>
      <c r="V13">
        <f>IF(VLOOKUP(all_lmics1819[[Setting]:[Setting]],all_cause_mort[],10,FALSE)="",VLOOKUP(all_lmics1819[[who_choice_region]:[who_choice_region]],missing[],14,FALSE),VLOOKUP(all_lmics1819[[Setting]:[Setting]],all_cause_mort[],10,FALSE))*0.95</f>
        <v>1.004763795E-3</v>
      </c>
      <c r="W13">
        <f>IF(VLOOKUP(all_lmics1819[[Setting]:[Setting]],all_cause_mort[],11,FALSE)="",VLOOKUP(all_lmics1819[[who_choice_region]:[who_choice_region]],missing[],15,FALSE),VLOOKUP(all_lmics1819[[Setting]:[Setting]],all_cause_mort[],11,FALSE))*0.95</f>
        <v>1.2213161049999999E-3</v>
      </c>
      <c r="X13">
        <f>IF(VLOOKUP(all_lmics1819[[Setting]:[Setting]],all_cause_mort[],12,FALSE)="",VLOOKUP(all_lmics1819[[who_choice_region]:[who_choice_region]],missing[],16,FALSE),VLOOKUP(all_lmics1819[[Setting]:[Setting]],all_cause_mort[],12,FALSE))*0.95</f>
        <v>1.6854219799999999E-3</v>
      </c>
      <c r="Y13">
        <f>IF(VLOOKUP(all_lmics1819[[Setting]:[Setting]],all_cause_mort[],13,FALSE)="",VLOOKUP(all_lmics1819[[who_choice_region]:[who_choice_region]],missing[],17,FALSE),VLOOKUP(all_lmics1819[[Setting]:[Setting]],all_cause_mort[],13,FALSE))*0.95</f>
        <v>2.5158094749999998E-3</v>
      </c>
      <c r="Z13">
        <f>IF(VLOOKUP(all_lmics1819[[Setting]:[Setting]],all_cause_mort[],14,FALSE)="",VLOOKUP(all_lmics1819[[who_choice_region]:[who_choice_region]],missing[],18,FALSE),VLOOKUP(all_lmics1819[[Setting]:[Setting]],all_cause_mort[],14,FALSE))*0.95</f>
        <v>3.9596433199999993E-3</v>
      </c>
      <c r="AA13">
        <f>IF(VLOOKUP(all_lmics1819[[Setting]:[Setting]],all_cause_mort[],15,FALSE)="",VLOOKUP(all_lmics1819[[who_choice_region]:[who_choice_region]],missing[],19,FALSE),VLOOKUP(all_lmics1819[[Setting]:[Setting]],all_cause_mort[],15,FALSE))*0.95</f>
        <v>6.1505892749999999E-3</v>
      </c>
      <c r="AB13">
        <f>IF(VLOOKUP(all_lmics1819[[Setting]:[Setting]],all_cause_mort[],16,FALSE)="",VLOOKUP(all_lmics1819[[who_choice_region]:[who_choice_region]],missing[],20,FALSE),VLOOKUP(all_lmics1819[[Setting]:[Setting]],all_cause_mort[],16,FALSE))*0.95</f>
        <v>9.5592201499999988E-3</v>
      </c>
      <c r="AC13">
        <f>IF(VLOOKUP(all_lmics1819[[Setting]:[Setting]],all_cause_mort[],17,FALSE)="",VLOOKUP(all_lmics1819[[who_choice_region]:[who_choice_region]],missing[],21,FALSE),VLOOKUP(all_lmics1819[[Setting]:[Setting]],all_cause_mort[],17,FALSE))*0.95</f>
        <v>1.51557015E-2</v>
      </c>
      <c r="AD13">
        <f>IF(VLOOKUP(all_lmics1819[[Setting]:[Setting]],all_cause_mort[],18,FALSE)="",VLOOKUP(all_lmics1819[[who_choice_region]:[who_choice_region]],missing[],22,FALSE),VLOOKUP(all_lmics1819[[Setting]:[Setting]],all_cause_mort[],18,FALSE))*0.95</f>
        <v>2.3999762599999998E-2</v>
      </c>
      <c r="AE13">
        <f>IF(VLOOKUP(all_lmics1819[[Setting]:[Setting]],all_cause_mort[],19,FALSE)="",VLOOKUP(all_lmics1819[[who_choice_region]:[who_choice_region]],missing[],23,FALSE),VLOOKUP(all_lmics1819[[Setting]:[Setting]],all_cause_mort[],19,FALSE))*0.95</f>
        <v>3.8799209349999995E-2</v>
      </c>
      <c r="AF13">
        <f>IF(VLOOKUP(all_lmics1819[[Setting]:[Setting]],all_cause_mort[],20,FALSE)="",VLOOKUP(all_lmics1819[[who_choice_region]:[who_choice_region]],missing[],24,FALSE),VLOOKUP(all_lmics1819[[Setting]:[Setting]],all_cause_mort[],20,FALSE))*0.95</f>
        <v>6.6007823049999997E-2</v>
      </c>
      <c r="AG13">
        <f>IF(VLOOKUP(all_lmics1819[[Setting]:[Setting]],all_cause_mort[],21,FALSE)="",VLOOKUP(all_lmics1819[[who_choice_region]:[who_choice_region]],missing[],25,FALSE),VLOOKUP(all_lmics1819[[Setting]:[Setting]],all_cause_mort[],21,FALSE))*0.95</f>
        <v>0.10894031899999999</v>
      </c>
      <c r="AH13">
        <f>IF(VLOOKUP(all_lmics1819[[Setting]:[Setting]],all_cause_mort[],22,FALSE)="",VLOOKUP(all_lmics1819[[who_choice_region]:[who_choice_region]],missing[],26,FALSE),VLOOKUP(all_lmics1819[[Setting]:[Setting]],all_cause_mort[],22,FALSE))*0.95</f>
        <v>0.17372505599999999</v>
      </c>
      <c r="AI13">
        <f>IF(VLOOKUP(all_lmics1819[[Setting]:[Setting]],all_cause_mort[],23,FALSE)="",VLOOKUP(all_lmics1819[[who_choice_region]:[who_choice_region]],missing[],27,FALSE),VLOOKUP(all_lmics1819[[Setting]:[Setting]],all_cause_mort[],23,FALSE))*0.95</f>
        <v>0.26331054049999997</v>
      </c>
      <c r="AJ13">
        <f>IF(VLOOKUP(all_lmics1819[[Setting]:[Setting]],all_cause_mort[],24,FALSE)="",VLOOKUP(all_lmics1819[[who_choice_region]:[who_choice_region]],missing[],28,FALSE),VLOOKUP(all_lmics1819[[Setting]:[Setting]],all_cause_mort[],24,FALSE))*0.95</f>
        <v>0.37901229449999996</v>
      </c>
      <c r="AK13">
        <f>IF(VLOOKUP(all_lmics1819[[Setting]:[Setting]],all_cause_mort[],25,FALSE)="",VLOOKUP(all_lmics1819[[who_choice_region]:[who_choice_region]],missing[],29,FALSE),VLOOKUP(all_lmics1819[[Setting]:[Setting]],all_cause_mort[],25,FALSE))*0.95</f>
        <v>0.51281101785807726</v>
      </c>
      <c r="AL13">
        <f>VLOOKUP(all_lmics1819[[worldbank_region]:[worldbank_region]],Table13[],2,FALSE)*0.95</f>
        <v>28.416651749999996</v>
      </c>
      <c r="AM13">
        <f>VLOOKUP(all_lmics1819[[worldbank_region]:[worldbank_region]],Table13[],3,FALSE)*0.95</f>
        <v>28.416651749999996</v>
      </c>
      <c r="AN13">
        <f>VLOOKUP(all_lmics1819[[worldbank_region]:[worldbank_region]],Table13[],4,FALSE)*0.95</f>
        <v>73.759068749999983</v>
      </c>
      <c r="AO13">
        <f>VLOOKUP(all_lmics1819[[worldbank_region]:[worldbank_region]],Table13[],5,FALSE)*0.95</f>
        <v>73.759068749999983</v>
      </c>
      <c r="AP13">
        <f>VLOOKUP(all_lmics1819[[worldbank_region]:[worldbank_region]],Table13[],6,FALSE)*0.95</f>
        <v>73.759068749999983</v>
      </c>
      <c r="AQ13">
        <f>VLOOKUP(all_lmics1819[[worldbank_region]:[worldbank_region]],Table14[],2,FALSE)*0.95</f>
        <v>0.92130239999999997</v>
      </c>
      <c r="AR13">
        <f>VLOOKUP(all_lmics1819[[worldbank_region]:[worldbank_region]],Table14[],3,FALSE)*0.95</f>
        <v>1.5079274</v>
      </c>
      <c r="AS13">
        <f>VLOOKUP(all_lmics1819[[worldbank_region]:[worldbank_region]],Table14[],4,FALSE)*0.95</f>
        <v>5.5073048499999988</v>
      </c>
      <c r="AT13">
        <f>VLOOKUP(all_lmics1819[[worldbank_region]:[worldbank_region]],Table14[],5,FALSE)*0.95</f>
        <v>6.0939298499999985</v>
      </c>
      <c r="AU13">
        <f>VLOOKUP(all_lmics1819[[worldbank_region]:[worldbank_region]],Table14[],6,FALSE)*0.95</f>
        <v>6.6356692499999985</v>
      </c>
      <c r="AV13">
        <f>IFERROR(VLOOKUP(all_lmics1819[[Setting]:[Setting]],nFacSBA[],4,FALSE),VLOOKUP(all_lmics1819[[who_choice_region]:[who_choice_region]],missing[],30,FALSE))*0.95</f>
        <v>6.5722973400299922E-2</v>
      </c>
      <c r="AW13">
        <f>VLOOKUP(all_lmics1819[[worldbank_region]:[worldbank_region]],hbe[],3)</f>
        <v>0.2</v>
      </c>
      <c r="AX13">
        <f>VLOOKUP(all_lmics1819[[worldbank_region]:[worldbank_region]],hbe[],6)</f>
        <v>0.75</v>
      </c>
      <c r="AY13">
        <f>VLOOKUP(all_lmics1819[[worldbank_region]:[worldbank_region]],hbe[],9)</f>
        <v>0.05</v>
      </c>
    </row>
    <row r="14" spans="1:51" x14ac:dyDescent="0.35">
      <c r="A14" s="12" t="s">
        <v>56</v>
      </c>
      <c r="B14" s="13" t="s">
        <v>57</v>
      </c>
      <c r="C14" s="14" t="s">
        <v>58</v>
      </c>
      <c r="D14">
        <f>VLOOKUP(all_lmics1819[[Setting]:[Setting]],populations[],9,FALSE)</f>
        <v>16005373</v>
      </c>
      <c r="E14">
        <f>VLOOKUP(all_lmics1819[[Setting]:[Setting]],birthrate[],3,FALSE)</f>
        <v>2.3296000000000001E-2</v>
      </c>
      <c r="F14">
        <f>all_lmics1819[[#This Row],[2017_population]]*all_lmics1819[[#This Row],[2016_birthrate]]</f>
        <v>372861.16940800002</v>
      </c>
      <c r="G14">
        <f>VLOOKUP(all_lmics1819[[Setting]:[Setting]],birthdose[],4,FALSE)*0.95</f>
        <v>0.75049999999999994</v>
      </c>
      <c r="H14">
        <f>VLOOKUP(all_lmics1819[[Setting]:[Setting]],fullvax[],4,FALSE)*0.95</f>
        <v>0.88349999999999995</v>
      </c>
      <c r="I14">
        <f>IFERROR(VLOOKUP(all_lmics1819[[Setting]:[Setting]],prev[],3,FALSE),VLOOKUP(all_lmics1819[[who_choice_region]:[who_choice_region]],missing[],2,FALSE))</f>
        <v>0.03</v>
      </c>
      <c r="J14">
        <f>IFERROR(VLOOKUP(all_lmics1819[[Setting]:[Setting]],prev[],4,FALSE),VLOOKUP(all_lmics1819[[who_choice_region]:[who_choice_region]],missing[],3,FALSE))</f>
        <v>2.9000000000000001E-2</v>
      </c>
      <c r="K14">
        <f>IFERROR(VLOOKUP(all_lmics1819[[Setting]:[Setting]],prev[],5,FALSE),VLOOKUP(all_lmics1819[[who_choice_region]:[who_choice_region]],missing[],4,FALSE))</f>
        <v>5.0999999999999997E-2</v>
      </c>
      <c r="L14">
        <f>IFERROR(VLOOKUP(all_lmics1819[[Setting]:[Setting]],prev[],7,FALSE),VLOOKUP(all_lmics1819[[who_choice_region]:[who_choice_region]],missing[],5,FALSE))</f>
        <v>1.0714285714285713E-2</v>
      </c>
      <c r="M14">
        <f>IFERROR(VLOOKUP(all_lmics1819[[Setting]:[Setting]],prev[],6,FALSE),0)</f>
        <v>16005373</v>
      </c>
      <c r="N14">
        <f>IFERROR(VLOOKUP(all_lmics1819[[Setting]:[Setting]],SBA[],4,FALSE),VLOOKUP(all_lmics1819[[who_choice_region]:[who_choice_region]],missing[],6,FALSE))*0.95</f>
        <v>0.84549999999999992</v>
      </c>
      <c r="O14">
        <f>IFERROR(VLOOKUP(all_lmics1819[[Setting]:[Setting]], facility[], 3,FALSE),VLOOKUP(all_lmics1819[[who_choice_region]:[who_choice_region]],missing[],7,FALSE))*0.95</f>
        <v>0.79039999999999999</v>
      </c>
      <c r="P14">
        <f>IF(VLOOKUP(all_lmics1819[[Setting]:[Setting]],all_cause_mort[],4,FALSE)="",VLOOKUP(all_lmics1819[[who_choice_region]:[who_choice_region]],missing[],8,FALSE),VLOOKUP(all_lmics1819[[Setting]:[Setting]],all_cause_mort[],4,FALSE))*0.95</f>
        <v>2.3103773899999999E-2</v>
      </c>
      <c r="Q14">
        <f>IF(VLOOKUP(all_lmics1819[[Setting]:[Setting]],all_cause_mort[],5,FALSE)="",VLOOKUP(all_lmics1819[[who_choice_region]:[who_choice_region]],missing[],9,FALSE),VLOOKUP(all_lmics1819[[Setting]:[Setting]],all_cause_mort[],5,FALSE))*0.95</f>
        <v>9.2755964149999993E-4</v>
      </c>
      <c r="R14">
        <f>IF(VLOOKUP(all_lmics1819[[Setting]:[Setting]],all_cause_mort[],6,FALSE)="",VLOOKUP(all_lmics1819[[who_choice_region]:[who_choice_region]],missing[],10,FALSE),VLOOKUP(all_lmics1819[[Setting]:[Setting]],all_cause_mort[],6,FALSE))*0.95</f>
        <v>1.5941416099999998E-3</v>
      </c>
      <c r="S14">
        <f>IF(VLOOKUP(all_lmics1819[[Setting]:[Setting]],all_cause_mort[],7,FALSE)="",VLOOKUP(all_lmics1819[[who_choice_region]:[who_choice_region]],missing[],11,FALSE),VLOOKUP(all_lmics1819[[Setting]:[Setting]],all_cause_mort[],7,FALSE))*0.95</f>
        <v>1.1382214099999999E-3</v>
      </c>
      <c r="T14">
        <f>IF(VLOOKUP(all_lmics1819[[Setting]:[Setting]],all_cause_mort[],8,FALSE)="",VLOOKUP(all_lmics1819[[who_choice_region]:[who_choice_region]],missing[],12,FALSE),VLOOKUP(all_lmics1819[[Setting]:[Setting]],all_cause_mort[],8,FALSE))*0.95</f>
        <v>1.0567661299999999E-3</v>
      </c>
      <c r="U14">
        <f>IF(VLOOKUP(all_lmics1819[[Setting]:[Setting]],all_cause_mort[],9,FALSE)="",VLOOKUP(all_lmics1819[[who_choice_region]:[who_choice_region]],missing[],13,FALSE),VLOOKUP(all_lmics1819[[Setting]:[Setting]],all_cause_mort[],9,FALSE))*0.95</f>
        <v>1.2742735700000001E-3</v>
      </c>
      <c r="V14">
        <f>IF(VLOOKUP(all_lmics1819[[Setting]:[Setting]],all_cause_mort[],10,FALSE)="",VLOOKUP(all_lmics1819[[who_choice_region]:[who_choice_region]],missing[],14,FALSE),VLOOKUP(all_lmics1819[[Setting]:[Setting]],all_cause_mort[],10,FALSE))*0.95</f>
        <v>1.743813065E-3</v>
      </c>
      <c r="W14">
        <f>IF(VLOOKUP(all_lmics1819[[Setting]:[Setting]],all_cause_mort[],11,FALSE)="",VLOOKUP(all_lmics1819[[who_choice_region]:[who_choice_region]],missing[],15,FALSE),VLOOKUP(all_lmics1819[[Setting]:[Setting]],all_cause_mort[],11,FALSE))*0.95</f>
        <v>2.2949928049999999E-3</v>
      </c>
      <c r="X14">
        <f>IF(VLOOKUP(all_lmics1819[[Setting]:[Setting]],all_cause_mort[],12,FALSE)="",VLOOKUP(all_lmics1819[[who_choice_region]:[who_choice_region]],missing[],16,FALSE),VLOOKUP(all_lmics1819[[Setting]:[Setting]],all_cause_mort[],12,FALSE))*0.95</f>
        <v>3.0302060699999999E-3</v>
      </c>
      <c r="Y14">
        <f>IF(VLOOKUP(all_lmics1819[[Setting]:[Setting]],all_cause_mort[],13,FALSE)="",VLOOKUP(all_lmics1819[[who_choice_region]:[who_choice_region]],missing[],17,FALSE),VLOOKUP(all_lmics1819[[Setting]:[Setting]],all_cause_mort[],13,FALSE))*0.95</f>
        <v>3.9018729649999999E-3</v>
      </c>
      <c r="Z14">
        <f>IF(VLOOKUP(all_lmics1819[[Setting]:[Setting]],all_cause_mort[],14,FALSE)="",VLOOKUP(all_lmics1819[[who_choice_region]:[who_choice_region]],missing[],18,FALSE),VLOOKUP(all_lmics1819[[Setting]:[Setting]],all_cause_mort[],14,FALSE))*0.95</f>
        <v>4.9195287350000004E-3</v>
      </c>
      <c r="AA14">
        <f>IF(VLOOKUP(all_lmics1819[[Setting]:[Setting]],all_cause_mort[],15,FALSE)="",VLOOKUP(all_lmics1819[[who_choice_region]:[who_choice_region]],missing[],19,FALSE),VLOOKUP(all_lmics1819[[Setting]:[Setting]],all_cause_mort[],15,FALSE))*0.95</f>
        <v>6.4274351399999999E-3</v>
      </c>
      <c r="AB14">
        <f>IF(VLOOKUP(all_lmics1819[[Setting]:[Setting]],all_cause_mort[],16,FALSE)="",VLOOKUP(all_lmics1819[[who_choice_region]:[who_choice_region]],missing[],20,FALSE),VLOOKUP(all_lmics1819[[Setting]:[Setting]],all_cause_mort[],16,FALSE))*0.95</f>
        <v>9.9860599000000001E-3</v>
      </c>
      <c r="AC14">
        <f>IF(VLOOKUP(all_lmics1819[[Setting]:[Setting]],all_cause_mort[],17,FALSE)="",VLOOKUP(all_lmics1819[[who_choice_region]:[who_choice_region]],missing[],21,FALSE),VLOOKUP(all_lmics1819[[Setting]:[Setting]],all_cause_mort[],17,FALSE))*0.95</f>
        <v>1.7748135599999999E-2</v>
      </c>
      <c r="AD14">
        <f>IF(VLOOKUP(all_lmics1819[[Setting]:[Setting]],all_cause_mort[],18,FALSE)="",VLOOKUP(all_lmics1819[[who_choice_region]:[who_choice_region]],missing[],22,FALSE),VLOOKUP(all_lmics1819[[Setting]:[Setting]],all_cause_mort[],18,FALSE))*0.95</f>
        <v>2.840689335E-2</v>
      </c>
      <c r="AE14">
        <f>IF(VLOOKUP(all_lmics1819[[Setting]:[Setting]],all_cause_mort[],19,FALSE)="",VLOOKUP(all_lmics1819[[who_choice_region]:[who_choice_region]],missing[],23,FALSE),VLOOKUP(all_lmics1819[[Setting]:[Setting]],all_cause_mort[],19,FALSE))*0.95</f>
        <v>4.7190448199999992E-2</v>
      </c>
      <c r="AF14">
        <f>IF(VLOOKUP(all_lmics1819[[Setting]:[Setting]],all_cause_mort[],20,FALSE)="",VLOOKUP(all_lmics1819[[who_choice_region]:[who_choice_region]],missing[],24,FALSE),VLOOKUP(all_lmics1819[[Setting]:[Setting]],all_cause_mort[],20,FALSE))*0.95</f>
        <v>7.7301219749999997E-2</v>
      </c>
      <c r="AG14">
        <f>IF(VLOOKUP(all_lmics1819[[Setting]:[Setting]],all_cause_mort[],21,FALSE)="",VLOOKUP(all_lmics1819[[who_choice_region]:[who_choice_region]],missing[],25,FALSE),VLOOKUP(all_lmics1819[[Setting]:[Setting]],all_cause_mort[],21,FALSE))*0.95</f>
        <v>0.12106934899999999</v>
      </c>
      <c r="AH14">
        <f>IF(VLOOKUP(all_lmics1819[[Setting]:[Setting]],all_cause_mort[],22,FALSE)="",VLOOKUP(all_lmics1819[[who_choice_region]:[who_choice_region]],missing[],26,FALSE),VLOOKUP(all_lmics1819[[Setting]:[Setting]],all_cause_mort[],22,FALSE))*0.95</f>
        <v>0.184990612</v>
      </c>
      <c r="AI14">
        <f>IF(VLOOKUP(all_lmics1819[[Setting]:[Setting]],all_cause_mort[],23,FALSE)="",VLOOKUP(all_lmics1819[[who_choice_region]:[who_choice_region]],missing[],27,FALSE),VLOOKUP(all_lmics1819[[Setting]:[Setting]],all_cause_mort[],23,FALSE))*0.95</f>
        <v>0.26357857349999997</v>
      </c>
      <c r="AJ14">
        <f>IF(VLOOKUP(all_lmics1819[[Setting]:[Setting]],all_cause_mort[],24,FALSE)="",VLOOKUP(all_lmics1819[[who_choice_region]:[who_choice_region]],missing[],28,FALSE),VLOOKUP(all_lmics1819[[Setting]:[Setting]],all_cause_mort[],24,FALSE))*0.95</f>
        <v>0.37667306199999995</v>
      </c>
      <c r="AK14">
        <f>IF(VLOOKUP(all_lmics1819[[Setting]:[Setting]],all_cause_mort[],25,FALSE)="",VLOOKUP(all_lmics1819[[who_choice_region]:[who_choice_region]],missing[],29,FALSE),VLOOKUP(all_lmics1819[[Setting]:[Setting]],all_cause_mort[],25,FALSE))*0.95</f>
        <v>0.52931555709682321</v>
      </c>
      <c r="AL14">
        <f>VLOOKUP(all_lmics1819[[worldbank_region]:[worldbank_region]],Table13[],2,FALSE)*0.95</f>
        <v>69.411165749999981</v>
      </c>
      <c r="AM14">
        <f>VLOOKUP(all_lmics1819[[worldbank_region]:[worldbank_region]],Table13[],3,FALSE)*0.95</f>
        <v>69.411165749999981</v>
      </c>
      <c r="AN14">
        <f>VLOOKUP(all_lmics1819[[worldbank_region]:[worldbank_region]],Table13[],4,FALSE)*0.95</f>
        <v>114.75358274999998</v>
      </c>
      <c r="AO14">
        <f>VLOOKUP(all_lmics1819[[worldbank_region]:[worldbank_region]],Table13[],5,FALSE)*0.95</f>
        <v>114.75358274999998</v>
      </c>
      <c r="AP14">
        <f>VLOOKUP(all_lmics1819[[worldbank_region]:[worldbank_region]],Table13[],6,FALSE)*0.95</f>
        <v>114.75358274999998</v>
      </c>
      <c r="AQ14">
        <f>VLOOKUP(all_lmics1819[[worldbank_region]:[worldbank_region]],Table14[],2,FALSE)*0.95</f>
        <v>1.2732755</v>
      </c>
      <c r="AR14">
        <f>VLOOKUP(all_lmics1819[[worldbank_region]:[worldbank_region]],Table14[],3,FALSE)*0.95</f>
        <v>1.8599005</v>
      </c>
      <c r="AS14">
        <f>VLOOKUP(all_lmics1819[[worldbank_region]:[worldbank_region]],Table14[],4,FALSE)*0.95</f>
        <v>1.8737001999999996</v>
      </c>
      <c r="AT14">
        <f>VLOOKUP(all_lmics1819[[worldbank_region]:[worldbank_region]],Table14[],5,FALSE)*0.95</f>
        <v>2.4603251999999998</v>
      </c>
      <c r="AU14">
        <f>VLOOKUP(all_lmics1819[[worldbank_region]:[worldbank_region]],Table14[],6,FALSE)*0.95</f>
        <v>3.0020645999999997</v>
      </c>
      <c r="AV14">
        <f>IFERROR(VLOOKUP(all_lmics1819[[Setting]:[Setting]],nFacSBA[],4,FALSE),VLOOKUP(all_lmics1819[[who_choice_region]:[who_choice_region]],missing[],30,FALSE))*0.95</f>
        <v>0.3569031797965459</v>
      </c>
      <c r="AW14">
        <f>VLOOKUP(all_lmics1819[[worldbank_region]:[worldbank_region]],hbe[],3)</f>
        <v>0.2</v>
      </c>
      <c r="AX14">
        <f>VLOOKUP(all_lmics1819[[worldbank_region]:[worldbank_region]],hbe[],6)</f>
        <v>0.75</v>
      </c>
      <c r="AY14">
        <f>VLOOKUP(all_lmics1819[[worldbank_region]:[worldbank_region]],hbe[],9)</f>
        <v>0.05</v>
      </c>
    </row>
    <row r="15" spans="1:51" x14ac:dyDescent="0.35">
      <c r="A15" s="12" t="s">
        <v>65</v>
      </c>
      <c r="B15" s="13" t="s">
        <v>57</v>
      </c>
      <c r="C15" s="14" t="s">
        <v>58</v>
      </c>
      <c r="D15">
        <f>VLOOKUP(all_lmics1819[[Setting]:[Setting]],populations[],9,FALSE)</f>
        <v>1386395000</v>
      </c>
      <c r="E15">
        <f>VLOOKUP(all_lmics1819[[Setting]:[Setting]],birthrate[],3,FALSE)</f>
        <v>1.2E-2</v>
      </c>
      <c r="F15">
        <f>all_lmics1819[[#This Row],[2017_population]]*all_lmics1819[[#This Row],[2016_birthrate]]</f>
        <v>16636740</v>
      </c>
      <c r="G15">
        <f>VLOOKUP(all_lmics1819[[Setting]:[Setting]],birthdose[],4,FALSE)*0.95</f>
        <v>0.91199999999999992</v>
      </c>
      <c r="H15">
        <f>VLOOKUP(all_lmics1819[[Setting]:[Setting]],fullvax[],4,FALSE)*0.95</f>
        <v>0.9405</v>
      </c>
      <c r="I15">
        <f>IFERROR(VLOOKUP(all_lmics1819[[Setting]:[Setting]],prev[],3,FALSE),VLOOKUP(all_lmics1819[[who_choice_region]:[who_choice_region]],missing[],2,FALSE))</f>
        <v>6.0999999999999999E-2</v>
      </c>
      <c r="J15">
        <f>IFERROR(VLOOKUP(all_lmics1819[[Setting]:[Setting]],prev[],4,FALSE),VLOOKUP(all_lmics1819[[who_choice_region]:[who_choice_region]],missing[],3,FALSE))</f>
        <v>5.5E-2</v>
      </c>
      <c r="K15">
        <f>IFERROR(VLOOKUP(all_lmics1819[[Setting]:[Setting]],prev[],5,FALSE),VLOOKUP(all_lmics1819[[who_choice_region]:[who_choice_region]],missing[],4,FALSE))</f>
        <v>6.9000000000000006E-2</v>
      </c>
      <c r="L15">
        <f>IFERROR(VLOOKUP(all_lmics1819[[Setting]:[Setting]],prev[],7,FALSE),VLOOKUP(all_lmics1819[[who_choice_region]:[who_choice_region]],missing[],5,FALSE))</f>
        <v>4.0816326530612283E-3</v>
      </c>
      <c r="M15">
        <f>IFERROR(VLOOKUP(all_lmics1819[[Setting]:[Setting]],prev[],6,FALSE),0)</f>
        <v>1386395000</v>
      </c>
      <c r="N15">
        <f>IFERROR(VLOOKUP(all_lmics1819[[Setting]:[Setting]],SBA[],4,FALSE),VLOOKUP(all_lmics1819[[who_choice_region]:[who_choice_region]],missing[],6,FALSE))*0.95</f>
        <v>0.94905000000000006</v>
      </c>
      <c r="O15">
        <f>IFERROR(VLOOKUP(all_lmics1819[[Setting]:[Setting]], facility[], 3,FALSE),VLOOKUP(all_lmics1819[[who_choice_region]:[who_choice_region]],missing[],7,FALSE))*0.95</f>
        <v>0.94714999999999994</v>
      </c>
      <c r="P15">
        <f>IF(VLOOKUP(all_lmics1819[[Setting]:[Setting]],all_cause_mort[],4,FALSE)="",VLOOKUP(all_lmics1819[[who_choice_region]:[who_choice_region]],missing[],8,FALSE),VLOOKUP(all_lmics1819[[Setting]:[Setting]],all_cause_mort[],4,FALSE))*0.95</f>
        <v>9.485807475E-3</v>
      </c>
      <c r="Q15">
        <f>IF(VLOOKUP(all_lmics1819[[Setting]:[Setting]],all_cause_mort[],5,FALSE)="",VLOOKUP(all_lmics1819[[who_choice_region]:[who_choice_region]],missing[],9,FALSE),VLOOKUP(all_lmics1819[[Setting]:[Setting]],all_cause_mort[],5,FALSE))*0.95</f>
        <v>3.9320945549999996E-4</v>
      </c>
      <c r="R15">
        <f>IF(VLOOKUP(all_lmics1819[[Setting]:[Setting]],all_cause_mort[],6,FALSE)="",VLOOKUP(all_lmics1819[[who_choice_region]:[who_choice_region]],missing[],10,FALSE),VLOOKUP(all_lmics1819[[Setting]:[Setting]],all_cause_mort[],6,FALSE))*0.95</f>
        <v>2.9655915349999999E-4</v>
      </c>
      <c r="S15">
        <f>IF(VLOOKUP(all_lmics1819[[Setting]:[Setting]],all_cause_mort[],7,FALSE)="",VLOOKUP(all_lmics1819[[who_choice_region]:[who_choice_region]],missing[],11,FALSE),VLOOKUP(all_lmics1819[[Setting]:[Setting]],all_cause_mort[],7,FALSE))*0.95</f>
        <v>2.213068605E-4</v>
      </c>
      <c r="T15">
        <f>IF(VLOOKUP(all_lmics1819[[Setting]:[Setting]],all_cause_mort[],8,FALSE)="",VLOOKUP(all_lmics1819[[who_choice_region]:[who_choice_region]],missing[],12,FALSE),VLOOKUP(all_lmics1819[[Setting]:[Setting]],all_cause_mort[],8,FALSE))*0.95</f>
        <v>3.2172201249999998E-4</v>
      </c>
      <c r="U15">
        <f>IF(VLOOKUP(all_lmics1819[[Setting]:[Setting]],all_cause_mort[],9,FALSE)="",VLOOKUP(all_lmics1819[[who_choice_region]:[who_choice_region]],missing[],13,FALSE),VLOOKUP(all_lmics1819[[Setting]:[Setting]],all_cause_mort[],9,FALSE))*0.95</f>
        <v>4.5188252899999997E-4</v>
      </c>
      <c r="V15">
        <f>IF(VLOOKUP(all_lmics1819[[Setting]:[Setting]],all_cause_mort[],10,FALSE)="",VLOOKUP(all_lmics1819[[who_choice_region]:[who_choice_region]],missing[],14,FALSE),VLOOKUP(all_lmics1819[[Setting]:[Setting]],all_cause_mort[],10,FALSE))*0.95</f>
        <v>6.0473523950000004E-4</v>
      </c>
      <c r="W15">
        <f>IF(VLOOKUP(all_lmics1819[[Setting]:[Setting]],all_cause_mort[],11,FALSE)="",VLOOKUP(all_lmics1819[[who_choice_region]:[who_choice_region]],missing[],15,FALSE),VLOOKUP(all_lmics1819[[Setting]:[Setting]],all_cause_mort[],11,FALSE))*0.95</f>
        <v>7.6511203550000005E-4</v>
      </c>
      <c r="X15">
        <f>IF(VLOOKUP(all_lmics1819[[Setting]:[Setting]],all_cause_mort[],12,FALSE)="",VLOOKUP(all_lmics1819[[who_choice_region]:[who_choice_region]],missing[],16,FALSE),VLOOKUP(all_lmics1819[[Setting]:[Setting]],all_cause_mort[],12,FALSE))*0.95</f>
        <v>9.6971525500000007E-4</v>
      </c>
      <c r="Y15">
        <f>IF(VLOOKUP(all_lmics1819[[Setting]:[Setting]],all_cause_mort[],13,FALSE)="",VLOOKUP(all_lmics1819[[who_choice_region]:[who_choice_region]],missing[],17,FALSE),VLOOKUP(all_lmics1819[[Setting]:[Setting]],all_cause_mort[],13,FALSE))*0.95</f>
        <v>1.3741854499999999E-3</v>
      </c>
      <c r="Z15">
        <f>IF(VLOOKUP(all_lmics1819[[Setting]:[Setting]],all_cause_mort[],14,FALSE)="",VLOOKUP(all_lmics1819[[who_choice_region]:[who_choice_region]],missing[],18,FALSE),VLOOKUP(all_lmics1819[[Setting]:[Setting]],all_cause_mort[],14,FALSE))*0.95</f>
        <v>2.0214386899999998E-3</v>
      </c>
      <c r="AA15">
        <f>IF(VLOOKUP(all_lmics1819[[Setting]:[Setting]],all_cause_mort[],15,FALSE)="",VLOOKUP(all_lmics1819[[who_choice_region]:[who_choice_region]],missing[],19,FALSE),VLOOKUP(all_lmics1819[[Setting]:[Setting]],all_cause_mort[],15,FALSE))*0.95</f>
        <v>3.3640309399999998E-3</v>
      </c>
      <c r="AB15">
        <f>IF(VLOOKUP(all_lmics1819[[Setting]:[Setting]],all_cause_mort[],16,FALSE)="",VLOOKUP(all_lmics1819[[who_choice_region]:[who_choice_region]],missing[],20,FALSE),VLOOKUP(all_lmics1819[[Setting]:[Setting]],all_cause_mort[],16,FALSE))*0.95</f>
        <v>5.6646920149999993E-3</v>
      </c>
      <c r="AC15">
        <f>IF(VLOOKUP(all_lmics1819[[Setting]:[Setting]],all_cause_mort[],17,FALSE)="",VLOOKUP(all_lmics1819[[who_choice_region]:[who_choice_region]],missing[],21,FALSE),VLOOKUP(all_lmics1819[[Setting]:[Setting]],all_cause_mort[],17,FALSE))*0.95</f>
        <v>1.067302295E-2</v>
      </c>
      <c r="AD15">
        <f>IF(VLOOKUP(all_lmics1819[[Setting]:[Setting]],all_cause_mort[],18,FALSE)="",VLOOKUP(all_lmics1819[[who_choice_region]:[who_choice_region]],missing[],22,FALSE),VLOOKUP(all_lmics1819[[Setting]:[Setting]],all_cause_mort[],18,FALSE))*0.95</f>
        <v>1.9328440650000001E-2</v>
      </c>
      <c r="AE15">
        <f>IF(VLOOKUP(all_lmics1819[[Setting]:[Setting]],all_cause_mort[],19,FALSE)="",VLOOKUP(all_lmics1819[[who_choice_region]:[who_choice_region]],missing[],23,FALSE),VLOOKUP(all_lmics1819[[Setting]:[Setting]],all_cause_mort[],19,FALSE))*0.95</f>
        <v>3.5384066700000001E-2</v>
      </c>
      <c r="AF15">
        <f>IF(VLOOKUP(all_lmics1819[[Setting]:[Setting]],all_cause_mort[],20,FALSE)="",VLOOKUP(all_lmics1819[[who_choice_region]:[who_choice_region]],missing[],24,FALSE),VLOOKUP(all_lmics1819[[Setting]:[Setting]],all_cause_mort[],20,FALSE))*0.95</f>
        <v>5.9604186549999993E-2</v>
      </c>
      <c r="AG15">
        <f>IF(VLOOKUP(all_lmics1819[[Setting]:[Setting]],all_cause_mort[],21,FALSE)="",VLOOKUP(all_lmics1819[[who_choice_region]:[who_choice_region]],missing[],25,FALSE),VLOOKUP(all_lmics1819[[Setting]:[Setting]],all_cause_mort[],21,FALSE))*0.95</f>
        <v>9.1368367549999996E-2</v>
      </c>
      <c r="AH15">
        <f>IF(VLOOKUP(all_lmics1819[[Setting]:[Setting]],all_cause_mort[],22,FALSE)="",VLOOKUP(all_lmics1819[[who_choice_region]:[who_choice_region]],missing[],26,FALSE),VLOOKUP(all_lmics1819[[Setting]:[Setting]],all_cause_mort[],22,FALSE))*0.95</f>
        <v>0.14195549799999999</v>
      </c>
      <c r="AI15">
        <f>IF(VLOOKUP(all_lmics1819[[Setting]:[Setting]],all_cause_mort[],23,FALSE)="",VLOOKUP(all_lmics1819[[who_choice_region]:[who_choice_region]],missing[],27,FALSE),VLOOKUP(all_lmics1819[[Setting]:[Setting]],all_cause_mort[],23,FALSE))*0.95</f>
        <v>0.20214655749999999</v>
      </c>
      <c r="AJ15">
        <f>IF(VLOOKUP(all_lmics1819[[Setting]:[Setting]],all_cause_mort[],24,FALSE)="",VLOOKUP(all_lmics1819[[who_choice_region]:[who_choice_region]],missing[],28,FALSE),VLOOKUP(all_lmics1819[[Setting]:[Setting]],all_cause_mort[],24,FALSE))*0.95</f>
        <v>0.27310280799999997</v>
      </c>
      <c r="AK15">
        <f>IF(VLOOKUP(all_lmics1819[[Setting]:[Setting]],all_cause_mort[],25,FALSE)="",VLOOKUP(all_lmics1819[[who_choice_region]:[who_choice_region]],missing[],29,FALSE),VLOOKUP(all_lmics1819[[Setting]:[Setting]],all_cause_mort[],25,FALSE))*0.95</f>
        <v>0.3317477652597513</v>
      </c>
      <c r="AL15">
        <f>VLOOKUP(all_lmics1819[[worldbank_region]:[worldbank_region]],Table13[],2,FALSE)*0.95</f>
        <v>69.411165749999981</v>
      </c>
      <c r="AM15">
        <f>VLOOKUP(all_lmics1819[[worldbank_region]:[worldbank_region]],Table13[],3,FALSE)*0.95</f>
        <v>69.411165749999981</v>
      </c>
      <c r="AN15">
        <f>VLOOKUP(all_lmics1819[[worldbank_region]:[worldbank_region]],Table13[],4,FALSE)*0.95</f>
        <v>114.75358274999998</v>
      </c>
      <c r="AO15">
        <f>VLOOKUP(all_lmics1819[[worldbank_region]:[worldbank_region]],Table13[],5,FALSE)*0.95</f>
        <v>114.75358274999998</v>
      </c>
      <c r="AP15">
        <f>VLOOKUP(all_lmics1819[[worldbank_region]:[worldbank_region]],Table13[],6,FALSE)*0.95</f>
        <v>114.75358274999998</v>
      </c>
      <c r="AQ15">
        <f>VLOOKUP(all_lmics1819[[worldbank_region]:[worldbank_region]],Table14[],2,FALSE)*0.95</f>
        <v>1.2732755</v>
      </c>
      <c r="AR15">
        <f>VLOOKUP(all_lmics1819[[worldbank_region]:[worldbank_region]],Table14[],3,FALSE)*0.95</f>
        <v>1.8599005</v>
      </c>
      <c r="AS15">
        <f>VLOOKUP(all_lmics1819[[worldbank_region]:[worldbank_region]],Table14[],4,FALSE)*0.95</f>
        <v>1.8737001999999996</v>
      </c>
      <c r="AT15">
        <f>VLOOKUP(all_lmics1819[[worldbank_region]:[worldbank_region]],Table14[],5,FALSE)*0.95</f>
        <v>2.4603251999999998</v>
      </c>
      <c r="AU15">
        <f>VLOOKUP(all_lmics1819[[worldbank_region]:[worldbank_region]],Table14[],6,FALSE)*0.95</f>
        <v>3.0020645999999997</v>
      </c>
      <c r="AV15">
        <f>IFERROR(VLOOKUP(all_lmics1819[[Setting]:[Setting]],nFacSBA[],4,FALSE),VLOOKUP(all_lmics1819[[who_choice_region]:[who_choice_region]],missing[],30,FALSE))*0.95</f>
        <v>0.1518638670270247</v>
      </c>
      <c r="AW15">
        <f>VLOOKUP(all_lmics1819[[worldbank_region]:[worldbank_region]],hbe[],3)</f>
        <v>0.2</v>
      </c>
      <c r="AX15">
        <f>VLOOKUP(all_lmics1819[[worldbank_region]:[worldbank_region]],hbe[],6)</f>
        <v>0.75</v>
      </c>
      <c r="AY15">
        <f>VLOOKUP(all_lmics1819[[worldbank_region]:[worldbank_region]],hbe[],9)</f>
        <v>0.05</v>
      </c>
    </row>
    <row r="16" spans="1:51" x14ac:dyDescent="0.35">
      <c r="A16" s="8" t="s">
        <v>66</v>
      </c>
      <c r="B16" s="10" t="s">
        <v>22</v>
      </c>
      <c r="C16" s="11" t="s">
        <v>383</v>
      </c>
      <c r="D16">
        <f>VLOOKUP(all_lmics1819[[Setting]:[Setting]],populations[],9,FALSE)</f>
        <v>49065615</v>
      </c>
      <c r="E16">
        <f>VLOOKUP(all_lmics1819[[Setting]:[Setting]],birthrate[],3,FALSE)</f>
        <v>1.5198E-2</v>
      </c>
      <c r="F16">
        <f>all_lmics1819[[#This Row],[2017_population]]*all_lmics1819[[#This Row],[2016_birthrate]]</f>
        <v>745699.21676999994</v>
      </c>
      <c r="G16">
        <f>VLOOKUP(all_lmics1819[[Setting]:[Setting]],birthdose[],4,FALSE)*0.95</f>
        <v>0.76949999999999996</v>
      </c>
      <c r="H16">
        <f>VLOOKUP(all_lmics1819[[Setting]:[Setting]],fullvax[],4,FALSE)*0.95</f>
        <v>0.874</v>
      </c>
      <c r="I16">
        <f>IFERROR(VLOOKUP(all_lmics1819[[Setting]:[Setting]],prev[],3,FALSE),VLOOKUP(all_lmics1819[[who_choice_region]:[who_choice_region]],missing[],2,FALSE))</f>
        <v>3.0000000000000001E-3</v>
      </c>
      <c r="J16">
        <f>IFERROR(VLOOKUP(all_lmics1819[[Setting]:[Setting]],prev[],4,FALSE),VLOOKUP(all_lmics1819[[who_choice_region]:[who_choice_region]],missing[],3,FALSE))</f>
        <v>1E-3</v>
      </c>
      <c r="K16">
        <f>IFERROR(VLOOKUP(all_lmics1819[[Setting]:[Setting]],prev[],5,FALSE),VLOOKUP(all_lmics1819[[who_choice_region]:[who_choice_region]],missing[],4,FALSE))</f>
        <v>2.1999999999999999E-2</v>
      </c>
      <c r="L16">
        <f>IFERROR(VLOOKUP(all_lmics1819[[Setting]:[Setting]],prev[],7,FALSE),VLOOKUP(all_lmics1819[[who_choice_region]:[who_choice_region]],missing[],5,FALSE))</f>
        <v>9.6938775510204082E-3</v>
      </c>
      <c r="M16">
        <f>IFERROR(VLOOKUP(all_lmics1819[[Setting]:[Setting]],prev[],6,FALSE),0)</f>
        <v>49065615</v>
      </c>
      <c r="N16">
        <f>IFERROR(VLOOKUP(all_lmics1819[[Setting]:[Setting]],SBA[],4,FALSE),VLOOKUP(all_lmics1819[[who_choice_region]:[who_choice_region]],missing[],6,FALSE))*0.95</f>
        <v>0.91105000000000003</v>
      </c>
      <c r="O16">
        <f>IFERROR(VLOOKUP(all_lmics1819[[Setting]:[Setting]], facility[], 3,FALSE),VLOOKUP(all_lmics1819[[who_choice_region]:[who_choice_region]],missing[],7,FALSE))*0.95</f>
        <v>0.94192500000000001</v>
      </c>
      <c r="P16">
        <f>IF(VLOOKUP(all_lmics1819[[Setting]:[Setting]],all_cause_mort[],4,FALSE)="",VLOOKUP(all_lmics1819[[who_choice_region]:[who_choice_region]],missing[],8,FALSE),VLOOKUP(all_lmics1819[[Setting]:[Setting]],all_cause_mort[],4,FALSE))*0.95</f>
        <v>1.214621835E-2</v>
      </c>
      <c r="Q16">
        <f>IF(VLOOKUP(all_lmics1819[[Setting]:[Setting]],all_cause_mort[],5,FALSE)="",VLOOKUP(all_lmics1819[[who_choice_region]:[who_choice_region]],missing[],9,FALSE),VLOOKUP(all_lmics1819[[Setting]:[Setting]],all_cause_mort[],5,FALSE))*0.95</f>
        <v>5.1239293099999994E-4</v>
      </c>
      <c r="R16">
        <f>IF(VLOOKUP(all_lmics1819[[Setting]:[Setting]],all_cause_mort[],6,FALSE)="",VLOOKUP(all_lmics1819[[who_choice_region]:[who_choice_region]],missing[],10,FALSE),VLOOKUP(all_lmics1819[[Setting]:[Setting]],all_cause_mort[],6,FALSE))*0.95</f>
        <v>3.80847495E-4</v>
      </c>
      <c r="S16">
        <f>IF(VLOOKUP(all_lmics1819[[Setting]:[Setting]],all_cause_mort[],7,FALSE)="",VLOOKUP(all_lmics1819[[who_choice_region]:[who_choice_region]],missing[],11,FALSE),VLOOKUP(all_lmics1819[[Setting]:[Setting]],all_cause_mort[],7,FALSE))*0.95</f>
        <v>3.5037930399999998E-4</v>
      </c>
      <c r="T16">
        <f>IF(VLOOKUP(all_lmics1819[[Setting]:[Setting]],all_cause_mort[],8,FALSE)="",VLOOKUP(all_lmics1819[[who_choice_region]:[who_choice_region]],missing[],12,FALSE),VLOOKUP(all_lmics1819[[Setting]:[Setting]],all_cause_mort[],8,FALSE))*0.95</f>
        <v>8.9052741599999997E-4</v>
      </c>
      <c r="U16">
        <f>IF(VLOOKUP(all_lmics1819[[Setting]:[Setting]],all_cause_mort[],9,FALSE)="",VLOOKUP(all_lmics1819[[who_choice_region]:[who_choice_region]],missing[],13,FALSE),VLOOKUP(all_lmics1819[[Setting]:[Setting]],all_cause_mort[],9,FALSE))*0.95</f>
        <v>1.7167439549999998E-3</v>
      </c>
      <c r="V16">
        <f>IF(VLOOKUP(all_lmics1819[[Setting]:[Setting]],all_cause_mort[],10,FALSE)="",VLOOKUP(all_lmics1819[[who_choice_region]:[who_choice_region]],missing[],14,FALSE),VLOOKUP(all_lmics1819[[Setting]:[Setting]],all_cause_mort[],10,FALSE))*0.95</f>
        <v>1.7793152299999998E-3</v>
      </c>
      <c r="W16">
        <f>IF(VLOOKUP(all_lmics1819[[Setting]:[Setting]],all_cause_mort[],11,FALSE)="",VLOOKUP(all_lmics1819[[who_choice_region]:[who_choice_region]],missing[],15,FALSE),VLOOKUP(all_lmics1819[[Setting]:[Setting]],all_cause_mort[],11,FALSE))*0.95</f>
        <v>1.7422170650000001E-3</v>
      </c>
      <c r="X16">
        <f>IF(VLOOKUP(all_lmics1819[[Setting]:[Setting]],all_cause_mort[],12,FALSE)="",VLOOKUP(all_lmics1819[[who_choice_region]:[who_choice_region]],missing[],16,FALSE),VLOOKUP(all_lmics1819[[Setting]:[Setting]],all_cause_mort[],12,FALSE))*0.95</f>
        <v>1.8983945E-3</v>
      </c>
      <c r="Y16">
        <f>IF(VLOOKUP(all_lmics1819[[Setting]:[Setting]],all_cause_mort[],13,FALSE)="",VLOOKUP(all_lmics1819[[who_choice_region]:[who_choice_region]],missing[],17,FALSE),VLOOKUP(all_lmics1819[[Setting]:[Setting]],all_cause_mort[],13,FALSE))*0.95</f>
        <v>2.1519524449999999E-3</v>
      </c>
      <c r="Z16">
        <f>IF(VLOOKUP(all_lmics1819[[Setting]:[Setting]],all_cause_mort[],14,FALSE)="",VLOOKUP(all_lmics1819[[who_choice_region]:[who_choice_region]],missing[],18,FALSE),VLOOKUP(all_lmics1819[[Setting]:[Setting]],all_cause_mort[],14,FALSE))*0.95</f>
        <v>2.7222879849999999E-3</v>
      </c>
      <c r="AA16">
        <f>IF(VLOOKUP(all_lmics1819[[Setting]:[Setting]],all_cause_mort[],15,FALSE)="",VLOOKUP(all_lmics1819[[who_choice_region]:[who_choice_region]],missing[],19,FALSE),VLOOKUP(all_lmics1819[[Setting]:[Setting]],all_cause_mort[],15,FALSE))*0.95</f>
        <v>4.2002238849999998E-3</v>
      </c>
      <c r="AB16">
        <f>IF(VLOOKUP(all_lmics1819[[Setting]:[Setting]],all_cause_mort[],16,FALSE)="",VLOOKUP(all_lmics1819[[who_choice_region]:[who_choice_region]],missing[],20,FALSE),VLOOKUP(all_lmics1819[[Setting]:[Setting]],all_cause_mort[],16,FALSE))*0.95</f>
        <v>6.3019280749999993E-3</v>
      </c>
      <c r="AC16">
        <f>IF(VLOOKUP(all_lmics1819[[Setting]:[Setting]],all_cause_mort[],17,FALSE)="",VLOOKUP(all_lmics1819[[who_choice_region]:[who_choice_region]],missing[],21,FALSE),VLOOKUP(all_lmics1819[[Setting]:[Setting]],all_cause_mort[],17,FALSE))*0.95</f>
        <v>9.8191097499999991E-3</v>
      </c>
      <c r="AD16">
        <f>IF(VLOOKUP(all_lmics1819[[Setting]:[Setting]],all_cause_mort[],18,FALSE)="",VLOOKUP(all_lmics1819[[who_choice_region]:[who_choice_region]],missing[],22,FALSE),VLOOKUP(all_lmics1819[[Setting]:[Setting]],all_cause_mort[],18,FALSE))*0.95</f>
        <v>1.5380188399999998E-2</v>
      </c>
      <c r="AE16">
        <f>IF(VLOOKUP(all_lmics1819[[Setting]:[Setting]],all_cause_mort[],19,FALSE)="",VLOOKUP(all_lmics1819[[who_choice_region]:[who_choice_region]],missing[],23,FALSE),VLOOKUP(all_lmics1819[[Setting]:[Setting]],all_cause_mort[],19,FALSE))*0.95</f>
        <v>2.400184595E-2</v>
      </c>
      <c r="AF16">
        <f>IF(VLOOKUP(all_lmics1819[[Setting]:[Setting]],all_cause_mort[],20,FALSE)="",VLOOKUP(all_lmics1819[[who_choice_region]:[who_choice_region]],missing[],24,FALSE),VLOOKUP(all_lmics1819[[Setting]:[Setting]],all_cause_mort[],20,FALSE))*0.95</f>
        <v>3.7207297199999996E-2</v>
      </c>
      <c r="AG16">
        <f>IF(VLOOKUP(all_lmics1819[[Setting]:[Setting]],all_cause_mort[],21,FALSE)="",VLOOKUP(all_lmics1819[[who_choice_region]:[who_choice_region]],missing[],25,FALSE),VLOOKUP(all_lmics1819[[Setting]:[Setting]],all_cause_mort[],21,FALSE))*0.95</f>
        <v>6.1568384699999999E-2</v>
      </c>
      <c r="AH16">
        <f>IF(VLOOKUP(all_lmics1819[[Setting]:[Setting]],all_cause_mort[],22,FALSE)="",VLOOKUP(all_lmics1819[[who_choice_region]:[who_choice_region]],missing[],26,FALSE),VLOOKUP(all_lmics1819[[Setting]:[Setting]],all_cause_mort[],22,FALSE))*0.95</f>
        <v>0.107380552</v>
      </c>
      <c r="AI16">
        <f>IF(VLOOKUP(all_lmics1819[[Setting]:[Setting]],all_cause_mort[],23,FALSE)="",VLOOKUP(all_lmics1819[[who_choice_region]:[who_choice_region]],missing[],27,FALSE),VLOOKUP(all_lmics1819[[Setting]:[Setting]],all_cause_mort[],23,FALSE))*0.95</f>
        <v>0.135610334</v>
      </c>
      <c r="AJ16">
        <f>IF(VLOOKUP(all_lmics1819[[Setting]:[Setting]],all_cause_mort[],24,FALSE)="",VLOOKUP(all_lmics1819[[who_choice_region]:[who_choice_region]],missing[],28,FALSE),VLOOKUP(all_lmics1819[[Setting]:[Setting]],all_cause_mort[],24,FALSE))*0.95</f>
        <v>0.2586576115</v>
      </c>
      <c r="AK16">
        <f>IF(VLOOKUP(all_lmics1819[[Setting]:[Setting]],all_cause_mort[],25,FALSE)="",VLOOKUP(all_lmics1819[[who_choice_region]:[who_choice_region]],missing[],29,FALSE),VLOOKUP(all_lmics1819[[Setting]:[Setting]],all_cause_mort[],25,FALSE))*0.95</f>
        <v>0.41857018803009993</v>
      </c>
      <c r="AL16">
        <f>VLOOKUP(all_lmics1819[[worldbank_region]:[worldbank_region]],Table13[],2,FALSE)*0.95</f>
        <v>82.51698764999999</v>
      </c>
      <c r="AM16">
        <f>VLOOKUP(all_lmics1819[[worldbank_region]:[worldbank_region]],Table13[],3,FALSE)*0.95</f>
        <v>82.51698764999999</v>
      </c>
      <c r="AN16">
        <f>VLOOKUP(all_lmics1819[[worldbank_region]:[worldbank_region]],Table13[],4,FALSE)*0.95</f>
        <v>127.85940464999999</v>
      </c>
      <c r="AO16">
        <f>VLOOKUP(all_lmics1819[[worldbank_region]:[worldbank_region]],Table13[],5,FALSE)*0.95</f>
        <v>127.85940464999999</v>
      </c>
      <c r="AP16">
        <f>VLOOKUP(all_lmics1819[[worldbank_region]:[worldbank_region]],Table13[],6,FALSE)*0.95</f>
        <v>127.85940464999999</v>
      </c>
      <c r="AQ16">
        <f>VLOOKUP(all_lmics1819[[worldbank_region]:[worldbank_region]],Table14[],2,FALSE)*0.95</f>
        <v>1.4389099000000001</v>
      </c>
      <c r="AR16">
        <f>VLOOKUP(all_lmics1819[[worldbank_region]:[worldbank_region]],Table14[],3,FALSE)*0.95</f>
        <v>2.0255348999999998</v>
      </c>
      <c r="AS16">
        <f>VLOOKUP(all_lmics1819[[worldbank_region]:[worldbank_region]],Table14[],4,FALSE)*0.95</f>
        <v>1.4596142000000001</v>
      </c>
      <c r="AT16">
        <f>VLOOKUP(all_lmics1819[[worldbank_region]:[worldbank_region]],Table14[],5,FALSE)*0.95</f>
        <v>2.0462391999999996</v>
      </c>
      <c r="AU16">
        <f>VLOOKUP(all_lmics1819[[worldbank_region]:[worldbank_region]],Table14[],6,FALSE)*0.95</f>
        <v>2.5879785999999996</v>
      </c>
      <c r="AV16">
        <f>IFERROR(VLOOKUP(all_lmics1819[[Setting]:[Setting]],nFacSBA[],4,FALSE),VLOOKUP(all_lmics1819[[who_choice_region]:[who_choice_region]],missing[],30,FALSE))*0.95</f>
        <v>0.19387920306497206</v>
      </c>
      <c r="AW16">
        <f>VLOOKUP(all_lmics1819[[worldbank_region]:[worldbank_region]],hbe[],3)</f>
        <v>0.2</v>
      </c>
      <c r="AX16">
        <f>VLOOKUP(all_lmics1819[[worldbank_region]:[worldbank_region]],hbe[],6)</f>
        <v>0.75</v>
      </c>
      <c r="AY16">
        <f>VLOOKUP(all_lmics1819[[worldbank_region]:[worldbank_region]],hbe[],9)</f>
        <v>0.05</v>
      </c>
    </row>
    <row r="17" spans="1:51" x14ac:dyDescent="0.35">
      <c r="A17" s="12" t="s">
        <v>69</v>
      </c>
      <c r="B17" s="13" t="s">
        <v>57</v>
      </c>
      <c r="C17" s="14" t="s">
        <v>58</v>
      </c>
      <c r="D17">
        <f>VLOOKUP(all_lmics1819[[Setting]:[Setting]],populations[],9,FALSE)</f>
        <v>17424</v>
      </c>
      <c r="E17">
        <f>VLOOKUP(all_lmics1819[[Setting]:[Setting]],birthrate[],3,FALSE)</f>
        <v>1.4E-2</v>
      </c>
      <c r="F17">
        <f>all_lmics1819[[#This Row],[2017_population]]*all_lmics1819[[#This Row],[2016_birthrate]]</f>
        <v>243.93600000000001</v>
      </c>
      <c r="G17">
        <f>VLOOKUP(all_lmics1819[[Setting]:[Setting]],birthdose[],4,FALSE)*0.95</f>
        <v>0.9405</v>
      </c>
      <c r="H17">
        <f>VLOOKUP(all_lmics1819[[Setting]:[Setting]],fullvax[],4,FALSE)*0.95</f>
        <v>0.9405</v>
      </c>
      <c r="I17">
        <f>IFERROR(VLOOKUP(all_lmics1819[[Setting]:[Setting]],prev[],3,FALSE),VLOOKUP(all_lmics1819[[who_choice_region]:[who_choice_region]],missing[],2,FALSE))</f>
        <v>6.2014367393849211E-2</v>
      </c>
      <c r="J17">
        <f>IFERROR(VLOOKUP(all_lmics1819[[Setting]:[Setting]],prev[],4,FALSE),VLOOKUP(all_lmics1819[[who_choice_region]:[who_choice_region]],missing[],3,FALSE))</f>
        <v>5.5830551219148553E-2</v>
      </c>
      <c r="K17">
        <f>IFERROR(VLOOKUP(all_lmics1819[[Setting]:[Setting]],prev[],5,FALSE),VLOOKUP(all_lmics1819[[who_choice_region]:[who_choice_region]],missing[],4,FALSE))</f>
        <v>7.0881613218274672E-2</v>
      </c>
      <c r="L17">
        <f>IFERROR(VLOOKUP(all_lmics1819[[Setting]:[Setting]],prev[],7,FALSE),VLOOKUP(all_lmics1819[[who_choice_region]:[who_choice_region]],missing[],5,FALSE))</f>
        <v>4.5241050124619608E-3</v>
      </c>
      <c r="M17">
        <f>IFERROR(VLOOKUP(all_lmics1819[[Setting]:[Setting]],prev[],6,FALSE),0)</f>
        <v>0</v>
      </c>
      <c r="N17">
        <f>IFERROR(VLOOKUP(all_lmics1819[[Setting]:[Setting]],SBA[],4,FALSE),VLOOKUP(all_lmics1819[[who_choice_region]:[who_choice_region]],missing[],6,FALSE))*0.95</f>
        <v>0.94990499999999989</v>
      </c>
      <c r="O17">
        <f>IFERROR(VLOOKUP(all_lmics1819[[Setting]:[Setting]], facility[], 3,FALSE),VLOOKUP(all_lmics1819[[who_choice_region]:[who_choice_region]],missing[],7,FALSE))*0.95</f>
        <v>0.94619999999999993</v>
      </c>
      <c r="P17">
        <f>IF(VLOOKUP(all_lmics1819[[Setting]:[Setting]],all_cause_mort[],4,FALSE)="",VLOOKUP(all_lmics1819[[who_choice_region]:[who_choice_region]],missing[],8,FALSE),VLOOKUP(all_lmics1819[[Setting]:[Setting]],all_cause_mort[],4,FALSE))*0.95</f>
        <v>1.1562956025774548E-2</v>
      </c>
      <c r="Q17">
        <f>IF(VLOOKUP(all_lmics1819[[Setting]:[Setting]],all_cause_mort[],5,FALSE)="",VLOOKUP(all_lmics1819[[who_choice_region]:[who_choice_region]],missing[],9,FALSE),VLOOKUP(all_lmics1819[[Setting]:[Setting]],all_cause_mort[],5,FALSE))*0.95</f>
        <v>6.4950026431617822E-4</v>
      </c>
      <c r="R17">
        <f>IF(VLOOKUP(all_lmics1819[[Setting]:[Setting]],all_cause_mort[],6,FALSE)="",VLOOKUP(all_lmics1819[[who_choice_region]:[who_choice_region]],missing[],10,FALSE),VLOOKUP(all_lmics1819[[Setting]:[Setting]],all_cause_mort[],6,FALSE))*0.95</f>
        <v>3.6885009439081341E-4</v>
      </c>
      <c r="S17">
        <f>IF(VLOOKUP(all_lmics1819[[Setting]:[Setting]],all_cause_mort[],7,FALSE)="",VLOOKUP(all_lmics1819[[who_choice_region]:[who_choice_region]],missing[],11,FALSE),VLOOKUP(all_lmics1819[[Setting]:[Setting]],all_cause_mort[],7,FALSE))*0.95</f>
        <v>2.9138577745129086E-4</v>
      </c>
      <c r="T17">
        <f>IF(VLOOKUP(all_lmics1819[[Setting]:[Setting]],all_cause_mort[],8,FALSE)="",VLOOKUP(all_lmics1819[[who_choice_region]:[who_choice_region]],missing[],12,FALSE),VLOOKUP(all_lmics1819[[Setting]:[Setting]],all_cause_mort[],8,FALSE))*0.95</f>
        <v>4.6792122755951615E-4</v>
      </c>
      <c r="U17">
        <f>IF(VLOOKUP(all_lmics1819[[Setting]:[Setting]],all_cause_mort[],9,FALSE)="",VLOOKUP(all_lmics1819[[who_choice_region]:[who_choice_region]],missing[],13,FALSE),VLOOKUP(all_lmics1819[[Setting]:[Setting]],all_cause_mort[],9,FALSE))*0.95</f>
        <v>6.5185388771970328E-4</v>
      </c>
      <c r="V17">
        <f>IF(VLOOKUP(all_lmics1819[[Setting]:[Setting]],all_cause_mort[],10,FALSE)="",VLOOKUP(all_lmics1819[[who_choice_region]:[who_choice_region]],missing[],14,FALSE),VLOOKUP(all_lmics1819[[Setting]:[Setting]],all_cause_mort[],10,FALSE))*0.95</f>
        <v>8.1223228398628943E-4</v>
      </c>
      <c r="W17">
        <f>IF(VLOOKUP(all_lmics1819[[Setting]:[Setting]],all_cause_mort[],11,FALSE)="",VLOOKUP(all_lmics1819[[who_choice_region]:[who_choice_region]],missing[],15,FALSE),VLOOKUP(all_lmics1819[[Setting]:[Setting]],all_cause_mort[],11,FALSE))*0.95</f>
        <v>1.0114628984301877E-3</v>
      </c>
      <c r="X17">
        <f>IF(VLOOKUP(all_lmics1819[[Setting]:[Setting]],all_cause_mort[],12,FALSE)="",VLOOKUP(all_lmics1819[[who_choice_region]:[who_choice_region]],missing[],16,FALSE),VLOOKUP(all_lmics1819[[Setting]:[Setting]],all_cause_mort[],12,FALSE))*0.95</f>
        <v>1.3020875789148841E-3</v>
      </c>
      <c r="Y17">
        <f>IF(VLOOKUP(all_lmics1819[[Setting]:[Setting]],all_cause_mort[],13,FALSE)="",VLOOKUP(all_lmics1819[[who_choice_region]:[who_choice_region]],missing[],17,FALSE),VLOOKUP(all_lmics1819[[Setting]:[Setting]],all_cause_mort[],13,FALSE))*0.95</f>
        <v>1.8371769175086101E-3</v>
      </c>
      <c r="Z17">
        <f>IF(VLOOKUP(all_lmics1819[[Setting]:[Setting]],all_cause_mort[],14,FALSE)="",VLOOKUP(all_lmics1819[[who_choice_region]:[who_choice_region]],missing[],18,FALSE),VLOOKUP(all_lmics1819[[Setting]:[Setting]],all_cause_mort[],14,FALSE))*0.95</f>
        <v>2.7026750008059541E-3</v>
      </c>
      <c r="AA17">
        <f>IF(VLOOKUP(all_lmics1819[[Setting]:[Setting]],all_cause_mort[],15,FALSE)="",VLOOKUP(all_lmics1819[[who_choice_region]:[who_choice_region]],missing[],19,FALSE),VLOOKUP(all_lmics1819[[Setting]:[Setting]],all_cause_mort[],15,FALSE))*0.95</f>
        <v>4.3127395551441853E-3</v>
      </c>
      <c r="AB17">
        <f>IF(VLOOKUP(all_lmics1819[[Setting]:[Setting]],all_cause_mort[],16,FALSE)="",VLOOKUP(all_lmics1819[[who_choice_region]:[who_choice_region]],missing[],20,FALSE),VLOOKUP(all_lmics1819[[Setting]:[Setting]],all_cause_mort[],16,FALSE))*0.95</f>
        <v>6.927875547491278E-3</v>
      </c>
      <c r="AC17">
        <f>IF(VLOOKUP(all_lmics1819[[Setting]:[Setting]],all_cause_mort[],17,FALSE)="",VLOOKUP(all_lmics1819[[who_choice_region]:[who_choice_region]],missing[],21,FALSE),VLOOKUP(all_lmics1819[[Setting]:[Setting]],all_cause_mort[],17,FALSE))*0.95</f>
        <v>1.1808510615671607E-2</v>
      </c>
      <c r="AD17">
        <f>IF(VLOOKUP(all_lmics1819[[Setting]:[Setting]],all_cause_mort[],18,FALSE)="",VLOOKUP(all_lmics1819[[who_choice_region]:[who_choice_region]],missing[],22,FALSE),VLOOKUP(all_lmics1819[[Setting]:[Setting]],all_cause_mort[],18,FALSE))*0.95</f>
        <v>2.0163962388090179E-2</v>
      </c>
      <c r="AE17">
        <f>IF(VLOOKUP(all_lmics1819[[Setting]:[Setting]],all_cause_mort[],19,FALSE)="",VLOOKUP(all_lmics1819[[who_choice_region]:[who_choice_region]],missing[],23,FALSE),VLOOKUP(all_lmics1819[[Setting]:[Setting]],all_cause_mort[],19,FALSE))*0.95</f>
        <v>3.5245853683149968E-2</v>
      </c>
      <c r="AF17">
        <f>IF(VLOOKUP(all_lmics1819[[Setting]:[Setting]],all_cause_mort[],20,FALSE)="",VLOOKUP(all_lmics1819[[who_choice_region]:[who_choice_region]],missing[],24,FALSE),VLOOKUP(all_lmics1819[[Setting]:[Setting]],all_cause_mort[],20,FALSE))*0.95</f>
        <v>5.8430569807008163E-2</v>
      </c>
      <c r="AG17">
        <f>IF(VLOOKUP(all_lmics1819[[Setting]:[Setting]],all_cause_mort[],21,FALSE)="",VLOOKUP(all_lmics1819[[who_choice_region]:[who_choice_region]],missing[],25,FALSE),VLOOKUP(all_lmics1819[[Setting]:[Setting]],all_cause_mort[],21,FALSE))*0.95</f>
        <v>9.0126824158744276E-2</v>
      </c>
      <c r="AH17">
        <f>IF(VLOOKUP(all_lmics1819[[Setting]:[Setting]],all_cause_mort[],22,FALSE)="",VLOOKUP(all_lmics1819[[who_choice_region]:[who_choice_region]],missing[],26,FALSE),VLOOKUP(all_lmics1819[[Setting]:[Setting]],all_cause_mort[],22,FALSE))*0.95</f>
        <v>0.13958952278882106</v>
      </c>
      <c r="AI17">
        <f>IF(VLOOKUP(all_lmics1819[[Setting]:[Setting]],all_cause_mort[],23,FALSE)="",VLOOKUP(all_lmics1819[[who_choice_region]:[who_choice_region]],missing[],27,FALSE),VLOOKUP(all_lmics1819[[Setting]:[Setting]],all_cause_mort[],23,FALSE))*0.95</f>
        <v>0.20001538191489329</v>
      </c>
      <c r="AJ17">
        <f>IF(VLOOKUP(all_lmics1819[[Setting]:[Setting]],all_cause_mort[],24,FALSE)="",VLOOKUP(all_lmics1819[[who_choice_region]:[who_choice_region]],missing[],28,FALSE),VLOOKUP(all_lmics1819[[Setting]:[Setting]],all_cause_mort[],24,FALSE))*0.95</f>
        <v>0.27322656913337529</v>
      </c>
      <c r="AK17">
        <f>IF(VLOOKUP(all_lmics1819[[Setting]:[Setting]],all_cause_mort[],25,FALSE)="",VLOOKUP(all_lmics1819[[who_choice_region]:[who_choice_region]],missing[],29,FALSE),VLOOKUP(all_lmics1819[[Setting]:[Setting]],all_cause_mort[],25,FALSE))*0.95</f>
        <v>0.34399302026491624</v>
      </c>
      <c r="AL17">
        <f>VLOOKUP(all_lmics1819[[worldbank_region]:[worldbank_region]],Table13[],2,FALSE)*0.95</f>
        <v>69.411165749999981</v>
      </c>
      <c r="AM17">
        <f>VLOOKUP(all_lmics1819[[worldbank_region]:[worldbank_region]],Table13[],3,FALSE)*0.95</f>
        <v>69.411165749999981</v>
      </c>
      <c r="AN17">
        <f>VLOOKUP(all_lmics1819[[worldbank_region]:[worldbank_region]],Table13[],4,FALSE)*0.95</f>
        <v>114.75358274999998</v>
      </c>
      <c r="AO17">
        <f>VLOOKUP(all_lmics1819[[worldbank_region]:[worldbank_region]],Table13[],5,FALSE)*0.95</f>
        <v>114.75358274999998</v>
      </c>
      <c r="AP17">
        <f>VLOOKUP(all_lmics1819[[worldbank_region]:[worldbank_region]],Table13[],6,FALSE)*0.95</f>
        <v>114.75358274999998</v>
      </c>
      <c r="AQ17">
        <f>VLOOKUP(all_lmics1819[[worldbank_region]:[worldbank_region]],Table14[],2,FALSE)*0.95</f>
        <v>1.2732755</v>
      </c>
      <c r="AR17">
        <f>VLOOKUP(all_lmics1819[[worldbank_region]:[worldbank_region]],Table14[],3,FALSE)*0.95</f>
        <v>1.8599005</v>
      </c>
      <c r="AS17">
        <f>VLOOKUP(all_lmics1819[[worldbank_region]:[worldbank_region]],Table14[],4,FALSE)*0.95</f>
        <v>1.8737001999999996</v>
      </c>
      <c r="AT17">
        <f>VLOOKUP(all_lmics1819[[worldbank_region]:[worldbank_region]],Table14[],5,FALSE)*0.95</f>
        <v>2.4603251999999998</v>
      </c>
      <c r="AU17">
        <f>VLOOKUP(all_lmics1819[[worldbank_region]:[worldbank_region]],Table14[],6,FALSE)*0.95</f>
        <v>3.0020645999999997</v>
      </c>
      <c r="AV17">
        <f>IFERROR(VLOOKUP(all_lmics1819[[Setting]:[Setting]],nFacSBA[],4,FALSE),VLOOKUP(all_lmics1819[[who_choice_region]:[who_choice_region]],missing[],30,FALSE))*0.95</f>
        <v>0.1518638670270247</v>
      </c>
      <c r="AW17">
        <f>VLOOKUP(all_lmics1819[[worldbank_region]:[worldbank_region]],hbe[],3)</f>
        <v>0.2</v>
      </c>
      <c r="AX17">
        <f>VLOOKUP(all_lmics1819[[worldbank_region]:[worldbank_region]],hbe[],6)</f>
        <v>0.75</v>
      </c>
      <c r="AY17">
        <f>VLOOKUP(all_lmics1819[[worldbank_region]:[worldbank_region]],hbe[],9)</f>
        <v>0.05</v>
      </c>
    </row>
    <row r="18" spans="1:51" x14ac:dyDescent="0.35">
      <c r="A18" s="8" t="s">
        <v>70</v>
      </c>
      <c r="B18" s="10" t="s">
        <v>22</v>
      </c>
      <c r="C18" s="11" t="s">
        <v>383</v>
      </c>
      <c r="D18">
        <f>VLOOKUP(all_lmics1819[[Setting]:[Setting]],populations[],9,FALSE)</f>
        <v>4905769</v>
      </c>
      <c r="E18">
        <f>VLOOKUP(all_lmics1819[[Setting]:[Setting]],birthrate[],3,FALSE)</f>
        <v>1.4289E-2</v>
      </c>
      <c r="F18">
        <f>all_lmics1819[[#This Row],[2017_population]]*all_lmics1819[[#This Row],[2016_birthrate]]</f>
        <v>70098.533240999997</v>
      </c>
      <c r="G18">
        <f>VLOOKUP(all_lmics1819[[Setting]:[Setting]],birthdose[],4,FALSE)*0.95</f>
        <v>0.82650000000000001</v>
      </c>
      <c r="H18">
        <f>VLOOKUP(all_lmics1819[[Setting]:[Setting]],fullvax[],4,FALSE)*0.95</f>
        <v>0.92149999999999999</v>
      </c>
      <c r="I18">
        <f>IFERROR(VLOOKUP(all_lmics1819[[Setting]:[Setting]],prev[],3,FALSE),VLOOKUP(all_lmics1819[[who_choice_region]:[who_choice_region]],missing[],2,FALSE))</f>
        <v>2E-3</v>
      </c>
      <c r="J18">
        <f>IFERROR(VLOOKUP(all_lmics1819[[Setting]:[Setting]],prev[],4,FALSE),VLOOKUP(all_lmics1819[[who_choice_region]:[who_choice_region]],missing[],3,FALSE))</f>
        <v>1E-3</v>
      </c>
      <c r="K18">
        <f>IFERROR(VLOOKUP(all_lmics1819[[Setting]:[Setting]],prev[],5,FALSE),VLOOKUP(all_lmics1819[[who_choice_region]:[who_choice_region]],missing[],4,FALSE))</f>
        <v>2E-3</v>
      </c>
      <c r="L18">
        <f>IFERROR(VLOOKUP(all_lmics1819[[Setting]:[Setting]],prev[],7,FALSE),VLOOKUP(all_lmics1819[[who_choice_region]:[who_choice_region]],missing[],5,FALSE))</f>
        <v>5.102040816326522E-5</v>
      </c>
      <c r="M18">
        <f>IFERROR(VLOOKUP(all_lmics1819[[Setting]:[Setting]],prev[],6,FALSE),0)</f>
        <v>4905769</v>
      </c>
      <c r="N18">
        <f>IFERROR(VLOOKUP(all_lmics1819[[Setting]:[Setting]],SBA[],4,FALSE),VLOOKUP(all_lmics1819[[who_choice_region]:[who_choice_region]],missing[],6,FALSE))*0.95</f>
        <v>0.85499999999999998</v>
      </c>
      <c r="O18">
        <f>IFERROR(VLOOKUP(all_lmics1819[[Setting]:[Setting]], facility[], 3,FALSE),VLOOKUP(all_lmics1819[[who_choice_region]:[who_choice_region]],missing[],7,FALSE))*0.95</f>
        <v>0.94192500000000001</v>
      </c>
      <c r="P18">
        <f>IF(VLOOKUP(all_lmics1819[[Setting]:[Setting]],all_cause_mort[],4,FALSE)="",VLOOKUP(all_lmics1819[[who_choice_region]:[who_choice_region]],missing[],8,FALSE),VLOOKUP(all_lmics1819[[Setting]:[Setting]],all_cause_mort[],4,FALSE))*0.95</f>
        <v>6.9999135949999998E-3</v>
      </c>
      <c r="Q18">
        <f>IF(VLOOKUP(all_lmics1819[[Setting]:[Setting]],all_cause_mort[],5,FALSE)="",VLOOKUP(all_lmics1819[[who_choice_region]:[who_choice_region]],missing[],9,FALSE),VLOOKUP(all_lmics1819[[Setting]:[Setting]],all_cause_mort[],5,FALSE))*0.95</f>
        <v>4.3884359850000001E-4</v>
      </c>
      <c r="R18">
        <f>IF(VLOOKUP(all_lmics1819[[Setting]:[Setting]],all_cause_mort[],6,FALSE)="",VLOOKUP(all_lmics1819[[who_choice_region]:[who_choice_region]],missing[],10,FALSE),VLOOKUP(all_lmics1819[[Setting]:[Setting]],all_cause_mort[],6,FALSE))*0.95</f>
        <v>1.7981573399999999E-4</v>
      </c>
      <c r="S18">
        <f>IF(VLOOKUP(all_lmics1819[[Setting]:[Setting]],all_cause_mort[],7,FALSE)="",VLOOKUP(all_lmics1819[[who_choice_region]:[who_choice_region]],missing[],11,FALSE),VLOOKUP(all_lmics1819[[Setting]:[Setting]],all_cause_mort[],7,FALSE))*0.95</f>
        <v>2.3985022399999997E-4</v>
      </c>
      <c r="T18">
        <f>IF(VLOOKUP(all_lmics1819[[Setting]:[Setting]],all_cause_mort[],8,FALSE)="",VLOOKUP(all_lmics1819[[who_choice_region]:[who_choice_region]],missing[],12,FALSE),VLOOKUP(all_lmics1819[[Setting]:[Setting]],all_cause_mort[],8,FALSE))*0.95</f>
        <v>4.9622375999999995E-4</v>
      </c>
      <c r="U18">
        <f>IF(VLOOKUP(all_lmics1819[[Setting]:[Setting]],all_cause_mort[],9,FALSE)="",VLOOKUP(all_lmics1819[[who_choice_region]:[who_choice_region]],missing[],13,FALSE),VLOOKUP(all_lmics1819[[Setting]:[Setting]],all_cause_mort[],9,FALSE))*0.95</f>
        <v>7.527391595E-4</v>
      </c>
      <c r="V18">
        <f>IF(VLOOKUP(all_lmics1819[[Setting]:[Setting]],all_cause_mort[],10,FALSE)="",VLOOKUP(all_lmics1819[[who_choice_region]:[who_choice_region]],missing[],14,FALSE),VLOOKUP(all_lmics1819[[Setting]:[Setting]],all_cause_mort[],10,FALSE))*0.95</f>
        <v>8.7547920700000001E-4</v>
      </c>
      <c r="W18">
        <f>IF(VLOOKUP(all_lmics1819[[Setting]:[Setting]],all_cause_mort[],11,FALSE)="",VLOOKUP(all_lmics1819[[who_choice_region]:[who_choice_region]],missing[],15,FALSE),VLOOKUP(all_lmics1819[[Setting]:[Setting]],all_cause_mort[],11,FALSE))*0.95</f>
        <v>1.034116135E-3</v>
      </c>
      <c r="X18">
        <f>IF(VLOOKUP(all_lmics1819[[Setting]:[Setting]],all_cause_mort[],12,FALSE)="",VLOOKUP(all_lmics1819[[who_choice_region]:[who_choice_region]],missing[],16,FALSE),VLOOKUP(all_lmics1819[[Setting]:[Setting]],all_cause_mort[],12,FALSE))*0.95</f>
        <v>1.2694289499999999E-3</v>
      </c>
      <c r="Y18">
        <f>IF(VLOOKUP(all_lmics1819[[Setting]:[Setting]],all_cause_mort[],13,FALSE)="",VLOOKUP(all_lmics1819[[who_choice_region]:[who_choice_region]],missing[],17,FALSE),VLOOKUP(all_lmics1819[[Setting]:[Setting]],all_cause_mort[],13,FALSE))*0.95</f>
        <v>1.6679080649999998E-3</v>
      </c>
      <c r="Z18">
        <f>IF(VLOOKUP(all_lmics1819[[Setting]:[Setting]],all_cause_mort[],14,FALSE)="",VLOOKUP(all_lmics1819[[who_choice_region]:[who_choice_region]],missing[],18,FALSE),VLOOKUP(all_lmics1819[[Setting]:[Setting]],all_cause_mort[],14,FALSE))*0.95</f>
        <v>2.3589990549999999E-3</v>
      </c>
      <c r="AA18">
        <f>IF(VLOOKUP(all_lmics1819[[Setting]:[Setting]],all_cause_mort[],15,FALSE)="",VLOOKUP(all_lmics1819[[who_choice_region]:[who_choice_region]],missing[],19,FALSE),VLOOKUP(all_lmics1819[[Setting]:[Setting]],all_cause_mort[],15,FALSE))*0.95</f>
        <v>3.4678120749999999E-3</v>
      </c>
      <c r="AB18">
        <f>IF(VLOOKUP(all_lmics1819[[Setting]:[Setting]],all_cause_mort[],16,FALSE)="",VLOOKUP(all_lmics1819[[who_choice_region]:[who_choice_region]],missing[],20,FALSE),VLOOKUP(all_lmics1819[[Setting]:[Setting]],all_cause_mort[],16,FALSE))*0.95</f>
        <v>5.2842172049999995E-3</v>
      </c>
      <c r="AC18">
        <f>IF(VLOOKUP(all_lmics1819[[Setting]:[Setting]],all_cause_mort[],17,FALSE)="",VLOOKUP(all_lmics1819[[who_choice_region]:[who_choice_region]],missing[],21,FALSE),VLOOKUP(all_lmics1819[[Setting]:[Setting]],all_cause_mort[],17,FALSE))*0.95</f>
        <v>8.1956942699999997E-3</v>
      </c>
      <c r="AD18">
        <f>IF(VLOOKUP(all_lmics1819[[Setting]:[Setting]],all_cause_mort[],18,FALSE)="",VLOOKUP(all_lmics1819[[who_choice_region]:[who_choice_region]],missing[],22,FALSE),VLOOKUP(all_lmics1819[[Setting]:[Setting]],all_cause_mort[],18,FALSE))*0.95</f>
        <v>1.298173765E-2</v>
      </c>
      <c r="AE18">
        <f>IF(VLOOKUP(all_lmics1819[[Setting]:[Setting]],all_cause_mort[],19,FALSE)="",VLOOKUP(all_lmics1819[[who_choice_region]:[who_choice_region]],missing[],23,FALSE),VLOOKUP(all_lmics1819[[Setting]:[Setting]],all_cause_mort[],19,FALSE))*0.95</f>
        <v>2.044536135E-2</v>
      </c>
      <c r="AF18">
        <f>IF(VLOOKUP(all_lmics1819[[Setting]:[Setting]],all_cause_mort[],20,FALSE)="",VLOOKUP(all_lmics1819[[who_choice_region]:[who_choice_region]],missing[],24,FALSE),VLOOKUP(all_lmics1819[[Setting]:[Setting]],all_cause_mort[],20,FALSE))*0.95</f>
        <v>3.3421287850000002E-2</v>
      </c>
      <c r="AG18">
        <f>IF(VLOOKUP(all_lmics1819[[Setting]:[Setting]],all_cause_mort[],21,FALSE)="",VLOOKUP(all_lmics1819[[who_choice_region]:[who_choice_region]],missing[],25,FALSE),VLOOKUP(all_lmics1819[[Setting]:[Setting]],all_cause_mort[],21,FALSE))*0.95</f>
        <v>5.4588571299999999E-2</v>
      </c>
      <c r="AH18">
        <f>IF(VLOOKUP(all_lmics1819[[Setting]:[Setting]],all_cause_mort[],22,FALSE)="",VLOOKUP(all_lmics1819[[who_choice_region]:[who_choice_region]],missing[],26,FALSE),VLOOKUP(all_lmics1819[[Setting]:[Setting]],all_cause_mort[],22,FALSE))*0.95</f>
        <v>8.7863611399999986E-2</v>
      </c>
      <c r="AI18">
        <f>IF(VLOOKUP(all_lmics1819[[Setting]:[Setting]],all_cause_mort[],23,FALSE)="",VLOOKUP(all_lmics1819[[who_choice_region]:[who_choice_region]],missing[],27,FALSE),VLOOKUP(all_lmics1819[[Setting]:[Setting]],all_cause_mort[],23,FALSE))*0.95</f>
        <v>0.14075875449999997</v>
      </c>
      <c r="AJ18">
        <f>IF(VLOOKUP(all_lmics1819[[Setting]:[Setting]],all_cause_mort[],24,FALSE)="",VLOOKUP(all_lmics1819[[who_choice_region]:[who_choice_region]],missing[],28,FALSE),VLOOKUP(all_lmics1819[[Setting]:[Setting]],all_cause_mort[],24,FALSE))*0.95</f>
        <v>0.22506851849999998</v>
      </c>
      <c r="AK18">
        <f>IF(VLOOKUP(all_lmics1819[[Setting]:[Setting]],all_cause_mort[],25,FALSE)="",VLOOKUP(all_lmics1819[[who_choice_region]:[who_choice_region]],missing[],29,FALSE),VLOOKUP(all_lmics1819[[Setting]:[Setting]],all_cause_mort[],25,FALSE))*0.95</f>
        <v>0.38345845784633065</v>
      </c>
      <c r="AL18">
        <f>VLOOKUP(all_lmics1819[[worldbank_region]:[worldbank_region]],Table13[],2,FALSE)*0.95</f>
        <v>82.51698764999999</v>
      </c>
      <c r="AM18">
        <f>VLOOKUP(all_lmics1819[[worldbank_region]:[worldbank_region]],Table13[],3,FALSE)*0.95</f>
        <v>82.51698764999999</v>
      </c>
      <c r="AN18">
        <f>VLOOKUP(all_lmics1819[[worldbank_region]:[worldbank_region]],Table13[],4,FALSE)*0.95</f>
        <v>127.85940464999999</v>
      </c>
      <c r="AO18">
        <f>VLOOKUP(all_lmics1819[[worldbank_region]:[worldbank_region]],Table13[],5,FALSE)*0.95</f>
        <v>127.85940464999999</v>
      </c>
      <c r="AP18">
        <f>VLOOKUP(all_lmics1819[[worldbank_region]:[worldbank_region]],Table13[],6,FALSE)*0.95</f>
        <v>127.85940464999999</v>
      </c>
      <c r="AQ18">
        <f>VLOOKUP(all_lmics1819[[worldbank_region]:[worldbank_region]],Table14[],2,FALSE)*0.95</f>
        <v>1.4389099000000001</v>
      </c>
      <c r="AR18">
        <f>VLOOKUP(all_lmics1819[[worldbank_region]:[worldbank_region]],Table14[],3,FALSE)*0.95</f>
        <v>2.0255348999999998</v>
      </c>
      <c r="AS18">
        <f>VLOOKUP(all_lmics1819[[worldbank_region]:[worldbank_region]],Table14[],4,FALSE)*0.95</f>
        <v>1.4596142000000001</v>
      </c>
      <c r="AT18">
        <f>VLOOKUP(all_lmics1819[[worldbank_region]:[worldbank_region]],Table14[],5,FALSE)*0.95</f>
        <v>2.0462391999999996</v>
      </c>
      <c r="AU18">
        <f>VLOOKUP(all_lmics1819[[worldbank_region]:[worldbank_region]],Table14[],6,FALSE)*0.95</f>
        <v>2.5879785999999996</v>
      </c>
      <c r="AV18">
        <f>IFERROR(VLOOKUP(all_lmics1819[[Setting]:[Setting]],nFacSBA[],4,FALSE),VLOOKUP(all_lmics1819[[who_choice_region]:[who_choice_region]],missing[],30,FALSE))*0.95</f>
        <v>0.43880783451583888</v>
      </c>
      <c r="AW18">
        <f>VLOOKUP(all_lmics1819[[worldbank_region]:[worldbank_region]],hbe[],3)</f>
        <v>0.2</v>
      </c>
      <c r="AX18">
        <f>VLOOKUP(all_lmics1819[[worldbank_region]:[worldbank_region]],hbe[],6)</f>
        <v>0.75</v>
      </c>
      <c r="AY18">
        <f>VLOOKUP(all_lmics1819[[worldbank_region]:[worldbank_region]],hbe[],9)</f>
        <v>0.05</v>
      </c>
    </row>
    <row r="19" spans="1:51" x14ac:dyDescent="0.35">
      <c r="A19" s="8" t="s">
        <v>76</v>
      </c>
      <c r="B19" s="10" t="s">
        <v>36</v>
      </c>
      <c r="C19" s="11" t="s">
        <v>37</v>
      </c>
      <c r="D19">
        <f>VLOOKUP(all_lmics1819[[Setting]:[Setting]],populations[],9,FALSE)</f>
        <v>25490965</v>
      </c>
      <c r="E19">
        <f>VLOOKUP(all_lmics1819[[Setting]:[Setting]],birthrate[],3,FALSE)</f>
        <v>1.3833999999999999E-2</v>
      </c>
      <c r="F19">
        <f>all_lmics1819[[#This Row],[2017_population]]*all_lmics1819[[#This Row],[2016_birthrate]]</f>
        <v>352642.00980999996</v>
      </c>
      <c r="G19">
        <f>VLOOKUP(all_lmics1819[[Setting]:[Setting]],birthdose[],4,FALSE)*0.95</f>
        <v>0.93099999999999994</v>
      </c>
      <c r="H19">
        <f>VLOOKUP(all_lmics1819[[Setting]:[Setting]],fullvax[],4,FALSE)*0.95</f>
        <v>0.92149999999999999</v>
      </c>
      <c r="I19">
        <f>IFERROR(VLOOKUP(all_lmics1819[[Setting]:[Setting]],prev[],3,FALSE),VLOOKUP(all_lmics1819[[who_choice_region]:[who_choice_region]],missing[],2,FALSE))</f>
        <v>2.9042976123168401E-2</v>
      </c>
      <c r="J19">
        <f>IFERROR(VLOOKUP(all_lmics1819[[Setting]:[Setting]],prev[],4,FALSE),VLOOKUP(all_lmics1819[[who_choice_region]:[who_choice_region]],missing[],3,FALSE))</f>
        <v>2.3703460291678725E-2</v>
      </c>
      <c r="K19">
        <f>IFERROR(VLOOKUP(all_lmics1819[[Setting]:[Setting]],prev[],5,FALSE),VLOOKUP(all_lmics1819[[who_choice_region]:[who_choice_region]],missing[],4,FALSE))</f>
        <v>3.2561757047722864E-2</v>
      </c>
      <c r="L19">
        <f>IFERROR(VLOOKUP(all_lmics1819[[Setting]:[Setting]],prev[],7,FALSE),VLOOKUP(all_lmics1819[[who_choice_region]:[who_choice_region]],missing[],5,FALSE))</f>
        <v>1.7952963900788081E-3</v>
      </c>
      <c r="M19">
        <f>IFERROR(VLOOKUP(all_lmics1819[[Setting]:[Setting]],prev[],6,FALSE),0)</f>
        <v>0</v>
      </c>
      <c r="N19">
        <f>IFERROR(VLOOKUP(all_lmics1819[[Setting]:[Setting]],SBA[],4,FALSE),VLOOKUP(all_lmics1819[[who_choice_region]:[who_choice_region]],missing[],6,FALSE))*0.95</f>
        <v>0.94990499999999989</v>
      </c>
      <c r="O19">
        <f>IFERROR(VLOOKUP(all_lmics1819[[Setting]:[Setting]], facility[], 3,FALSE),VLOOKUP(all_lmics1819[[who_choice_region]:[who_choice_region]],missing[],7,FALSE))*0.95</f>
        <v>0.89965000000000006</v>
      </c>
      <c r="P19">
        <f>IF(VLOOKUP(all_lmics1819[[Setting]:[Setting]],all_cause_mort[],4,FALSE)="",VLOOKUP(all_lmics1819[[who_choice_region]:[who_choice_region]],missing[],8,FALSE),VLOOKUP(all_lmics1819[[Setting]:[Setting]],all_cause_mort[],4,FALSE))*0.95</f>
        <v>1.3373274449999998E-2</v>
      </c>
      <c r="Q19">
        <f>IF(VLOOKUP(all_lmics1819[[Setting]:[Setting]],all_cause_mort[],5,FALSE)="",VLOOKUP(all_lmics1819[[who_choice_region]:[who_choice_region]],missing[],9,FALSE),VLOOKUP(all_lmics1819[[Setting]:[Setting]],all_cause_mort[],5,FALSE))*0.95</f>
        <v>1.098033655E-3</v>
      </c>
      <c r="R19">
        <f>IF(VLOOKUP(all_lmics1819[[Setting]:[Setting]],all_cause_mort[],6,FALSE)="",VLOOKUP(all_lmics1819[[who_choice_region]:[who_choice_region]],missing[],10,FALSE),VLOOKUP(all_lmics1819[[Setting]:[Setting]],all_cause_mort[],6,FALSE))*0.95</f>
        <v>6.1349304249999994E-4</v>
      </c>
      <c r="S19">
        <f>IF(VLOOKUP(all_lmics1819[[Setting]:[Setting]],all_cause_mort[],7,FALSE)="",VLOOKUP(all_lmics1819[[who_choice_region]:[who_choice_region]],missing[],11,FALSE),VLOOKUP(all_lmics1819[[Setting]:[Setting]],all_cause_mort[],7,FALSE))*0.95</f>
        <v>5.6979952149999993E-4</v>
      </c>
      <c r="T19">
        <f>IF(VLOOKUP(all_lmics1819[[Setting]:[Setting]],all_cause_mort[],8,FALSE)="",VLOOKUP(all_lmics1819[[who_choice_region]:[who_choice_region]],missing[],12,FALSE),VLOOKUP(all_lmics1819[[Setting]:[Setting]],all_cause_mort[],8,FALSE))*0.95</f>
        <v>8.2333954949999994E-4</v>
      </c>
      <c r="U19">
        <f>IF(VLOOKUP(all_lmics1819[[Setting]:[Setting]],all_cause_mort[],9,FALSE)="",VLOOKUP(all_lmics1819[[who_choice_region]:[who_choice_region]],missing[],13,FALSE),VLOOKUP(all_lmics1819[[Setting]:[Setting]],all_cause_mort[],9,FALSE))*0.95</f>
        <v>1.1818387599999999E-3</v>
      </c>
      <c r="V19">
        <f>IF(VLOOKUP(all_lmics1819[[Setting]:[Setting]],all_cause_mort[],10,FALSE)="",VLOOKUP(all_lmics1819[[who_choice_region]:[who_choice_region]],missing[],14,FALSE),VLOOKUP(all_lmics1819[[Setting]:[Setting]],all_cause_mort[],10,FALSE))*0.95</f>
        <v>1.4681838649999999E-3</v>
      </c>
      <c r="W19">
        <f>IF(VLOOKUP(all_lmics1819[[Setting]:[Setting]],all_cause_mort[],11,FALSE)="",VLOOKUP(all_lmics1819[[who_choice_region]:[who_choice_region]],missing[],15,FALSE),VLOOKUP(all_lmics1819[[Setting]:[Setting]],all_cause_mort[],11,FALSE))*0.95</f>
        <v>1.6683827800000001E-3</v>
      </c>
      <c r="X19">
        <f>IF(VLOOKUP(all_lmics1819[[Setting]:[Setting]],all_cause_mort[],12,FALSE)="",VLOOKUP(all_lmics1819[[who_choice_region]:[who_choice_region]],missing[],16,FALSE),VLOOKUP(all_lmics1819[[Setting]:[Setting]],all_cause_mort[],12,FALSE))*0.95</f>
        <v>1.9250447550000001E-3</v>
      </c>
      <c r="Y19">
        <f>IF(VLOOKUP(all_lmics1819[[Setting]:[Setting]],all_cause_mort[],13,FALSE)="",VLOOKUP(all_lmics1819[[who_choice_region]:[who_choice_region]],missing[],17,FALSE),VLOOKUP(all_lmics1819[[Setting]:[Setting]],all_cause_mort[],13,FALSE))*0.95</f>
        <v>2.3407862249999996E-3</v>
      </c>
      <c r="Z19">
        <f>IF(VLOOKUP(all_lmics1819[[Setting]:[Setting]],all_cause_mort[],14,FALSE)="",VLOOKUP(all_lmics1819[[who_choice_region]:[who_choice_region]],missing[],18,FALSE),VLOOKUP(all_lmics1819[[Setting]:[Setting]],all_cause_mort[],14,FALSE))*0.95</f>
        <v>3.2013305199999997E-3</v>
      </c>
      <c r="AA19">
        <f>IF(VLOOKUP(all_lmics1819[[Setting]:[Setting]],all_cause_mort[],15,FALSE)="",VLOOKUP(all_lmics1819[[who_choice_region]:[who_choice_region]],missing[],19,FALSE),VLOOKUP(all_lmics1819[[Setting]:[Setting]],all_cause_mort[],15,FALSE))*0.95</f>
        <v>4.6082413800000001E-3</v>
      </c>
      <c r="AB19">
        <f>IF(VLOOKUP(all_lmics1819[[Setting]:[Setting]],all_cause_mort[],16,FALSE)="",VLOOKUP(all_lmics1819[[who_choice_region]:[who_choice_region]],missing[],20,FALSE),VLOOKUP(all_lmics1819[[Setting]:[Setting]],all_cause_mort[],16,FALSE))*0.95</f>
        <v>9.3991560749999998E-3</v>
      </c>
      <c r="AC19">
        <f>IF(VLOOKUP(all_lmics1819[[Setting]:[Setting]],all_cause_mort[],17,FALSE)="",VLOOKUP(all_lmics1819[[who_choice_region]:[who_choice_region]],missing[],21,FALSE),VLOOKUP(all_lmics1819[[Setting]:[Setting]],all_cause_mort[],17,FALSE))*0.95</f>
        <v>1.9710004349999997E-2</v>
      </c>
      <c r="AD19">
        <f>IF(VLOOKUP(all_lmics1819[[Setting]:[Setting]],all_cause_mort[],18,FALSE)="",VLOOKUP(all_lmics1819[[who_choice_region]:[who_choice_region]],missing[],22,FALSE),VLOOKUP(all_lmics1819[[Setting]:[Setting]],all_cause_mort[],18,FALSE))*0.95</f>
        <v>2.9468054749999997E-2</v>
      </c>
      <c r="AE19">
        <f>IF(VLOOKUP(all_lmics1819[[Setting]:[Setting]],all_cause_mort[],19,FALSE)="",VLOOKUP(all_lmics1819[[who_choice_region]:[who_choice_region]],missing[],23,FALSE),VLOOKUP(all_lmics1819[[Setting]:[Setting]],all_cause_mort[],19,FALSE))*0.95</f>
        <v>4.2601015299999996E-2</v>
      </c>
      <c r="AF19">
        <f>IF(VLOOKUP(all_lmics1819[[Setting]:[Setting]],all_cause_mort[],20,FALSE)="",VLOOKUP(all_lmics1819[[who_choice_region]:[who_choice_region]],missing[],24,FALSE),VLOOKUP(all_lmics1819[[Setting]:[Setting]],all_cause_mort[],20,FALSE))*0.95</f>
        <v>7.088331615E-2</v>
      </c>
      <c r="AG19">
        <f>IF(VLOOKUP(all_lmics1819[[Setting]:[Setting]],all_cause_mort[],21,FALSE)="",VLOOKUP(all_lmics1819[[who_choice_region]:[who_choice_region]],missing[],25,FALSE),VLOOKUP(all_lmics1819[[Setting]:[Setting]],all_cause_mort[],21,FALSE))*0.95</f>
        <v>0.1079835455</v>
      </c>
      <c r="AH19">
        <f>IF(VLOOKUP(all_lmics1819[[Setting]:[Setting]],all_cause_mort[],22,FALSE)="",VLOOKUP(all_lmics1819[[who_choice_region]:[who_choice_region]],missing[],26,FALSE),VLOOKUP(all_lmics1819[[Setting]:[Setting]],all_cause_mort[],22,FALSE))*0.95</f>
        <v>0.1656316165</v>
      </c>
      <c r="AI19">
        <f>IF(VLOOKUP(all_lmics1819[[Setting]:[Setting]],all_cause_mort[],23,FALSE)="",VLOOKUP(all_lmics1819[[who_choice_region]:[who_choice_region]],missing[],27,FALSE),VLOOKUP(all_lmics1819[[Setting]:[Setting]],all_cause_mort[],23,FALSE))*0.95</f>
        <v>0.24685019450000001</v>
      </c>
      <c r="AJ19">
        <f>IF(VLOOKUP(all_lmics1819[[Setting]:[Setting]],all_cause_mort[],24,FALSE)="",VLOOKUP(all_lmics1819[[who_choice_region]:[who_choice_region]],missing[],28,FALSE),VLOOKUP(all_lmics1819[[Setting]:[Setting]],all_cause_mort[],24,FALSE))*0.95</f>
        <v>0.34184001049999996</v>
      </c>
      <c r="AK19">
        <f>IF(VLOOKUP(all_lmics1819[[Setting]:[Setting]],all_cause_mort[],25,FALSE)="",VLOOKUP(all_lmics1819[[who_choice_region]:[who_choice_region]],missing[],29,FALSE),VLOOKUP(all_lmics1819[[Setting]:[Setting]],all_cause_mort[],25,FALSE))*0.95</f>
        <v>0.48017358224453593</v>
      </c>
      <c r="AL19">
        <f>VLOOKUP(all_lmics1819[[worldbank_region]:[worldbank_region]],Table13[],2,FALSE)*0.95</f>
        <v>54.493717599999997</v>
      </c>
      <c r="AM19">
        <f>VLOOKUP(all_lmics1819[[worldbank_region]:[worldbank_region]],Table13[],3,FALSE)*0.95</f>
        <v>54.493717599999997</v>
      </c>
      <c r="AN19">
        <f>VLOOKUP(all_lmics1819[[worldbank_region]:[worldbank_region]],Table13[],4,FALSE)*0.95</f>
        <v>99.836134599999994</v>
      </c>
      <c r="AO19">
        <f>VLOOKUP(all_lmics1819[[worldbank_region]:[worldbank_region]],Table13[],5,FALSE)*0.95</f>
        <v>99.836134599999994</v>
      </c>
      <c r="AP19">
        <f>VLOOKUP(all_lmics1819[[worldbank_region]:[worldbank_region]],Table13[],6,FALSE)*0.95</f>
        <v>99.836134599999994</v>
      </c>
      <c r="AQ19">
        <f>VLOOKUP(all_lmics1819[[worldbank_region]:[worldbank_region]],Table14[],2,FALSE)*0.95</f>
        <v>0.91095024999999996</v>
      </c>
      <c r="AR19">
        <f>VLOOKUP(all_lmics1819[[worldbank_region]:[worldbank_region]],Table14[],3,FALSE)*0.95</f>
        <v>1.4975752500000001</v>
      </c>
      <c r="AS19">
        <f>VLOOKUP(all_lmics1819[[worldbank_region]:[worldbank_region]],Table14[],4,FALSE)*0.95</f>
        <v>31.377327699999995</v>
      </c>
      <c r="AT19">
        <f>VLOOKUP(all_lmics1819[[worldbank_region]:[worldbank_region]],Table14[],5,FALSE)*0.95</f>
        <v>31.963952699999997</v>
      </c>
      <c r="AU19">
        <f>VLOOKUP(all_lmics1819[[worldbank_region]:[worldbank_region]],Table14[],6,FALSE)*0.95</f>
        <v>32.505692099999997</v>
      </c>
      <c r="AV19">
        <f>IFERROR(VLOOKUP(all_lmics1819[[Setting]:[Setting]],nFacSBA[],4,FALSE),VLOOKUP(all_lmics1819[[who_choice_region]:[who_choice_region]],missing[],30,FALSE))*0.95</f>
        <v>0.12224145355001162</v>
      </c>
      <c r="AW19">
        <f>VLOOKUP(all_lmics1819[[worldbank_region]:[worldbank_region]],hbe[],3)</f>
        <v>0.2</v>
      </c>
      <c r="AX19">
        <f>VLOOKUP(all_lmics1819[[worldbank_region]:[worldbank_region]],hbe[],6)</f>
        <v>0.75</v>
      </c>
      <c r="AY19">
        <f>VLOOKUP(all_lmics1819[[worldbank_region]:[worldbank_region]],hbe[],9)</f>
        <v>0.05</v>
      </c>
    </row>
    <row r="20" spans="1:51" x14ac:dyDescent="0.35">
      <c r="A20" s="12" t="s">
        <v>79</v>
      </c>
      <c r="B20" s="13" t="s">
        <v>6</v>
      </c>
      <c r="C20" s="14" t="s">
        <v>7</v>
      </c>
      <c r="D20">
        <f>VLOOKUP(all_lmics1819[[Setting]:[Setting]],populations[],9,FALSE)</f>
        <v>956985</v>
      </c>
      <c r="E20">
        <f>VLOOKUP(all_lmics1819[[Setting]:[Setting]],birthrate[],3,FALSE)</f>
        <v>2.3001999999999998E-2</v>
      </c>
      <c r="F20">
        <f>all_lmics1819[[#This Row],[2017_population]]*all_lmics1819[[#This Row],[2016_birthrate]]</f>
        <v>22012.568969999997</v>
      </c>
      <c r="G20">
        <f>VLOOKUP(all_lmics1819[[Setting]:[Setting]],birthdose[],4,FALSE)*0.95</f>
        <v>0.85499999999999998</v>
      </c>
      <c r="H20">
        <f>VLOOKUP(all_lmics1819[[Setting]:[Setting]],fullvax[],4,FALSE)*0.95</f>
        <v>0.64600000000000002</v>
      </c>
      <c r="I20">
        <f>IFERROR(VLOOKUP(all_lmics1819[[Setting]:[Setting]],prev[],3,FALSE),VLOOKUP(all_lmics1819[[who_choice_region]:[who_choice_region]],missing[],2,FALSE))</f>
        <v>2.5943237504895467E-2</v>
      </c>
      <c r="J20">
        <f>IFERROR(VLOOKUP(all_lmics1819[[Setting]:[Setting]],prev[],4,FALSE),VLOOKUP(all_lmics1819[[who_choice_region]:[who_choice_region]],missing[],3,FALSE))</f>
        <v>2.2441861151908198E-2</v>
      </c>
      <c r="K20">
        <f>IFERROR(VLOOKUP(all_lmics1819[[Setting]:[Setting]],prev[],5,FALSE),VLOOKUP(all_lmics1819[[who_choice_region]:[who_choice_region]],missing[],4,FALSE))</f>
        <v>3.4976790744324575E-2</v>
      </c>
      <c r="L20">
        <f>IFERROR(VLOOKUP(all_lmics1819[[Setting]:[Setting]],prev[],7,FALSE),VLOOKUP(all_lmics1819[[who_choice_region]:[who_choice_region]],missing[],5,FALSE))</f>
        <v>4.6089557344026044E-3</v>
      </c>
      <c r="M20">
        <f>IFERROR(VLOOKUP(all_lmics1819[[Setting]:[Setting]],prev[],6,FALSE),0)</f>
        <v>0</v>
      </c>
      <c r="N20">
        <f>IFERROR(VLOOKUP(all_lmics1819[[Setting]:[Setting]],SBA[],4,FALSE),VLOOKUP(all_lmics1819[[who_choice_region]:[who_choice_region]],missing[],6,FALSE))*0.95</f>
        <v>0.83030000000000004</v>
      </c>
      <c r="O20">
        <f>IFERROR(VLOOKUP(all_lmics1819[[Setting]:[Setting]], facility[], 3,FALSE),VLOOKUP(all_lmics1819[[who_choice_region]:[who_choice_region]],missing[],7,FALSE))*0.95</f>
        <v>0.82364999999999999</v>
      </c>
      <c r="P20">
        <f>IF(VLOOKUP(all_lmics1819[[Setting]:[Setting]],all_cause_mort[],4,FALSE)="",VLOOKUP(all_lmics1819[[who_choice_region]:[who_choice_region]],missing[],8,FALSE),VLOOKUP(all_lmics1819[[Setting]:[Setting]],all_cause_mort[],4,FALSE))*0.95</f>
        <v>3.2918103249999997E-2</v>
      </c>
      <c r="Q20">
        <f>IF(VLOOKUP(all_lmics1819[[Setting]:[Setting]],all_cause_mort[],5,FALSE)="",VLOOKUP(all_lmics1819[[who_choice_region]:[who_choice_region]],missing[],9,FALSE),VLOOKUP(all_lmics1819[[Setting]:[Setting]],all_cause_mort[],5,FALSE))*0.95</f>
        <v>4.3513673649999999E-3</v>
      </c>
      <c r="R20">
        <f>IF(VLOOKUP(all_lmics1819[[Setting]:[Setting]],all_cause_mort[],6,FALSE)="",VLOOKUP(all_lmics1819[[who_choice_region]:[who_choice_region]],missing[],10,FALSE),VLOOKUP(all_lmics1819[[Setting]:[Setting]],all_cause_mort[],6,FALSE))*0.95</f>
        <v>1.695724445E-3</v>
      </c>
      <c r="S20">
        <f>IF(VLOOKUP(all_lmics1819[[Setting]:[Setting]],all_cause_mort[],7,FALSE)="",VLOOKUP(all_lmics1819[[who_choice_region]:[who_choice_region]],missing[],11,FALSE),VLOOKUP(all_lmics1819[[Setting]:[Setting]],all_cause_mort[],7,FALSE))*0.95</f>
        <v>1.15691437E-3</v>
      </c>
      <c r="T20">
        <f>IF(VLOOKUP(all_lmics1819[[Setting]:[Setting]],all_cause_mort[],8,FALSE)="",VLOOKUP(all_lmics1819[[who_choice_region]:[who_choice_region]],missing[],12,FALSE),VLOOKUP(all_lmics1819[[Setting]:[Setting]],all_cause_mort[],8,FALSE))*0.95</f>
        <v>1.54700641E-3</v>
      </c>
      <c r="U20">
        <f>IF(VLOOKUP(all_lmics1819[[Setting]:[Setting]],all_cause_mort[],9,FALSE)="",VLOOKUP(all_lmics1819[[who_choice_region]:[who_choice_region]],missing[],13,FALSE),VLOOKUP(all_lmics1819[[Setting]:[Setting]],all_cause_mort[],9,FALSE))*0.95</f>
        <v>2.0716015399999997E-3</v>
      </c>
      <c r="V20">
        <f>IF(VLOOKUP(all_lmics1819[[Setting]:[Setting]],all_cause_mort[],10,FALSE)="",VLOOKUP(all_lmics1819[[who_choice_region]:[who_choice_region]],missing[],14,FALSE),VLOOKUP(all_lmics1819[[Setting]:[Setting]],all_cause_mort[],10,FALSE))*0.95</f>
        <v>2.498953625E-3</v>
      </c>
      <c r="W20">
        <f>IF(VLOOKUP(all_lmics1819[[Setting]:[Setting]],all_cause_mort[],11,FALSE)="",VLOOKUP(all_lmics1819[[who_choice_region]:[who_choice_region]],missing[],15,FALSE),VLOOKUP(all_lmics1819[[Setting]:[Setting]],all_cause_mort[],11,FALSE))*0.95</f>
        <v>3.1585476499999998E-3</v>
      </c>
      <c r="X20">
        <f>IF(VLOOKUP(all_lmics1819[[Setting]:[Setting]],all_cause_mort[],12,FALSE)="",VLOOKUP(all_lmics1819[[who_choice_region]:[who_choice_region]],missing[],16,FALSE),VLOOKUP(all_lmics1819[[Setting]:[Setting]],all_cause_mort[],12,FALSE))*0.95</f>
        <v>4.2895397499999998E-3</v>
      </c>
      <c r="Y20">
        <f>IF(VLOOKUP(all_lmics1819[[Setting]:[Setting]],all_cause_mort[],13,FALSE)="",VLOOKUP(all_lmics1819[[who_choice_region]:[who_choice_region]],missing[],17,FALSE),VLOOKUP(all_lmics1819[[Setting]:[Setting]],all_cause_mort[],13,FALSE))*0.95</f>
        <v>5.3097571950000005E-3</v>
      </c>
      <c r="Z20">
        <f>IF(VLOOKUP(all_lmics1819[[Setting]:[Setting]],all_cause_mort[],14,FALSE)="",VLOOKUP(all_lmics1819[[who_choice_region]:[who_choice_region]],missing[],18,FALSE),VLOOKUP(all_lmics1819[[Setting]:[Setting]],all_cause_mort[],14,FALSE))*0.95</f>
        <v>6.3906579799999997E-3</v>
      </c>
      <c r="AA20">
        <f>IF(VLOOKUP(all_lmics1819[[Setting]:[Setting]],all_cause_mort[],15,FALSE)="",VLOOKUP(all_lmics1819[[who_choice_region]:[who_choice_region]],missing[],19,FALSE),VLOOKUP(all_lmics1819[[Setting]:[Setting]],all_cause_mort[],15,FALSE))*0.95</f>
        <v>8.4019006999999993E-3</v>
      </c>
      <c r="AB20">
        <f>IF(VLOOKUP(all_lmics1819[[Setting]:[Setting]],all_cause_mort[],16,FALSE)="",VLOOKUP(all_lmics1819[[who_choice_region]:[who_choice_region]],missing[],20,FALSE),VLOOKUP(all_lmics1819[[Setting]:[Setting]],all_cause_mort[],16,FALSE))*0.95</f>
        <v>1.10592027E-2</v>
      </c>
      <c r="AC20">
        <f>IF(VLOOKUP(all_lmics1819[[Setting]:[Setting]],all_cause_mort[],17,FALSE)="",VLOOKUP(all_lmics1819[[who_choice_region]:[who_choice_region]],missing[],21,FALSE),VLOOKUP(all_lmics1819[[Setting]:[Setting]],all_cause_mort[],17,FALSE))*0.95</f>
        <v>1.68985449E-2</v>
      </c>
      <c r="AD20">
        <f>IF(VLOOKUP(all_lmics1819[[Setting]:[Setting]],all_cause_mort[],18,FALSE)="",VLOOKUP(all_lmics1819[[who_choice_region]:[who_choice_region]],missing[],22,FALSE),VLOOKUP(all_lmics1819[[Setting]:[Setting]],all_cause_mort[],18,FALSE))*0.95</f>
        <v>2.6669835449999998E-2</v>
      </c>
      <c r="AE20">
        <f>IF(VLOOKUP(all_lmics1819[[Setting]:[Setting]],all_cause_mort[],19,FALSE)="",VLOOKUP(all_lmics1819[[who_choice_region]:[who_choice_region]],missing[],23,FALSE),VLOOKUP(all_lmics1819[[Setting]:[Setting]],all_cause_mort[],19,FALSE))*0.95</f>
        <v>4.3175961950000001E-2</v>
      </c>
      <c r="AF20">
        <f>IF(VLOOKUP(all_lmics1819[[Setting]:[Setting]],all_cause_mort[],20,FALSE)="",VLOOKUP(all_lmics1819[[who_choice_region]:[who_choice_region]],missing[],24,FALSE),VLOOKUP(all_lmics1819[[Setting]:[Setting]],all_cause_mort[],20,FALSE))*0.95</f>
        <v>7.0085908949999998E-2</v>
      </c>
      <c r="AG20">
        <f>IF(VLOOKUP(all_lmics1819[[Setting]:[Setting]],all_cause_mort[],21,FALSE)="",VLOOKUP(all_lmics1819[[who_choice_region]:[who_choice_region]],missing[],25,FALSE),VLOOKUP(all_lmics1819[[Setting]:[Setting]],all_cause_mort[],21,FALSE))*0.95</f>
        <v>0.11374531449999999</v>
      </c>
      <c r="AH20">
        <f>IF(VLOOKUP(all_lmics1819[[Setting]:[Setting]],all_cause_mort[],22,FALSE)="",VLOOKUP(all_lmics1819[[who_choice_region]:[who_choice_region]],missing[],26,FALSE),VLOOKUP(all_lmics1819[[Setting]:[Setting]],all_cause_mort[],22,FALSE))*0.95</f>
        <v>0.17878443299999999</v>
      </c>
      <c r="AI20">
        <f>IF(VLOOKUP(all_lmics1819[[Setting]:[Setting]],all_cause_mort[],23,FALSE)="",VLOOKUP(all_lmics1819[[who_choice_region]:[who_choice_region]],missing[],27,FALSE),VLOOKUP(all_lmics1819[[Setting]:[Setting]],all_cause_mort[],23,FALSE))*0.95</f>
        <v>0.26466214349999995</v>
      </c>
      <c r="AJ20">
        <f>IF(VLOOKUP(all_lmics1819[[Setting]:[Setting]],all_cause_mort[],24,FALSE)="",VLOOKUP(all_lmics1819[[who_choice_region]:[who_choice_region]],missing[],28,FALSE),VLOOKUP(all_lmics1819[[Setting]:[Setting]],all_cause_mort[],24,FALSE))*0.95</f>
        <v>0.3729821505</v>
      </c>
      <c r="AK20">
        <f>IF(VLOOKUP(all_lmics1819[[Setting]:[Setting]],all_cause_mort[],25,FALSE)="",VLOOKUP(all_lmics1819[[who_choice_region]:[who_choice_region]],missing[],29,FALSE),VLOOKUP(all_lmics1819[[Setting]:[Setting]],all_cause_mort[],25,FALSE))*0.95</f>
        <v>0.50159504584605163</v>
      </c>
      <c r="AL20">
        <f>VLOOKUP(all_lmics1819[[worldbank_region]:[worldbank_region]],Table13[],2,FALSE)*0.95</f>
        <v>55.011325099999993</v>
      </c>
      <c r="AM20">
        <f>VLOOKUP(all_lmics1819[[worldbank_region]:[worldbank_region]],Table13[],3,FALSE)*0.95</f>
        <v>55.011325099999993</v>
      </c>
      <c r="AN20">
        <f>VLOOKUP(all_lmics1819[[worldbank_region]:[worldbank_region]],Table13[],4,FALSE)*0.95</f>
        <v>100.35374209999999</v>
      </c>
      <c r="AO20">
        <f>VLOOKUP(all_lmics1819[[worldbank_region]:[worldbank_region]],Table13[],5,FALSE)*0.95</f>
        <v>100.35374209999999</v>
      </c>
      <c r="AP20">
        <f>VLOOKUP(all_lmics1819[[worldbank_region]:[worldbank_region]],Table13[],6,FALSE)*0.95</f>
        <v>100.35374209999999</v>
      </c>
      <c r="AQ20">
        <f>VLOOKUP(all_lmics1819[[worldbank_region]:[worldbank_region]],Table14[],2,FALSE)*0.95</f>
        <v>1.4285577499999997</v>
      </c>
      <c r="AR20">
        <f>VLOOKUP(all_lmics1819[[worldbank_region]:[worldbank_region]],Table14[],3,FALSE)*0.95</f>
        <v>2.0151827500000001</v>
      </c>
      <c r="AS20">
        <f>VLOOKUP(all_lmics1819[[worldbank_region]:[worldbank_region]],Table14[],4,FALSE)*0.95</f>
        <v>1.8840523499999997</v>
      </c>
      <c r="AT20">
        <f>VLOOKUP(all_lmics1819[[worldbank_region]:[worldbank_region]],Table14[],5,FALSE)*0.95</f>
        <v>2.4706773499999999</v>
      </c>
      <c r="AU20">
        <f>VLOOKUP(all_lmics1819[[worldbank_region]:[worldbank_region]],Table14[],6,FALSE)*0.95</f>
        <v>3.0124167499999999</v>
      </c>
      <c r="AV20">
        <f>IFERROR(VLOOKUP(all_lmics1819[[Setting]:[Setting]],nFacSBA[],4,FALSE),VLOOKUP(all_lmics1819[[who_choice_region]:[who_choice_region]],missing[],30,FALSE))*0.95</f>
        <v>0.18855226997320604</v>
      </c>
      <c r="AW20">
        <f>VLOOKUP(all_lmics1819[[worldbank_region]:[worldbank_region]],hbe[],3)</f>
        <v>0.2</v>
      </c>
      <c r="AX20">
        <f>VLOOKUP(all_lmics1819[[worldbank_region]:[worldbank_region]],hbe[],6)</f>
        <v>0.75</v>
      </c>
      <c r="AY20">
        <f>VLOOKUP(all_lmics1819[[worldbank_region]:[worldbank_region]],hbe[],9)</f>
        <v>0.05</v>
      </c>
    </row>
    <row r="21" spans="1:51" x14ac:dyDescent="0.35">
      <c r="A21" s="8" t="s">
        <v>80</v>
      </c>
      <c r="B21" s="10" t="s">
        <v>22</v>
      </c>
      <c r="C21" s="11" t="s">
        <v>383</v>
      </c>
      <c r="D21">
        <f>VLOOKUP(all_lmics1819[[Setting]:[Setting]],populations[],9,FALSE)</f>
        <v>73925</v>
      </c>
      <c r="E21">
        <f>VLOOKUP(all_lmics1819[[Setting]:[Setting]],birthrate[],3,FALSE)</f>
        <v>1.5099999999999999E-2</v>
      </c>
      <c r="F21">
        <f>all_lmics1819[[#This Row],[2017_population]]*all_lmics1819[[#This Row],[2016_birthrate]]</f>
        <v>1116.2674999999999</v>
      </c>
      <c r="G21">
        <f>VLOOKUP(all_lmics1819[[Setting]:[Setting]],birthdose[],4,FALSE)*0.95</f>
        <v>0.2185</v>
      </c>
      <c r="H21">
        <f>VLOOKUP(all_lmics1819[[Setting]:[Setting]],fullvax[],4,FALSE)*0.95</f>
        <v>0.86449999999999994</v>
      </c>
      <c r="I21">
        <f>IFERROR(VLOOKUP(all_lmics1819[[Setting]:[Setting]],prev[],3,FALSE),VLOOKUP(all_lmics1819[[who_choice_region]:[who_choice_region]],missing[],2,FALSE))</f>
        <v>4.1444892127893984E-3</v>
      </c>
      <c r="J21">
        <f>IFERROR(VLOOKUP(all_lmics1819[[Setting]:[Setting]],prev[],4,FALSE),VLOOKUP(all_lmics1819[[who_choice_region]:[who_choice_region]],missing[],3,FALSE))</f>
        <v>2.6055266579680684E-3</v>
      </c>
      <c r="K21">
        <f>IFERROR(VLOOKUP(all_lmics1819[[Setting]:[Setting]],prev[],5,FALSE),VLOOKUP(all_lmics1819[[who_choice_region]:[who_choice_region]],missing[],4,FALSE))</f>
        <v>7.7002555713058798E-3</v>
      </c>
      <c r="L21">
        <f>IFERROR(VLOOKUP(all_lmics1819[[Setting]:[Setting]],prev[],7,FALSE),VLOOKUP(all_lmics1819[[who_choice_region]:[who_choice_region]],missing[],5,FALSE))</f>
        <v>1.8146552860433664E-3</v>
      </c>
      <c r="M21">
        <f>IFERROR(VLOOKUP(all_lmics1819[[Setting]:[Setting]],prev[],6,FALSE),0)</f>
        <v>0</v>
      </c>
      <c r="N21">
        <f>IFERROR(VLOOKUP(all_lmics1819[[Setting]:[Setting]],SBA[],4,FALSE),VLOOKUP(all_lmics1819[[who_choice_region]:[who_choice_region]],missing[],6,FALSE))*0.95</f>
        <v>0.91199999999999992</v>
      </c>
      <c r="O21">
        <f>IFERROR(VLOOKUP(all_lmics1819[[Setting]:[Setting]], facility[], 3,FALSE),VLOOKUP(all_lmics1819[[who_choice_region]:[who_choice_region]],missing[],7,FALSE))*0.95</f>
        <v>0.93002870506146962</v>
      </c>
      <c r="P21">
        <f>IF(VLOOKUP(all_lmics1819[[Setting]:[Setting]],all_cause_mort[],4,FALSE)="",VLOOKUP(all_lmics1819[[who_choice_region]:[who_choice_region]],missing[],8,FALSE),VLOOKUP(all_lmics1819[[Setting]:[Setting]],all_cause_mort[],4,FALSE))*0.95</f>
        <v>1.3536486568565735E-2</v>
      </c>
      <c r="Q21">
        <f>IF(VLOOKUP(all_lmics1819[[Setting]:[Setting]],all_cause_mort[],5,FALSE)="",VLOOKUP(all_lmics1819[[who_choice_region]:[who_choice_region]],missing[],9,FALSE),VLOOKUP(all_lmics1819[[Setting]:[Setting]],all_cause_mort[],5,FALSE))*0.95</f>
        <v>5.895668853720886E-4</v>
      </c>
      <c r="R21">
        <f>IF(VLOOKUP(all_lmics1819[[Setting]:[Setting]],all_cause_mort[],6,FALSE)="",VLOOKUP(all_lmics1819[[who_choice_region]:[who_choice_region]],missing[],10,FALSE),VLOOKUP(all_lmics1819[[Setting]:[Setting]],all_cause_mort[],6,FALSE))*0.95</f>
        <v>2.5805459494341356E-4</v>
      </c>
      <c r="S21">
        <f>IF(VLOOKUP(all_lmics1819[[Setting]:[Setting]],all_cause_mort[],7,FALSE)="",VLOOKUP(all_lmics1819[[who_choice_region]:[who_choice_region]],missing[],11,FALSE),VLOOKUP(all_lmics1819[[Setting]:[Setting]],all_cause_mort[],7,FALSE))*0.95</f>
        <v>3.2266943274367237E-4</v>
      </c>
      <c r="T21">
        <f>IF(VLOOKUP(all_lmics1819[[Setting]:[Setting]],all_cause_mort[],8,FALSE)="",VLOOKUP(all_lmics1819[[who_choice_region]:[who_choice_region]],missing[],12,FALSE),VLOOKUP(all_lmics1819[[Setting]:[Setting]],all_cause_mort[],8,FALSE))*0.95</f>
        <v>9.0473794656726117E-4</v>
      </c>
      <c r="U21">
        <f>IF(VLOOKUP(all_lmics1819[[Setting]:[Setting]],all_cause_mort[],9,FALSE)="",VLOOKUP(all_lmics1819[[who_choice_region]:[who_choice_region]],missing[],13,FALSE),VLOOKUP(all_lmics1819[[Setting]:[Setting]],all_cause_mort[],9,FALSE))*0.95</f>
        <v>1.4307702457260923E-3</v>
      </c>
      <c r="V21">
        <f>IF(VLOOKUP(all_lmics1819[[Setting]:[Setting]],all_cause_mort[],10,FALSE)="",VLOOKUP(all_lmics1819[[who_choice_region]:[who_choice_region]],missing[],14,FALSE),VLOOKUP(all_lmics1819[[Setting]:[Setting]],all_cause_mort[],10,FALSE))*0.95</f>
        <v>1.5377045741762228E-3</v>
      </c>
      <c r="W21">
        <f>IF(VLOOKUP(all_lmics1819[[Setting]:[Setting]],all_cause_mort[],11,FALSE)="",VLOOKUP(all_lmics1819[[who_choice_region]:[who_choice_region]],missing[],15,FALSE),VLOOKUP(all_lmics1819[[Setting]:[Setting]],all_cause_mort[],11,FALSE))*0.95</f>
        <v>1.7177983002120186E-3</v>
      </c>
      <c r="X21">
        <f>IF(VLOOKUP(all_lmics1819[[Setting]:[Setting]],all_cause_mort[],12,FALSE)="",VLOOKUP(all_lmics1819[[who_choice_region]:[who_choice_region]],missing[],16,FALSE),VLOOKUP(all_lmics1819[[Setting]:[Setting]],all_cause_mort[],12,FALSE))*0.95</f>
        <v>2.0483254173106866E-3</v>
      </c>
      <c r="Y21">
        <f>IF(VLOOKUP(all_lmics1819[[Setting]:[Setting]],all_cause_mort[],13,FALSE)="",VLOOKUP(all_lmics1819[[who_choice_region]:[who_choice_region]],missing[],17,FALSE),VLOOKUP(all_lmics1819[[Setting]:[Setting]],all_cause_mort[],13,FALSE))*0.95</f>
        <v>2.6403067732110232E-3</v>
      </c>
      <c r="Z21">
        <f>IF(VLOOKUP(all_lmics1819[[Setting]:[Setting]],all_cause_mort[],14,FALSE)="",VLOOKUP(all_lmics1819[[who_choice_region]:[who_choice_region]],missing[],18,FALSE),VLOOKUP(all_lmics1819[[Setting]:[Setting]],all_cause_mort[],14,FALSE))*0.95</f>
        <v>3.7675476352673396E-3</v>
      </c>
      <c r="AA21">
        <f>IF(VLOOKUP(all_lmics1819[[Setting]:[Setting]],all_cause_mort[],15,FALSE)="",VLOOKUP(all_lmics1819[[who_choice_region]:[who_choice_region]],missing[],19,FALSE),VLOOKUP(all_lmics1819[[Setting]:[Setting]],all_cause_mort[],15,FALSE))*0.95</f>
        <v>5.5588821160685985E-3</v>
      </c>
      <c r="AB21">
        <f>IF(VLOOKUP(all_lmics1819[[Setting]:[Setting]],all_cause_mort[],16,FALSE)="",VLOOKUP(all_lmics1819[[who_choice_region]:[who_choice_region]],missing[],20,FALSE),VLOOKUP(all_lmics1819[[Setting]:[Setting]],all_cause_mort[],16,FALSE))*0.95</f>
        <v>8.2245803454973898E-3</v>
      </c>
      <c r="AC21">
        <f>IF(VLOOKUP(all_lmics1819[[Setting]:[Setting]],all_cause_mort[],17,FALSE)="",VLOOKUP(all_lmics1819[[who_choice_region]:[who_choice_region]],missing[],21,FALSE),VLOOKUP(all_lmics1819[[Setting]:[Setting]],all_cause_mort[],17,FALSE))*0.95</f>
        <v>1.2460039656317074E-2</v>
      </c>
      <c r="AD21">
        <f>IF(VLOOKUP(all_lmics1819[[Setting]:[Setting]],all_cause_mort[],18,FALSE)="",VLOOKUP(all_lmics1819[[who_choice_region]:[who_choice_region]],missing[],22,FALSE),VLOOKUP(all_lmics1819[[Setting]:[Setting]],all_cause_mort[],18,FALSE))*0.95</f>
        <v>1.9062691221362157E-2</v>
      </c>
      <c r="AE21">
        <f>IF(VLOOKUP(all_lmics1819[[Setting]:[Setting]],all_cause_mort[],19,FALSE)="",VLOOKUP(all_lmics1819[[who_choice_region]:[who_choice_region]],missing[],23,FALSE),VLOOKUP(all_lmics1819[[Setting]:[Setting]],all_cause_mort[],19,FALSE))*0.95</f>
        <v>2.852298607898842E-2</v>
      </c>
      <c r="AF21">
        <f>IF(VLOOKUP(all_lmics1819[[Setting]:[Setting]],all_cause_mort[],20,FALSE)="",VLOOKUP(all_lmics1819[[who_choice_region]:[who_choice_region]],missing[],24,FALSE),VLOOKUP(all_lmics1819[[Setting]:[Setting]],all_cause_mort[],20,FALSE))*0.95</f>
        <v>4.3850130926235367E-2</v>
      </c>
      <c r="AG21">
        <f>IF(VLOOKUP(all_lmics1819[[Setting]:[Setting]],all_cause_mort[],21,FALSE)="",VLOOKUP(all_lmics1819[[who_choice_region]:[who_choice_region]],missing[],25,FALSE),VLOOKUP(all_lmics1819[[Setting]:[Setting]],all_cause_mort[],21,FALSE))*0.95</f>
        <v>6.7382440981694894E-2</v>
      </c>
      <c r="AH21">
        <f>IF(VLOOKUP(all_lmics1819[[Setting]:[Setting]],all_cause_mort[],22,FALSE)="",VLOOKUP(all_lmics1819[[who_choice_region]:[who_choice_region]],missing[],26,FALSE),VLOOKUP(all_lmics1819[[Setting]:[Setting]],all_cause_mort[],22,FALSE))*0.95</f>
        <v>0.10419288160788669</v>
      </c>
      <c r="AI21">
        <f>IF(VLOOKUP(all_lmics1819[[Setting]:[Setting]],all_cause_mort[],23,FALSE)="",VLOOKUP(all_lmics1819[[who_choice_region]:[who_choice_region]],missing[],27,FALSE),VLOOKUP(all_lmics1819[[Setting]:[Setting]],all_cause_mort[],23,FALSE))*0.95</f>
        <v>0.15318658719253003</v>
      </c>
      <c r="AJ21">
        <f>IF(VLOOKUP(all_lmics1819[[Setting]:[Setting]],all_cause_mort[],24,FALSE)="",VLOOKUP(all_lmics1819[[who_choice_region]:[who_choice_region]],missing[],28,FALSE),VLOOKUP(all_lmics1819[[Setting]:[Setting]],all_cause_mort[],24,FALSE))*0.95</f>
        <v>0.23798996312175769</v>
      </c>
      <c r="AK21">
        <f>IF(VLOOKUP(all_lmics1819[[Setting]:[Setting]],all_cause_mort[],25,FALSE)="",VLOOKUP(all_lmics1819[[who_choice_region]:[who_choice_region]],missing[],29,FALSE),VLOOKUP(all_lmics1819[[Setting]:[Setting]],all_cause_mort[],25,FALSE))*0.95</f>
        <v>0.36691863643049494</v>
      </c>
      <c r="AL21">
        <f>VLOOKUP(all_lmics1819[[worldbank_region]:[worldbank_region]],Table13[],2,FALSE)*0.95</f>
        <v>82.51698764999999</v>
      </c>
      <c r="AM21">
        <f>VLOOKUP(all_lmics1819[[worldbank_region]:[worldbank_region]],Table13[],3,FALSE)*0.95</f>
        <v>82.51698764999999</v>
      </c>
      <c r="AN21">
        <f>VLOOKUP(all_lmics1819[[worldbank_region]:[worldbank_region]],Table13[],4,FALSE)*0.95</f>
        <v>127.85940464999999</v>
      </c>
      <c r="AO21">
        <f>VLOOKUP(all_lmics1819[[worldbank_region]:[worldbank_region]],Table13[],5,FALSE)*0.95</f>
        <v>127.85940464999999</v>
      </c>
      <c r="AP21">
        <f>VLOOKUP(all_lmics1819[[worldbank_region]:[worldbank_region]],Table13[],6,FALSE)*0.95</f>
        <v>127.85940464999999</v>
      </c>
      <c r="AQ21">
        <f>VLOOKUP(all_lmics1819[[worldbank_region]:[worldbank_region]],Table14[],2,FALSE)*0.95</f>
        <v>1.4389099000000001</v>
      </c>
      <c r="AR21">
        <f>VLOOKUP(all_lmics1819[[worldbank_region]:[worldbank_region]],Table14[],3,FALSE)*0.95</f>
        <v>2.0255348999999998</v>
      </c>
      <c r="AS21">
        <f>VLOOKUP(all_lmics1819[[worldbank_region]:[worldbank_region]],Table14[],4,FALSE)*0.95</f>
        <v>1.4596142000000001</v>
      </c>
      <c r="AT21">
        <f>VLOOKUP(all_lmics1819[[worldbank_region]:[worldbank_region]],Table14[],5,FALSE)*0.95</f>
        <v>2.0462391999999996</v>
      </c>
      <c r="AU21">
        <f>VLOOKUP(all_lmics1819[[worldbank_region]:[worldbank_region]],Table14[],6,FALSE)*0.95</f>
        <v>2.5879785999999996</v>
      </c>
      <c r="AV21">
        <f>IFERROR(VLOOKUP(all_lmics1819[[Setting]:[Setting]],nFacSBA[],4,FALSE),VLOOKUP(all_lmics1819[[who_choice_region]:[who_choice_region]],missing[],30,FALSE))*0.95</f>
        <v>0.19387920306497206</v>
      </c>
      <c r="AW21">
        <f>VLOOKUP(all_lmics1819[[worldbank_region]:[worldbank_region]],hbe[],3)</f>
        <v>0.2</v>
      </c>
      <c r="AX21">
        <f>VLOOKUP(all_lmics1819[[worldbank_region]:[worldbank_region]],hbe[],6)</f>
        <v>0.75</v>
      </c>
      <c r="AY21">
        <f>VLOOKUP(all_lmics1819[[worldbank_region]:[worldbank_region]],hbe[],9)</f>
        <v>0.05</v>
      </c>
    </row>
    <row r="22" spans="1:51" x14ac:dyDescent="0.35">
      <c r="A22" s="12" t="s">
        <v>81</v>
      </c>
      <c r="B22" s="13" t="s">
        <v>22</v>
      </c>
      <c r="C22" s="14" t="s">
        <v>383</v>
      </c>
      <c r="D22">
        <f>VLOOKUP(all_lmics1819[[Setting]:[Setting]],populations[],9,FALSE)</f>
        <v>10766998</v>
      </c>
      <c r="E22">
        <f>VLOOKUP(all_lmics1819[[Setting]:[Setting]],birthrate[],3,FALSE)</f>
        <v>2.017E-2</v>
      </c>
      <c r="F22">
        <f>all_lmics1819[[#This Row],[2017_population]]*all_lmics1819[[#This Row],[2016_birthrate]]</f>
        <v>217170.34966000001</v>
      </c>
      <c r="G22">
        <f>VLOOKUP(all_lmics1819[[Setting]:[Setting]],birthdose[],4,FALSE)*0.95</f>
        <v>0.63649999999999995</v>
      </c>
      <c r="H22">
        <f>VLOOKUP(all_lmics1819[[Setting]:[Setting]],fullvax[],4,FALSE)*0.95</f>
        <v>0.76949999999999996</v>
      </c>
      <c r="I22">
        <f>IFERROR(VLOOKUP(all_lmics1819[[Setting]:[Setting]],prev[],3,FALSE),VLOOKUP(all_lmics1819[[who_choice_region]:[who_choice_region]],missing[],2,FALSE))</f>
        <v>1.7000000000000001E-2</v>
      </c>
      <c r="J22">
        <f>IFERROR(VLOOKUP(all_lmics1819[[Setting]:[Setting]],prev[],4,FALSE),VLOOKUP(all_lmics1819[[who_choice_region]:[who_choice_region]],missing[],3,FALSE))</f>
        <v>1.0999999999999999E-2</v>
      </c>
      <c r="K22">
        <f>IFERROR(VLOOKUP(all_lmics1819[[Setting]:[Setting]],prev[],5,FALSE),VLOOKUP(all_lmics1819[[who_choice_region]:[who_choice_region]],missing[],4,FALSE))</f>
        <v>0.02</v>
      </c>
      <c r="L22">
        <f>IFERROR(VLOOKUP(all_lmics1819[[Setting]:[Setting]],prev[],7,FALSE),VLOOKUP(all_lmics1819[[who_choice_region]:[who_choice_region]],missing[],5,FALSE))</f>
        <v>1.5306122448979589E-3</v>
      </c>
      <c r="M22">
        <f>IFERROR(VLOOKUP(all_lmics1819[[Setting]:[Setting]],prev[],6,FALSE),0)</f>
        <v>10766998</v>
      </c>
      <c r="N22">
        <f>IFERROR(VLOOKUP(all_lmics1819[[Setting]:[Setting]],SBA[],4,FALSE),VLOOKUP(all_lmics1819[[who_choice_region]:[who_choice_region]],missing[],6,FALSE))*0.95</f>
        <v>0.94619999999999993</v>
      </c>
      <c r="O22">
        <f>IFERROR(VLOOKUP(all_lmics1819[[Setting]:[Setting]], facility[], 3,FALSE),VLOOKUP(all_lmics1819[[who_choice_region]:[who_choice_region]],missing[],7,FALSE))*0.95</f>
        <v>0.93005000000000004</v>
      </c>
      <c r="P22">
        <f>IF(VLOOKUP(all_lmics1819[[Setting]:[Setting]],all_cause_mort[],4,FALSE)="",VLOOKUP(all_lmics1819[[who_choice_region]:[who_choice_region]],missing[],8,FALSE),VLOOKUP(all_lmics1819[[Setting]:[Setting]],all_cause_mort[],4,FALSE))*0.95</f>
        <v>2.5140970999999998E-2</v>
      </c>
      <c r="Q22">
        <f>IF(VLOOKUP(all_lmics1819[[Setting]:[Setting]],all_cause_mort[],5,FALSE)="",VLOOKUP(all_lmics1819[[who_choice_region]:[who_choice_region]],missing[],9,FALSE),VLOOKUP(all_lmics1819[[Setting]:[Setting]],all_cause_mort[],5,FALSE))*0.95</f>
        <v>7.3630403599999998E-4</v>
      </c>
      <c r="R22">
        <f>IF(VLOOKUP(all_lmics1819[[Setting]:[Setting]],all_cause_mort[],6,FALSE)="",VLOOKUP(all_lmics1819[[who_choice_region]:[who_choice_region]],missing[],10,FALSE),VLOOKUP(all_lmics1819[[Setting]:[Setting]],all_cause_mort[],6,FALSE))*0.95</f>
        <v>3.5361082399999998E-4</v>
      </c>
      <c r="S22">
        <f>IF(VLOOKUP(all_lmics1819[[Setting]:[Setting]],all_cause_mort[],7,FALSE)="",VLOOKUP(all_lmics1819[[who_choice_region]:[who_choice_region]],missing[],11,FALSE),VLOOKUP(all_lmics1819[[Setting]:[Setting]],all_cause_mort[],7,FALSE))*0.95</f>
        <v>3.5434517399999995E-4</v>
      </c>
      <c r="T22">
        <f>IF(VLOOKUP(all_lmics1819[[Setting]:[Setting]],all_cause_mort[],8,FALSE)="",VLOOKUP(all_lmics1819[[who_choice_region]:[who_choice_region]],missing[],12,FALSE),VLOOKUP(all_lmics1819[[Setting]:[Setting]],all_cause_mort[],8,FALSE))*0.95</f>
        <v>8.9400851999999994E-4</v>
      </c>
      <c r="U22">
        <f>IF(VLOOKUP(all_lmics1819[[Setting]:[Setting]],all_cause_mort[],9,FALSE)="",VLOOKUP(all_lmics1819[[who_choice_region]:[who_choice_region]],missing[],13,FALSE),VLOOKUP(all_lmics1819[[Setting]:[Setting]],all_cause_mort[],9,FALSE))*0.95</f>
        <v>1.5827421799999998E-3</v>
      </c>
      <c r="V22">
        <f>IF(VLOOKUP(all_lmics1819[[Setting]:[Setting]],all_cause_mort[],10,FALSE)="",VLOOKUP(all_lmics1819[[who_choice_region]:[who_choice_region]],missing[],14,FALSE),VLOOKUP(all_lmics1819[[Setting]:[Setting]],all_cause_mort[],10,FALSE))*0.95</f>
        <v>2.0042903350000001E-3</v>
      </c>
      <c r="W22">
        <f>IF(VLOOKUP(all_lmics1819[[Setting]:[Setting]],all_cause_mort[],11,FALSE)="",VLOOKUP(all_lmics1819[[who_choice_region]:[who_choice_region]],missing[],15,FALSE),VLOOKUP(all_lmics1819[[Setting]:[Setting]],all_cause_mort[],11,FALSE))*0.95</f>
        <v>2.4465375649999998E-3</v>
      </c>
      <c r="X22">
        <f>IF(VLOOKUP(all_lmics1819[[Setting]:[Setting]],all_cause_mort[],12,FALSE)="",VLOOKUP(all_lmics1819[[who_choice_region]:[who_choice_region]],missing[],16,FALSE),VLOOKUP(all_lmics1819[[Setting]:[Setting]],all_cause_mort[],12,FALSE))*0.95</f>
        <v>2.7193453599999996E-3</v>
      </c>
      <c r="Y22">
        <f>IF(VLOOKUP(all_lmics1819[[Setting]:[Setting]],all_cause_mort[],13,FALSE)="",VLOOKUP(all_lmics1819[[who_choice_region]:[who_choice_region]],missing[],17,FALSE),VLOOKUP(all_lmics1819[[Setting]:[Setting]],all_cause_mort[],13,FALSE))*0.95</f>
        <v>3.4222137849999998E-3</v>
      </c>
      <c r="Z22">
        <f>IF(VLOOKUP(all_lmics1819[[Setting]:[Setting]],all_cause_mort[],14,FALSE)="",VLOOKUP(all_lmics1819[[who_choice_region]:[who_choice_region]],missing[],18,FALSE),VLOOKUP(all_lmics1819[[Setting]:[Setting]],all_cause_mort[],14,FALSE))*0.95</f>
        <v>4.5794516300000001E-3</v>
      </c>
      <c r="AA22">
        <f>IF(VLOOKUP(all_lmics1819[[Setting]:[Setting]],all_cause_mort[],15,FALSE)="",VLOOKUP(all_lmics1819[[who_choice_region]:[who_choice_region]],missing[],19,FALSE),VLOOKUP(all_lmics1819[[Setting]:[Setting]],all_cause_mort[],15,FALSE))*0.95</f>
        <v>6.084410279999999E-3</v>
      </c>
      <c r="AB22">
        <f>IF(VLOOKUP(all_lmics1819[[Setting]:[Setting]],all_cause_mort[],16,FALSE)="",VLOOKUP(all_lmics1819[[who_choice_region]:[who_choice_region]],missing[],20,FALSE),VLOOKUP(all_lmics1819[[Setting]:[Setting]],all_cause_mort[],16,FALSE))*0.95</f>
        <v>8.8833436949999987E-3</v>
      </c>
      <c r="AC22">
        <f>IF(VLOOKUP(all_lmics1819[[Setting]:[Setting]],all_cause_mort[],17,FALSE)="",VLOOKUP(all_lmics1819[[who_choice_region]:[who_choice_region]],missing[],21,FALSE),VLOOKUP(all_lmics1819[[Setting]:[Setting]],all_cause_mort[],17,FALSE))*0.95</f>
        <v>1.3243947149999999E-2</v>
      </c>
      <c r="AD22">
        <f>IF(VLOOKUP(all_lmics1819[[Setting]:[Setting]],all_cause_mort[],18,FALSE)="",VLOOKUP(all_lmics1819[[who_choice_region]:[who_choice_region]],missing[],22,FALSE),VLOOKUP(all_lmics1819[[Setting]:[Setting]],all_cause_mort[],18,FALSE))*0.95</f>
        <v>1.98079408E-2</v>
      </c>
      <c r="AE22">
        <f>IF(VLOOKUP(all_lmics1819[[Setting]:[Setting]],all_cause_mort[],19,FALSE)="",VLOOKUP(all_lmics1819[[who_choice_region]:[who_choice_region]],missing[],23,FALSE),VLOOKUP(all_lmics1819[[Setting]:[Setting]],all_cause_mort[],19,FALSE))*0.95</f>
        <v>2.939563245E-2</v>
      </c>
      <c r="AF22">
        <f>IF(VLOOKUP(all_lmics1819[[Setting]:[Setting]],all_cause_mort[],20,FALSE)="",VLOOKUP(all_lmics1819[[who_choice_region]:[who_choice_region]],missing[],24,FALSE),VLOOKUP(all_lmics1819[[Setting]:[Setting]],all_cause_mort[],20,FALSE))*0.95</f>
        <v>4.4175170050000004E-2</v>
      </c>
      <c r="AG22">
        <f>IF(VLOOKUP(all_lmics1819[[Setting]:[Setting]],all_cause_mort[],21,FALSE)="",VLOOKUP(all_lmics1819[[who_choice_region]:[who_choice_region]],missing[],25,FALSE),VLOOKUP(all_lmics1819[[Setting]:[Setting]],all_cause_mort[],21,FALSE))*0.95</f>
        <v>6.4086859400000001E-2</v>
      </c>
      <c r="AH22">
        <f>IF(VLOOKUP(all_lmics1819[[Setting]:[Setting]],all_cause_mort[],22,FALSE)="",VLOOKUP(all_lmics1819[[who_choice_region]:[who_choice_region]],missing[],26,FALSE),VLOOKUP(all_lmics1819[[Setting]:[Setting]],all_cause_mort[],22,FALSE))*0.95</f>
        <v>8.9950809849999994E-2</v>
      </c>
      <c r="AI22">
        <f>IF(VLOOKUP(all_lmics1819[[Setting]:[Setting]],all_cause_mort[],23,FALSE)="",VLOOKUP(all_lmics1819[[who_choice_region]:[who_choice_region]],missing[],27,FALSE),VLOOKUP(all_lmics1819[[Setting]:[Setting]],all_cause_mort[],23,FALSE))*0.95</f>
        <v>0.1220115115</v>
      </c>
      <c r="AJ22">
        <f>IF(VLOOKUP(all_lmics1819[[Setting]:[Setting]],all_cause_mort[],24,FALSE)="",VLOOKUP(all_lmics1819[[who_choice_region]:[who_choice_region]],missing[],28,FALSE),VLOOKUP(all_lmics1819[[Setting]:[Setting]],all_cause_mort[],24,FALSE))*0.95</f>
        <v>0.15962383549999998</v>
      </c>
      <c r="AK22">
        <f>IF(VLOOKUP(all_lmics1819[[Setting]:[Setting]],all_cause_mort[],25,FALSE)="",VLOOKUP(all_lmics1819[[who_choice_region]:[who_choice_region]],missing[],29,FALSE),VLOOKUP(all_lmics1819[[Setting]:[Setting]],all_cause_mort[],25,FALSE))*0.95</f>
        <v>0.22242307936792999</v>
      </c>
      <c r="AL22">
        <f>VLOOKUP(all_lmics1819[[worldbank_region]:[worldbank_region]],Table13[],2,FALSE)*0.95</f>
        <v>82.51698764999999</v>
      </c>
      <c r="AM22">
        <f>VLOOKUP(all_lmics1819[[worldbank_region]:[worldbank_region]],Table13[],3,FALSE)*0.95</f>
        <v>82.51698764999999</v>
      </c>
      <c r="AN22">
        <f>VLOOKUP(all_lmics1819[[worldbank_region]:[worldbank_region]],Table13[],4,FALSE)*0.95</f>
        <v>127.85940464999999</v>
      </c>
      <c r="AO22">
        <f>VLOOKUP(all_lmics1819[[worldbank_region]:[worldbank_region]],Table13[],5,FALSE)*0.95</f>
        <v>127.85940464999999</v>
      </c>
      <c r="AP22">
        <f>VLOOKUP(all_lmics1819[[worldbank_region]:[worldbank_region]],Table13[],6,FALSE)*0.95</f>
        <v>127.85940464999999</v>
      </c>
      <c r="AQ22">
        <f>VLOOKUP(all_lmics1819[[worldbank_region]:[worldbank_region]],Table14[],2,FALSE)*0.95</f>
        <v>1.4389099000000001</v>
      </c>
      <c r="AR22">
        <f>VLOOKUP(all_lmics1819[[worldbank_region]:[worldbank_region]],Table14[],3,FALSE)*0.95</f>
        <v>2.0255348999999998</v>
      </c>
      <c r="AS22">
        <f>VLOOKUP(all_lmics1819[[worldbank_region]:[worldbank_region]],Table14[],4,FALSE)*0.95</f>
        <v>1.4596142000000001</v>
      </c>
      <c r="AT22">
        <f>VLOOKUP(all_lmics1819[[worldbank_region]:[worldbank_region]],Table14[],5,FALSE)*0.95</f>
        <v>2.0462391999999996</v>
      </c>
      <c r="AU22">
        <f>VLOOKUP(all_lmics1819[[worldbank_region]:[worldbank_region]],Table14[],6,FALSE)*0.95</f>
        <v>2.5879785999999996</v>
      </c>
      <c r="AV22">
        <f>IFERROR(VLOOKUP(all_lmics1819[[Setting]:[Setting]],nFacSBA[],4,FALSE),VLOOKUP(all_lmics1819[[who_choice_region]:[who_choice_region]],missing[],30,FALSE))*0.95</f>
        <v>0.25451285020425229</v>
      </c>
      <c r="AW22">
        <f>VLOOKUP(all_lmics1819[[worldbank_region]:[worldbank_region]],hbe[],3)</f>
        <v>0.2</v>
      </c>
      <c r="AX22">
        <f>VLOOKUP(all_lmics1819[[worldbank_region]:[worldbank_region]],hbe[],6)</f>
        <v>0.75</v>
      </c>
      <c r="AY22">
        <f>VLOOKUP(all_lmics1819[[worldbank_region]:[worldbank_region]],hbe[],9)</f>
        <v>0.05</v>
      </c>
    </row>
    <row r="23" spans="1:51" x14ac:dyDescent="0.35">
      <c r="A23" s="8" t="s">
        <v>82</v>
      </c>
      <c r="B23" s="10" t="s">
        <v>46</v>
      </c>
      <c r="C23" s="11" t="s">
        <v>383</v>
      </c>
      <c r="D23">
        <f>VLOOKUP(all_lmics1819[[Setting]:[Setting]],populations[],9,FALSE)</f>
        <v>16624858</v>
      </c>
      <c r="E23">
        <f>VLOOKUP(all_lmics1819[[Setting]:[Setting]],birthrate[],3,FALSE)</f>
        <v>2.0175000000000002E-2</v>
      </c>
      <c r="F23">
        <f>all_lmics1819[[#This Row],[2017_population]]*all_lmics1819[[#This Row],[2016_birthrate]]</f>
        <v>335406.51015000005</v>
      </c>
      <c r="G23">
        <f>VLOOKUP(all_lmics1819[[Setting]:[Setting]],birthdose[],4,FALSE)*0.95</f>
        <v>0.71249999999999991</v>
      </c>
      <c r="H23">
        <f>VLOOKUP(all_lmics1819[[Setting]:[Setting]],fullvax[],4,FALSE)*0.95</f>
        <v>0.79799999999999993</v>
      </c>
      <c r="I23">
        <f>IFERROR(VLOOKUP(all_lmics1819[[Setting]:[Setting]],prev[],3,FALSE),VLOOKUP(all_lmics1819[[who_choice_region]:[who_choice_region]],missing[],2,FALSE))</f>
        <v>0.02</v>
      </c>
      <c r="J23">
        <f>IFERROR(VLOOKUP(all_lmics1819[[Setting]:[Setting]],prev[],4,FALSE),VLOOKUP(all_lmics1819[[who_choice_region]:[who_choice_region]],missing[],3,FALSE))</f>
        <v>1.0800000000000001E-2</v>
      </c>
      <c r="K23">
        <f>IFERROR(VLOOKUP(all_lmics1819[[Setting]:[Setting]],prev[],5,FALSE),VLOOKUP(all_lmics1819[[who_choice_region]:[who_choice_region]],missing[],4,FALSE))</f>
        <v>3.6799999999999999E-2</v>
      </c>
      <c r="L23">
        <f>IFERROR(VLOOKUP(all_lmics1819[[Setting]:[Setting]],prev[],7,FALSE),VLOOKUP(all_lmics1819[[who_choice_region]:[who_choice_region]],missing[],5,FALSE))</f>
        <v>8.5714285714285719E-3</v>
      </c>
      <c r="M23">
        <f>IFERROR(VLOOKUP(all_lmics1819[[Setting]:[Setting]],prev[],6,FALSE),0)</f>
        <v>14934690</v>
      </c>
      <c r="N23">
        <f>IFERROR(VLOOKUP(all_lmics1819[[Setting]:[Setting]],SBA[],4,FALSE),VLOOKUP(all_lmics1819[[who_choice_region]:[who_choice_region]],missing[],6,FALSE))*0.95</f>
        <v>0.91865000000000008</v>
      </c>
      <c r="O23">
        <f>IFERROR(VLOOKUP(all_lmics1819[[Setting]:[Setting]], facility[], 3,FALSE),VLOOKUP(all_lmics1819[[who_choice_region]:[who_choice_region]],missing[],7,FALSE))*0.95</f>
        <v>0.88634999999999986</v>
      </c>
      <c r="P23">
        <f>IF(VLOOKUP(all_lmics1819[[Setting]:[Setting]],all_cause_mort[],4,FALSE)="",VLOOKUP(all_lmics1819[[who_choice_region]:[who_choice_region]],missing[],8,FALSE),VLOOKUP(all_lmics1819[[Setting]:[Setting]],all_cause_mort[],4,FALSE))*0.95</f>
        <v>1.3086517899999999E-2</v>
      </c>
      <c r="Q23">
        <f>IF(VLOOKUP(all_lmics1819[[Setting]:[Setting]],all_cause_mort[],5,FALSE)="",VLOOKUP(all_lmics1819[[who_choice_region]:[who_choice_region]],missing[],9,FALSE),VLOOKUP(all_lmics1819[[Setting]:[Setting]],all_cause_mort[],5,FALSE))*0.95</f>
        <v>6.5438734099999992E-4</v>
      </c>
      <c r="R23">
        <f>IF(VLOOKUP(all_lmics1819[[Setting]:[Setting]],all_cause_mort[],6,FALSE)="",VLOOKUP(all_lmics1819[[who_choice_region]:[who_choice_region]],missing[],10,FALSE),VLOOKUP(all_lmics1819[[Setting]:[Setting]],all_cause_mort[],6,FALSE))*0.95</f>
        <v>3.7438656400000001E-4</v>
      </c>
      <c r="S23">
        <f>IF(VLOOKUP(all_lmics1819[[Setting]:[Setting]],all_cause_mort[],7,FALSE)="",VLOOKUP(all_lmics1819[[who_choice_region]:[who_choice_region]],missing[],11,FALSE),VLOOKUP(all_lmics1819[[Setting]:[Setting]],all_cause_mort[],7,FALSE))*0.95</f>
        <v>4.7104060899999994E-4</v>
      </c>
      <c r="T23">
        <f>IF(VLOOKUP(all_lmics1819[[Setting]:[Setting]],all_cause_mort[],8,FALSE)="",VLOOKUP(all_lmics1819[[who_choice_region]:[who_choice_region]],missing[],12,FALSE),VLOOKUP(all_lmics1819[[Setting]:[Setting]],all_cause_mort[],8,FALSE))*0.95</f>
        <v>9.8007756999999988E-4</v>
      </c>
      <c r="U23">
        <f>IF(VLOOKUP(all_lmics1819[[Setting]:[Setting]],all_cause_mort[],9,FALSE)="",VLOOKUP(all_lmics1819[[who_choice_region]:[who_choice_region]],missing[],13,FALSE),VLOOKUP(all_lmics1819[[Setting]:[Setting]],all_cause_mort[],9,FALSE))*0.95</f>
        <v>1.5469421899999998E-3</v>
      </c>
      <c r="V23">
        <f>IF(VLOOKUP(all_lmics1819[[Setting]:[Setting]],all_cause_mort[],10,FALSE)="",VLOOKUP(all_lmics1819[[who_choice_region]:[who_choice_region]],missing[],14,FALSE),VLOOKUP(all_lmics1819[[Setting]:[Setting]],all_cause_mort[],10,FALSE))*0.95</f>
        <v>1.8623380099999998E-3</v>
      </c>
      <c r="W23">
        <f>IF(VLOOKUP(all_lmics1819[[Setting]:[Setting]],all_cause_mort[],11,FALSE)="",VLOOKUP(all_lmics1819[[who_choice_region]:[who_choice_region]],missing[],15,FALSE),VLOOKUP(all_lmics1819[[Setting]:[Setting]],all_cause_mort[],11,FALSE))*0.95</f>
        <v>1.9328699999999999E-3</v>
      </c>
      <c r="X23">
        <f>IF(VLOOKUP(all_lmics1819[[Setting]:[Setting]],all_cause_mort[],12,FALSE)="",VLOOKUP(all_lmics1819[[who_choice_region]:[who_choice_region]],missing[],16,FALSE),VLOOKUP(all_lmics1819[[Setting]:[Setting]],all_cause_mort[],12,FALSE))*0.95</f>
        <v>2.0709746349999998E-3</v>
      </c>
      <c r="Y23">
        <f>IF(VLOOKUP(all_lmics1819[[Setting]:[Setting]],all_cause_mort[],13,FALSE)="",VLOOKUP(all_lmics1819[[who_choice_region]:[who_choice_region]],missing[],17,FALSE),VLOOKUP(all_lmics1819[[Setting]:[Setting]],all_cause_mort[],13,FALSE))*0.95</f>
        <v>2.59211053E-3</v>
      </c>
      <c r="Z23">
        <f>IF(VLOOKUP(all_lmics1819[[Setting]:[Setting]],all_cause_mort[],14,FALSE)="",VLOOKUP(all_lmics1819[[who_choice_region]:[who_choice_region]],missing[],18,FALSE),VLOOKUP(all_lmics1819[[Setting]:[Setting]],all_cause_mort[],14,FALSE))*0.95</f>
        <v>3.3053336699999996E-3</v>
      </c>
      <c r="AA23">
        <f>IF(VLOOKUP(all_lmics1819[[Setting]:[Setting]],all_cause_mort[],15,FALSE)="",VLOOKUP(all_lmics1819[[who_choice_region]:[who_choice_region]],missing[],19,FALSE),VLOOKUP(all_lmics1819[[Setting]:[Setting]],all_cause_mort[],15,FALSE))*0.95</f>
        <v>4.8359692049999995E-3</v>
      </c>
      <c r="AB23">
        <f>IF(VLOOKUP(all_lmics1819[[Setting]:[Setting]],all_cause_mort[],16,FALSE)="",VLOOKUP(all_lmics1819[[who_choice_region]:[who_choice_region]],missing[],20,FALSE),VLOOKUP(all_lmics1819[[Setting]:[Setting]],all_cause_mort[],16,FALSE))*0.95</f>
        <v>6.6230100249999998E-3</v>
      </c>
      <c r="AC23">
        <f>IF(VLOOKUP(all_lmics1819[[Setting]:[Setting]],all_cause_mort[],17,FALSE)="",VLOOKUP(all_lmics1819[[who_choice_region]:[who_choice_region]],missing[],21,FALSE),VLOOKUP(all_lmics1819[[Setting]:[Setting]],all_cause_mort[],17,FALSE))*0.95</f>
        <v>9.7027356999999995E-3</v>
      </c>
      <c r="AD23">
        <f>IF(VLOOKUP(all_lmics1819[[Setting]:[Setting]],all_cause_mort[],18,FALSE)="",VLOOKUP(all_lmics1819[[who_choice_region]:[who_choice_region]],missing[],22,FALSE),VLOOKUP(all_lmics1819[[Setting]:[Setting]],all_cause_mort[],18,FALSE))*0.95</f>
        <v>1.3734071149999999E-2</v>
      </c>
      <c r="AE23">
        <f>IF(VLOOKUP(all_lmics1819[[Setting]:[Setting]],all_cause_mort[],19,FALSE)="",VLOOKUP(all_lmics1819[[who_choice_region]:[who_choice_region]],missing[],23,FALSE),VLOOKUP(all_lmics1819[[Setting]:[Setting]],all_cause_mort[],19,FALSE))*0.95</f>
        <v>2.2896590299999998E-2</v>
      </c>
      <c r="AF23">
        <f>IF(VLOOKUP(all_lmics1819[[Setting]:[Setting]],all_cause_mort[],20,FALSE)="",VLOOKUP(all_lmics1819[[who_choice_region]:[who_choice_region]],missing[],24,FALSE),VLOOKUP(all_lmics1819[[Setting]:[Setting]],all_cause_mort[],20,FALSE))*0.95</f>
        <v>3.7995492249999999E-2</v>
      </c>
      <c r="AG23">
        <f>IF(VLOOKUP(all_lmics1819[[Setting]:[Setting]],all_cause_mort[],21,FALSE)="",VLOOKUP(all_lmics1819[[who_choice_region]:[who_choice_region]],missing[],25,FALSE),VLOOKUP(all_lmics1819[[Setting]:[Setting]],all_cause_mort[],21,FALSE))*0.95</f>
        <v>6.14711218E-2</v>
      </c>
      <c r="AH23">
        <f>IF(VLOOKUP(all_lmics1819[[Setting]:[Setting]],all_cause_mort[],22,FALSE)="",VLOOKUP(all_lmics1819[[who_choice_region]:[who_choice_region]],missing[],26,FALSE),VLOOKUP(all_lmics1819[[Setting]:[Setting]],all_cause_mort[],22,FALSE))*0.95</f>
        <v>0.1032334885</v>
      </c>
      <c r="AI23">
        <f>IF(VLOOKUP(all_lmics1819[[Setting]:[Setting]],all_cause_mort[],23,FALSE)="",VLOOKUP(all_lmics1819[[who_choice_region]:[who_choice_region]],missing[],27,FALSE),VLOOKUP(all_lmics1819[[Setting]:[Setting]],all_cause_mort[],23,FALSE))*0.95</f>
        <v>0.145800547</v>
      </c>
      <c r="AJ23">
        <f>IF(VLOOKUP(all_lmics1819[[Setting]:[Setting]],all_cause_mort[],24,FALSE)="",VLOOKUP(all_lmics1819[[who_choice_region]:[who_choice_region]],missing[],28,FALSE),VLOOKUP(all_lmics1819[[Setting]:[Setting]],all_cause_mort[],24,FALSE))*0.95</f>
        <v>0.21920763600000001</v>
      </c>
      <c r="AK23">
        <f>IF(VLOOKUP(all_lmics1819[[Setting]:[Setting]],all_cause_mort[],25,FALSE)="",VLOOKUP(all_lmics1819[[who_choice_region]:[who_choice_region]],missing[],29,FALSE),VLOOKUP(all_lmics1819[[Setting]:[Setting]],all_cause_mort[],25,FALSE))*0.95</f>
        <v>0.29964406700646939</v>
      </c>
      <c r="AL23">
        <f>VLOOKUP(all_lmics1819[[worldbank_region]:[worldbank_region]],Table13[],2,FALSE)*0.95</f>
        <v>82.51698764999999</v>
      </c>
      <c r="AM23">
        <f>VLOOKUP(all_lmics1819[[worldbank_region]:[worldbank_region]],Table13[],3,FALSE)*0.95</f>
        <v>82.51698764999999</v>
      </c>
      <c r="AN23">
        <f>VLOOKUP(all_lmics1819[[worldbank_region]:[worldbank_region]],Table13[],4,FALSE)*0.95</f>
        <v>127.85940464999999</v>
      </c>
      <c r="AO23">
        <f>VLOOKUP(all_lmics1819[[worldbank_region]:[worldbank_region]],Table13[],5,FALSE)*0.95</f>
        <v>127.85940464999999</v>
      </c>
      <c r="AP23">
        <f>VLOOKUP(all_lmics1819[[worldbank_region]:[worldbank_region]],Table13[],6,FALSE)*0.95</f>
        <v>127.85940464999999</v>
      </c>
      <c r="AQ23">
        <f>VLOOKUP(all_lmics1819[[worldbank_region]:[worldbank_region]],Table14[],2,FALSE)*0.95</f>
        <v>1.4389099000000001</v>
      </c>
      <c r="AR23">
        <f>VLOOKUP(all_lmics1819[[worldbank_region]:[worldbank_region]],Table14[],3,FALSE)*0.95</f>
        <v>2.0255348999999998</v>
      </c>
      <c r="AS23">
        <f>VLOOKUP(all_lmics1819[[worldbank_region]:[worldbank_region]],Table14[],4,FALSE)*0.95</f>
        <v>1.4596142000000001</v>
      </c>
      <c r="AT23">
        <f>VLOOKUP(all_lmics1819[[worldbank_region]:[worldbank_region]],Table14[],5,FALSE)*0.95</f>
        <v>2.0462391999999996</v>
      </c>
      <c r="AU23">
        <f>VLOOKUP(all_lmics1819[[worldbank_region]:[worldbank_region]],Table14[],6,FALSE)*0.95</f>
        <v>2.5879785999999996</v>
      </c>
      <c r="AV23">
        <f>IFERROR(VLOOKUP(all_lmics1819[[Setting]:[Setting]],nFacSBA[],4,FALSE),VLOOKUP(all_lmics1819[[who_choice_region]:[who_choice_region]],missing[],30,FALSE))*0.95</f>
        <v>9.0753429025778834E-2</v>
      </c>
      <c r="AW23">
        <f>VLOOKUP(all_lmics1819[[worldbank_region]:[worldbank_region]],hbe[],3)</f>
        <v>0.2</v>
      </c>
      <c r="AX23">
        <f>VLOOKUP(all_lmics1819[[worldbank_region]:[worldbank_region]],hbe[],6)</f>
        <v>0.75</v>
      </c>
      <c r="AY23">
        <f>VLOOKUP(all_lmics1819[[worldbank_region]:[worldbank_region]],hbe[],9)</f>
        <v>0.05</v>
      </c>
    </row>
    <row r="24" spans="1:51" x14ac:dyDescent="0.35">
      <c r="A24" s="12" t="s">
        <v>83</v>
      </c>
      <c r="B24" s="13" t="s">
        <v>6</v>
      </c>
      <c r="C24" s="14" t="s">
        <v>7</v>
      </c>
      <c r="D24">
        <f>VLOOKUP(all_lmics1819[[Setting]:[Setting]],populations[],9,FALSE)</f>
        <v>97553151</v>
      </c>
      <c r="E24">
        <f>VLOOKUP(all_lmics1819[[Setting]:[Setting]],birthrate[],3,FALSE)</f>
        <v>2.6494E-2</v>
      </c>
      <c r="F24">
        <f>all_lmics1819[[#This Row],[2017_population]]*all_lmics1819[[#This Row],[2016_birthrate]]</f>
        <v>2584573.1825939999</v>
      </c>
      <c r="G24">
        <f>VLOOKUP(all_lmics1819[[Setting]:[Setting]],birthdose[],4,FALSE)*0.95</f>
        <v>0.79799999999999993</v>
      </c>
      <c r="H24">
        <f>VLOOKUP(all_lmics1819[[Setting]:[Setting]],fullvax[],4,FALSE)*0.95</f>
        <v>0.8929999999999999</v>
      </c>
      <c r="I24">
        <f>IFERROR(VLOOKUP(all_lmics1819[[Setting]:[Setting]],prev[],3,FALSE),VLOOKUP(all_lmics1819[[who_choice_region]:[who_choice_region]],missing[],2,FALSE))</f>
        <v>0.01</v>
      </c>
      <c r="J24">
        <f>IFERROR(VLOOKUP(all_lmics1819[[Setting]:[Setting]],prev[],4,FALSE),VLOOKUP(all_lmics1819[[who_choice_region]:[who_choice_region]],missing[],3,FALSE))</f>
        <v>8.9999999999999993E-3</v>
      </c>
      <c r="K24">
        <f>IFERROR(VLOOKUP(all_lmics1819[[Setting]:[Setting]],prev[],5,FALSE),VLOOKUP(all_lmics1819[[who_choice_region]:[who_choice_region]],missing[],4,FALSE))</f>
        <v>1.2E-2</v>
      </c>
      <c r="L24">
        <f>IFERROR(VLOOKUP(all_lmics1819[[Setting]:[Setting]],prev[],7,FALSE),VLOOKUP(all_lmics1819[[who_choice_region]:[who_choice_region]],missing[],5,FALSE))</f>
        <v>1.0204081632653062E-3</v>
      </c>
      <c r="M24">
        <f>IFERROR(VLOOKUP(all_lmics1819[[Setting]:[Setting]],prev[],6,FALSE),0)</f>
        <v>97553151</v>
      </c>
      <c r="N24">
        <f>IFERROR(VLOOKUP(all_lmics1819[[Setting]:[Setting]],SBA[],4,FALSE),VLOOKUP(all_lmics1819[[who_choice_region]:[who_choice_region]],missing[],6,FALSE))*0.95</f>
        <v>0.86924999999999997</v>
      </c>
      <c r="O24">
        <f>IFERROR(VLOOKUP(all_lmics1819[[Setting]:[Setting]], facility[], 3,FALSE),VLOOKUP(all_lmics1819[[who_choice_region]:[who_choice_region]],missing[],7,FALSE))*0.95</f>
        <v>0.82364999999999999</v>
      </c>
      <c r="P24">
        <f>IF(VLOOKUP(all_lmics1819[[Setting]:[Setting]],all_cause_mort[],4,FALSE)="",VLOOKUP(all_lmics1819[[who_choice_region]:[who_choice_region]],missing[],8,FALSE),VLOOKUP(all_lmics1819[[Setting]:[Setting]],all_cause_mort[],4,FALSE))*0.95</f>
        <v>1.5036347299999999E-2</v>
      </c>
      <c r="Q24">
        <f>IF(VLOOKUP(all_lmics1819[[Setting]:[Setting]],all_cause_mort[],5,FALSE)="",VLOOKUP(all_lmics1819[[who_choice_region]:[who_choice_region]],missing[],9,FALSE),VLOOKUP(all_lmics1819[[Setting]:[Setting]],all_cause_mort[],5,FALSE))*0.95</f>
        <v>1.045850345E-3</v>
      </c>
      <c r="R24">
        <f>IF(VLOOKUP(all_lmics1819[[Setting]:[Setting]],all_cause_mort[],6,FALSE)="",VLOOKUP(all_lmics1819[[who_choice_region]:[who_choice_region]],missing[],10,FALSE),VLOOKUP(all_lmics1819[[Setting]:[Setting]],all_cause_mort[],6,FALSE))*0.95</f>
        <v>3.82312718E-4</v>
      </c>
      <c r="S24">
        <f>IF(VLOOKUP(all_lmics1819[[Setting]:[Setting]],all_cause_mort[],7,FALSE)="",VLOOKUP(all_lmics1819[[who_choice_region]:[who_choice_region]],missing[],11,FALSE),VLOOKUP(all_lmics1819[[Setting]:[Setting]],all_cause_mort[],7,FALSE))*0.95</f>
        <v>3.2063721700000003E-4</v>
      </c>
      <c r="T24">
        <f>IF(VLOOKUP(all_lmics1819[[Setting]:[Setting]],all_cause_mort[],8,FALSE)="",VLOOKUP(all_lmics1819[[who_choice_region]:[who_choice_region]],missing[],12,FALSE),VLOOKUP(all_lmics1819[[Setting]:[Setting]],all_cause_mort[],8,FALSE))*0.95</f>
        <v>4.655367745E-4</v>
      </c>
      <c r="U24">
        <f>IF(VLOOKUP(all_lmics1819[[Setting]:[Setting]],all_cause_mort[],9,FALSE)="",VLOOKUP(all_lmics1819[[who_choice_region]:[who_choice_region]],missing[],13,FALSE),VLOOKUP(all_lmics1819[[Setting]:[Setting]],all_cause_mort[],9,FALSE))*0.95</f>
        <v>6.9909424599999992E-4</v>
      </c>
      <c r="V24">
        <f>IF(VLOOKUP(all_lmics1819[[Setting]:[Setting]],all_cause_mort[],10,FALSE)="",VLOOKUP(all_lmics1819[[who_choice_region]:[who_choice_region]],missing[],14,FALSE),VLOOKUP(all_lmics1819[[Setting]:[Setting]],all_cause_mort[],10,FALSE))*0.95</f>
        <v>8.6323497999999993E-4</v>
      </c>
      <c r="W24">
        <f>IF(VLOOKUP(all_lmics1819[[Setting]:[Setting]],all_cause_mort[],11,FALSE)="",VLOOKUP(all_lmics1819[[who_choice_region]:[who_choice_region]],missing[],15,FALSE),VLOOKUP(all_lmics1819[[Setting]:[Setting]],all_cause_mort[],11,FALSE))*0.95</f>
        <v>1.1386826349999999E-3</v>
      </c>
      <c r="X24">
        <f>IF(VLOOKUP(all_lmics1819[[Setting]:[Setting]],all_cause_mort[],12,FALSE)="",VLOOKUP(all_lmics1819[[who_choice_region]:[who_choice_region]],missing[],16,FALSE),VLOOKUP(all_lmics1819[[Setting]:[Setting]],all_cause_mort[],12,FALSE))*0.95</f>
        <v>1.3730030799999999E-3</v>
      </c>
      <c r="Y24">
        <f>IF(VLOOKUP(all_lmics1819[[Setting]:[Setting]],all_cause_mort[],13,FALSE)="",VLOOKUP(all_lmics1819[[who_choice_region]:[who_choice_region]],missing[],17,FALSE),VLOOKUP(all_lmics1819[[Setting]:[Setting]],all_cause_mort[],13,FALSE))*0.95</f>
        <v>2.0593947999999998E-3</v>
      </c>
      <c r="Z24">
        <f>IF(VLOOKUP(all_lmics1819[[Setting]:[Setting]],all_cause_mort[],14,FALSE)="",VLOOKUP(all_lmics1819[[who_choice_region]:[who_choice_region]],missing[],18,FALSE),VLOOKUP(all_lmics1819[[Setting]:[Setting]],all_cause_mort[],14,FALSE))*0.95</f>
        <v>4.3153573300000001E-3</v>
      </c>
      <c r="AA24">
        <f>IF(VLOOKUP(all_lmics1819[[Setting]:[Setting]],all_cause_mort[],15,FALSE)="",VLOOKUP(all_lmics1819[[who_choice_region]:[who_choice_region]],missing[],19,FALSE),VLOOKUP(all_lmics1819[[Setting]:[Setting]],all_cause_mort[],15,FALSE))*0.95</f>
        <v>7.9996598700000001E-3</v>
      </c>
      <c r="AB24">
        <f>IF(VLOOKUP(all_lmics1819[[Setting]:[Setting]],all_cause_mort[],16,FALSE)="",VLOOKUP(all_lmics1819[[who_choice_region]:[who_choice_region]],missing[],20,FALSE),VLOOKUP(all_lmics1819[[Setting]:[Setting]],all_cause_mort[],16,FALSE))*0.95</f>
        <v>1.112596395E-2</v>
      </c>
      <c r="AC24">
        <f>IF(VLOOKUP(all_lmics1819[[Setting]:[Setting]],all_cause_mort[],17,FALSE)="",VLOOKUP(all_lmics1819[[who_choice_region]:[who_choice_region]],missing[],21,FALSE),VLOOKUP(all_lmics1819[[Setting]:[Setting]],all_cause_mort[],17,FALSE))*0.95</f>
        <v>1.8195521949999998E-2</v>
      </c>
      <c r="AD24">
        <f>IF(VLOOKUP(all_lmics1819[[Setting]:[Setting]],all_cause_mort[],18,FALSE)="",VLOOKUP(all_lmics1819[[who_choice_region]:[who_choice_region]],missing[],22,FALSE),VLOOKUP(all_lmics1819[[Setting]:[Setting]],all_cause_mort[],18,FALSE))*0.95</f>
        <v>2.8603949E-2</v>
      </c>
      <c r="AE24">
        <f>IF(VLOOKUP(all_lmics1819[[Setting]:[Setting]],all_cause_mort[],19,FALSE)="",VLOOKUP(all_lmics1819[[who_choice_region]:[who_choice_region]],missing[],23,FALSE),VLOOKUP(all_lmics1819[[Setting]:[Setting]],all_cause_mort[],19,FALSE))*0.95</f>
        <v>4.6701527850000001E-2</v>
      </c>
      <c r="AF24">
        <f>IF(VLOOKUP(all_lmics1819[[Setting]:[Setting]],all_cause_mort[],20,FALSE)="",VLOOKUP(all_lmics1819[[who_choice_region]:[who_choice_region]],missing[],24,FALSE),VLOOKUP(all_lmics1819[[Setting]:[Setting]],all_cause_mort[],20,FALSE))*0.95</f>
        <v>7.6801275599999996E-2</v>
      </c>
      <c r="AG24">
        <f>IF(VLOOKUP(all_lmics1819[[Setting]:[Setting]],all_cause_mort[],21,FALSE)="",VLOOKUP(all_lmics1819[[who_choice_region]:[who_choice_region]],missing[],25,FALSE),VLOOKUP(all_lmics1819[[Setting]:[Setting]],all_cause_mort[],21,FALSE))*0.95</f>
        <v>0.11932390449999998</v>
      </c>
      <c r="AH24">
        <f>IF(VLOOKUP(all_lmics1819[[Setting]:[Setting]],all_cause_mort[],22,FALSE)="",VLOOKUP(all_lmics1819[[who_choice_region]:[who_choice_region]],missing[],26,FALSE),VLOOKUP(all_lmics1819[[Setting]:[Setting]],all_cause_mort[],22,FALSE))*0.95</f>
        <v>0.17949590699999998</v>
      </c>
      <c r="AI24">
        <f>IF(VLOOKUP(all_lmics1819[[Setting]:[Setting]],all_cause_mort[],23,FALSE)="",VLOOKUP(all_lmics1819[[who_choice_region]:[who_choice_region]],missing[],27,FALSE),VLOOKUP(all_lmics1819[[Setting]:[Setting]],all_cause_mort[],23,FALSE))*0.95</f>
        <v>0.25188372199999998</v>
      </c>
      <c r="AJ24">
        <f>IF(VLOOKUP(all_lmics1819[[Setting]:[Setting]],all_cause_mort[],24,FALSE)="",VLOOKUP(all_lmics1819[[who_choice_region]:[who_choice_region]],missing[],28,FALSE),VLOOKUP(all_lmics1819[[Setting]:[Setting]],all_cause_mort[],24,FALSE))*0.95</f>
        <v>0.3519710385</v>
      </c>
      <c r="AK24">
        <f>IF(VLOOKUP(all_lmics1819[[Setting]:[Setting]],all_cause_mort[],25,FALSE)="",VLOOKUP(all_lmics1819[[who_choice_region]:[who_choice_region]],missing[],29,FALSE),VLOOKUP(all_lmics1819[[Setting]:[Setting]],all_cause_mort[],25,FALSE))*0.95</f>
        <v>0.49460835244604134</v>
      </c>
      <c r="AL24">
        <f>VLOOKUP(all_lmics1819[[worldbank_region]:[worldbank_region]],Table13[],2,FALSE)*0.95</f>
        <v>55.011325099999993</v>
      </c>
      <c r="AM24">
        <f>VLOOKUP(all_lmics1819[[worldbank_region]:[worldbank_region]],Table13[],3,FALSE)*0.95</f>
        <v>55.011325099999993</v>
      </c>
      <c r="AN24">
        <f>VLOOKUP(all_lmics1819[[worldbank_region]:[worldbank_region]],Table13[],4,FALSE)*0.95</f>
        <v>100.35374209999999</v>
      </c>
      <c r="AO24">
        <f>VLOOKUP(all_lmics1819[[worldbank_region]:[worldbank_region]],Table13[],5,FALSE)*0.95</f>
        <v>100.35374209999999</v>
      </c>
      <c r="AP24">
        <f>VLOOKUP(all_lmics1819[[worldbank_region]:[worldbank_region]],Table13[],6,FALSE)*0.95</f>
        <v>100.35374209999999</v>
      </c>
      <c r="AQ24">
        <f>VLOOKUP(all_lmics1819[[worldbank_region]:[worldbank_region]],Table14[],2,FALSE)*0.95</f>
        <v>1.4285577499999997</v>
      </c>
      <c r="AR24">
        <f>VLOOKUP(all_lmics1819[[worldbank_region]:[worldbank_region]],Table14[],3,FALSE)*0.95</f>
        <v>2.0151827500000001</v>
      </c>
      <c r="AS24">
        <f>VLOOKUP(all_lmics1819[[worldbank_region]:[worldbank_region]],Table14[],4,FALSE)*0.95</f>
        <v>1.8840523499999997</v>
      </c>
      <c r="AT24">
        <f>VLOOKUP(all_lmics1819[[worldbank_region]:[worldbank_region]],Table14[],5,FALSE)*0.95</f>
        <v>2.4706773499999999</v>
      </c>
      <c r="AU24">
        <f>VLOOKUP(all_lmics1819[[worldbank_region]:[worldbank_region]],Table14[],6,FALSE)*0.95</f>
        <v>3.0124167499999999</v>
      </c>
      <c r="AV24">
        <f>IFERROR(VLOOKUP(all_lmics1819[[Setting]:[Setting]],nFacSBA[],4,FALSE),VLOOKUP(all_lmics1819[[who_choice_region]:[who_choice_region]],missing[],30,FALSE))*0.95</f>
        <v>0.26216164567746242</v>
      </c>
      <c r="AW24">
        <f>VLOOKUP(all_lmics1819[[worldbank_region]:[worldbank_region]],hbe[],3)</f>
        <v>0.2</v>
      </c>
      <c r="AX24">
        <f>VLOOKUP(all_lmics1819[[worldbank_region]:[worldbank_region]],hbe[],6)</f>
        <v>0.75</v>
      </c>
      <c r="AY24">
        <f>VLOOKUP(all_lmics1819[[worldbank_region]:[worldbank_region]],hbe[],9)</f>
        <v>0.05</v>
      </c>
    </row>
    <row r="25" spans="1:51" x14ac:dyDescent="0.35">
      <c r="A25" s="8" t="s">
        <v>84</v>
      </c>
      <c r="B25" s="10" t="s">
        <v>22</v>
      </c>
      <c r="C25" s="11" t="s">
        <v>383</v>
      </c>
      <c r="D25">
        <f>VLOOKUP(all_lmics1819[[Setting]:[Setting]],populations[],9,FALSE)</f>
        <v>6377853</v>
      </c>
      <c r="E25">
        <f>VLOOKUP(all_lmics1819[[Setting]:[Setting]],birthrate[],3,FALSE)</f>
        <v>1.8537999999999999E-2</v>
      </c>
      <c r="F25">
        <f>all_lmics1819[[#This Row],[2017_population]]*all_lmics1819[[#This Row],[2016_birthrate]]</f>
        <v>118232.638914</v>
      </c>
      <c r="G25">
        <f>VLOOKUP(all_lmics1819[[Setting]:[Setting]],birthdose[],4,FALSE)*0.95</f>
        <v>0.76</v>
      </c>
      <c r="H25">
        <f>VLOOKUP(all_lmics1819[[Setting]:[Setting]],fullvax[],4,FALSE)*0.95</f>
        <v>0.8075</v>
      </c>
      <c r="I25">
        <f>IFERROR(VLOOKUP(all_lmics1819[[Setting]:[Setting]],prev[],3,FALSE),VLOOKUP(all_lmics1819[[who_choice_region]:[who_choice_region]],missing[],2,FALSE))</f>
        <v>0.01</v>
      </c>
      <c r="J25">
        <f>IFERROR(VLOOKUP(all_lmics1819[[Setting]:[Setting]],prev[],4,FALSE),VLOOKUP(all_lmics1819[[who_choice_region]:[who_choice_region]],missing[],3,FALSE))</f>
        <v>5.0000000000000001E-3</v>
      </c>
      <c r="K25">
        <f>IFERROR(VLOOKUP(all_lmics1819[[Setting]:[Setting]],prev[],5,FALSE),VLOOKUP(all_lmics1819[[who_choice_region]:[who_choice_region]],missing[],4,FALSE))</f>
        <v>1.2E-2</v>
      </c>
      <c r="L25">
        <f>IFERROR(VLOOKUP(all_lmics1819[[Setting]:[Setting]],prev[],7,FALSE),VLOOKUP(all_lmics1819[[who_choice_region]:[who_choice_region]],missing[],5,FALSE))</f>
        <v>1.0204081632653062E-3</v>
      </c>
      <c r="M25">
        <f>IFERROR(VLOOKUP(all_lmics1819[[Setting]:[Setting]],prev[],6,FALSE),0)</f>
        <v>6377853</v>
      </c>
      <c r="N25">
        <f>IFERROR(VLOOKUP(all_lmics1819[[Setting]:[Setting]],SBA[],4,FALSE),VLOOKUP(all_lmics1819[[who_choice_region]:[who_choice_region]],missing[],6,FALSE))*0.95</f>
        <v>0.94905000000000006</v>
      </c>
      <c r="O25">
        <f>IFERROR(VLOOKUP(all_lmics1819[[Setting]:[Setting]], facility[], 3,FALSE),VLOOKUP(all_lmics1819[[who_choice_region]:[who_choice_region]],missing[],7,FALSE))*0.95</f>
        <v>0.92624999999999991</v>
      </c>
      <c r="P25">
        <f>IF(VLOOKUP(all_lmics1819[[Setting]:[Setting]],all_cause_mort[],4,FALSE)="",VLOOKUP(all_lmics1819[[who_choice_region]:[who_choice_region]],missing[],8,FALSE),VLOOKUP(all_lmics1819[[Setting]:[Setting]],all_cause_mort[],4,FALSE))*0.95</f>
        <v>1.4031487649999999E-2</v>
      </c>
      <c r="Q25">
        <f>IF(VLOOKUP(all_lmics1819[[Setting]:[Setting]],all_cause_mort[],5,FALSE)="",VLOOKUP(all_lmics1819[[who_choice_region]:[who_choice_region]],missing[],9,FALSE),VLOOKUP(all_lmics1819[[Setting]:[Setting]],all_cause_mort[],5,FALSE))*0.95</f>
        <v>5.59281872E-4</v>
      </c>
      <c r="R25">
        <f>IF(VLOOKUP(all_lmics1819[[Setting]:[Setting]],all_cause_mort[],6,FALSE)="",VLOOKUP(all_lmics1819[[who_choice_region]:[who_choice_region]],missing[],10,FALSE),VLOOKUP(all_lmics1819[[Setting]:[Setting]],all_cause_mort[],6,FALSE))*0.95</f>
        <v>2.6009282400000003E-4</v>
      </c>
      <c r="S25">
        <f>IF(VLOOKUP(all_lmics1819[[Setting]:[Setting]],all_cause_mort[],7,FALSE)="",VLOOKUP(all_lmics1819[[who_choice_region]:[who_choice_region]],missing[],11,FALSE),VLOOKUP(all_lmics1819[[Setting]:[Setting]],all_cause_mort[],7,FALSE))*0.95</f>
        <v>5.3849947249999996E-4</v>
      </c>
      <c r="T25">
        <f>IF(VLOOKUP(all_lmics1819[[Setting]:[Setting]],all_cause_mort[],8,FALSE)="",VLOOKUP(all_lmics1819[[who_choice_region]:[who_choice_region]],missing[],12,FALSE),VLOOKUP(all_lmics1819[[Setting]:[Setting]],all_cause_mort[],8,FALSE))*0.95</f>
        <v>1.4743578199999999E-3</v>
      </c>
      <c r="U25">
        <f>IF(VLOOKUP(all_lmics1819[[Setting]:[Setting]],all_cause_mort[],9,FALSE)="",VLOOKUP(all_lmics1819[[who_choice_region]:[who_choice_region]],missing[],13,FALSE),VLOOKUP(all_lmics1819[[Setting]:[Setting]],all_cause_mort[],9,FALSE))*0.95</f>
        <v>2.4543177799999996E-3</v>
      </c>
      <c r="V25">
        <f>IF(VLOOKUP(all_lmics1819[[Setting]:[Setting]],all_cause_mort[],10,FALSE)="",VLOOKUP(all_lmics1819[[who_choice_region]:[who_choice_region]],missing[],14,FALSE),VLOOKUP(all_lmics1819[[Setting]:[Setting]],all_cause_mort[],10,FALSE))*0.95</f>
        <v>3.0571284050000002E-3</v>
      </c>
      <c r="W25">
        <f>IF(VLOOKUP(all_lmics1819[[Setting]:[Setting]],all_cause_mort[],11,FALSE)="",VLOOKUP(all_lmics1819[[who_choice_region]:[who_choice_region]],missing[],15,FALSE),VLOOKUP(all_lmics1819[[Setting]:[Setting]],all_cause_mort[],11,FALSE))*0.95</f>
        <v>3.2036847149999998E-3</v>
      </c>
      <c r="X25">
        <f>IF(VLOOKUP(all_lmics1819[[Setting]:[Setting]],all_cause_mort[],12,FALSE)="",VLOOKUP(all_lmics1819[[who_choice_region]:[who_choice_region]],missing[],16,FALSE),VLOOKUP(all_lmics1819[[Setting]:[Setting]],all_cause_mort[],12,FALSE))*0.95</f>
        <v>3.3573056049999998E-3</v>
      </c>
      <c r="Y25">
        <f>IF(VLOOKUP(all_lmics1819[[Setting]:[Setting]],all_cause_mort[],13,FALSE)="",VLOOKUP(all_lmics1819[[who_choice_region]:[who_choice_region]],missing[],17,FALSE),VLOOKUP(all_lmics1819[[Setting]:[Setting]],all_cause_mort[],13,FALSE))*0.95</f>
        <v>4.0084338949999999E-3</v>
      </c>
      <c r="Z25">
        <f>IF(VLOOKUP(all_lmics1819[[Setting]:[Setting]],all_cause_mort[],14,FALSE)="",VLOOKUP(all_lmics1819[[who_choice_region]:[who_choice_region]],missing[],18,FALSE),VLOOKUP(all_lmics1819[[Setting]:[Setting]],all_cause_mort[],14,FALSE))*0.95</f>
        <v>5.1278850149999991E-3</v>
      </c>
      <c r="AA25">
        <f>IF(VLOOKUP(all_lmics1819[[Setting]:[Setting]],all_cause_mort[],15,FALSE)="",VLOOKUP(all_lmics1819[[who_choice_region]:[who_choice_region]],missing[],19,FALSE),VLOOKUP(all_lmics1819[[Setting]:[Setting]],all_cause_mort[],15,FALSE))*0.95</f>
        <v>6.7657862849999995E-3</v>
      </c>
      <c r="AB25">
        <f>IF(VLOOKUP(all_lmics1819[[Setting]:[Setting]],all_cause_mort[],16,FALSE)="",VLOOKUP(all_lmics1819[[who_choice_region]:[who_choice_region]],missing[],20,FALSE),VLOOKUP(all_lmics1819[[Setting]:[Setting]],all_cause_mort[],16,FALSE))*0.95</f>
        <v>8.9720418699999992E-3</v>
      </c>
      <c r="AC25">
        <f>IF(VLOOKUP(all_lmics1819[[Setting]:[Setting]],all_cause_mort[],17,FALSE)="",VLOOKUP(all_lmics1819[[who_choice_region]:[who_choice_region]],missing[],21,FALSE),VLOOKUP(all_lmics1819[[Setting]:[Setting]],all_cause_mort[],17,FALSE))*0.95</f>
        <v>1.2337307049999999E-2</v>
      </c>
      <c r="AD25">
        <f>IF(VLOOKUP(all_lmics1819[[Setting]:[Setting]],all_cause_mort[],18,FALSE)="",VLOOKUP(all_lmics1819[[who_choice_region]:[who_choice_region]],missing[],22,FALSE),VLOOKUP(all_lmics1819[[Setting]:[Setting]],all_cause_mort[],18,FALSE))*0.95</f>
        <v>1.7786368349999998E-2</v>
      </c>
      <c r="AE25">
        <f>IF(VLOOKUP(all_lmics1819[[Setting]:[Setting]],all_cause_mort[],19,FALSE)="",VLOOKUP(all_lmics1819[[who_choice_region]:[who_choice_region]],missing[],23,FALSE),VLOOKUP(all_lmics1819[[Setting]:[Setting]],all_cause_mort[],19,FALSE))*0.95</f>
        <v>2.6308149549999996E-2</v>
      </c>
      <c r="AF25">
        <f>IF(VLOOKUP(all_lmics1819[[Setting]:[Setting]],all_cause_mort[],20,FALSE)="",VLOOKUP(all_lmics1819[[who_choice_region]:[who_choice_region]],missing[],24,FALSE),VLOOKUP(all_lmics1819[[Setting]:[Setting]],all_cause_mort[],20,FALSE))*0.95</f>
        <v>4.2067353749999994E-2</v>
      </c>
      <c r="AG25">
        <f>IF(VLOOKUP(all_lmics1819[[Setting]:[Setting]],all_cause_mort[],21,FALSE)="",VLOOKUP(all_lmics1819[[who_choice_region]:[who_choice_region]],missing[],25,FALSE),VLOOKUP(all_lmics1819[[Setting]:[Setting]],all_cause_mort[],21,FALSE))*0.95</f>
        <v>7.3191669850000002E-2</v>
      </c>
      <c r="AH25">
        <f>IF(VLOOKUP(all_lmics1819[[Setting]:[Setting]],all_cause_mort[],22,FALSE)="",VLOOKUP(all_lmics1819[[who_choice_region]:[who_choice_region]],missing[],26,FALSE),VLOOKUP(all_lmics1819[[Setting]:[Setting]],all_cause_mort[],22,FALSE))*0.95</f>
        <v>0.1238664055</v>
      </c>
      <c r="AI25">
        <f>IF(VLOOKUP(all_lmics1819[[Setting]:[Setting]],all_cause_mort[],23,FALSE)="",VLOOKUP(all_lmics1819[[who_choice_region]:[who_choice_region]],missing[],27,FALSE),VLOOKUP(all_lmics1819[[Setting]:[Setting]],all_cause_mort[],23,FALSE))*0.95</f>
        <v>0.1996506985</v>
      </c>
      <c r="AJ25">
        <f>IF(VLOOKUP(all_lmics1819[[Setting]:[Setting]],all_cause_mort[],24,FALSE)="",VLOOKUP(all_lmics1819[[who_choice_region]:[who_choice_region]],missing[],28,FALSE),VLOOKUP(all_lmics1819[[Setting]:[Setting]],all_cause_mort[],24,FALSE))*0.95</f>
        <v>0.30608829949999999</v>
      </c>
      <c r="AK25">
        <f>IF(VLOOKUP(all_lmics1819[[Setting]:[Setting]],all_cause_mort[],25,FALSE)="",VLOOKUP(all_lmics1819[[who_choice_region]:[who_choice_region]],missing[],29,FALSE),VLOOKUP(all_lmics1819[[Setting]:[Setting]],all_cause_mort[],25,FALSE))*0.95</f>
        <v>0.43828319765700235</v>
      </c>
      <c r="AL25">
        <f>VLOOKUP(all_lmics1819[[worldbank_region]:[worldbank_region]],Table13[],2,FALSE)*0.95</f>
        <v>82.51698764999999</v>
      </c>
      <c r="AM25">
        <f>VLOOKUP(all_lmics1819[[worldbank_region]:[worldbank_region]],Table13[],3,FALSE)*0.95</f>
        <v>82.51698764999999</v>
      </c>
      <c r="AN25">
        <f>VLOOKUP(all_lmics1819[[worldbank_region]:[worldbank_region]],Table13[],4,FALSE)*0.95</f>
        <v>127.85940464999999</v>
      </c>
      <c r="AO25">
        <f>VLOOKUP(all_lmics1819[[worldbank_region]:[worldbank_region]],Table13[],5,FALSE)*0.95</f>
        <v>127.85940464999999</v>
      </c>
      <c r="AP25">
        <f>VLOOKUP(all_lmics1819[[worldbank_region]:[worldbank_region]],Table13[],6,FALSE)*0.95</f>
        <v>127.85940464999999</v>
      </c>
      <c r="AQ25">
        <f>VLOOKUP(all_lmics1819[[worldbank_region]:[worldbank_region]],Table14[],2,FALSE)*0.95</f>
        <v>1.4389099000000001</v>
      </c>
      <c r="AR25">
        <f>VLOOKUP(all_lmics1819[[worldbank_region]:[worldbank_region]],Table14[],3,FALSE)*0.95</f>
        <v>2.0255348999999998</v>
      </c>
      <c r="AS25">
        <f>VLOOKUP(all_lmics1819[[worldbank_region]:[worldbank_region]],Table14[],4,FALSE)*0.95</f>
        <v>1.4596142000000001</v>
      </c>
      <c r="AT25">
        <f>VLOOKUP(all_lmics1819[[worldbank_region]:[worldbank_region]],Table14[],5,FALSE)*0.95</f>
        <v>2.0462391999999996</v>
      </c>
      <c r="AU25">
        <f>VLOOKUP(all_lmics1819[[worldbank_region]:[worldbank_region]],Table14[],6,FALSE)*0.95</f>
        <v>2.5879785999999996</v>
      </c>
      <c r="AV25">
        <f>IFERROR(VLOOKUP(all_lmics1819[[Setting]:[Setting]],nFacSBA[],4,FALSE),VLOOKUP(all_lmics1819[[who_choice_region]:[who_choice_region]],missing[],30,FALSE))*0.95</f>
        <v>0.19387920306497206</v>
      </c>
      <c r="AW25">
        <f>VLOOKUP(all_lmics1819[[worldbank_region]:[worldbank_region]],hbe[],3)</f>
        <v>0.2</v>
      </c>
      <c r="AX25">
        <f>VLOOKUP(all_lmics1819[[worldbank_region]:[worldbank_region]],hbe[],6)</f>
        <v>0.75</v>
      </c>
      <c r="AY25">
        <f>VLOOKUP(all_lmics1819[[worldbank_region]:[worldbank_region]],hbe[],9)</f>
        <v>0.05</v>
      </c>
    </row>
    <row r="26" spans="1:51" x14ac:dyDescent="0.35">
      <c r="A26" s="12" t="s">
        <v>89</v>
      </c>
      <c r="B26" s="13" t="s">
        <v>57</v>
      </c>
      <c r="C26" s="14" t="s">
        <v>58</v>
      </c>
      <c r="D26">
        <f>VLOOKUP(all_lmics1819[[Setting]:[Setting]],populations[],9,FALSE)</f>
        <v>905502</v>
      </c>
      <c r="E26">
        <f>VLOOKUP(all_lmics1819[[Setting]:[Setting]],birthrate[],3,FALSE)</f>
        <v>1.9387000000000001E-2</v>
      </c>
      <c r="F26">
        <f>all_lmics1819[[#This Row],[2017_population]]*all_lmics1819[[#This Row],[2016_birthrate]]</f>
        <v>17554.967274000002</v>
      </c>
      <c r="G26">
        <f>VLOOKUP(all_lmics1819[[Setting]:[Setting]],birthdose[],4,FALSE)*0.95</f>
        <v>0.85499999999999998</v>
      </c>
      <c r="H26">
        <f>VLOOKUP(all_lmics1819[[Setting]:[Setting]],fullvax[],4,FALSE)*0.95</f>
        <v>0.9405</v>
      </c>
      <c r="I26">
        <f>IFERROR(VLOOKUP(all_lmics1819[[Setting]:[Setting]],prev[],3,FALSE),VLOOKUP(all_lmics1819[[who_choice_region]:[who_choice_region]],missing[],2,FALSE))</f>
        <v>0.02</v>
      </c>
      <c r="J26">
        <f>IFERROR(VLOOKUP(all_lmics1819[[Setting]:[Setting]],prev[],4,FALSE),VLOOKUP(all_lmics1819[[who_choice_region]:[who_choice_region]],missing[],3,FALSE))</f>
        <v>1.7999999999999999E-2</v>
      </c>
      <c r="K26">
        <f>IFERROR(VLOOKUP(all_lmics1819[[Setting]:[Setting]],prev[],5,FALSE),VLOOKUP(all_lmics1819[[who_choice_region]:[who_choice_region]],missing[],4,FALSE))</f>
        <v>2.3E-2</v>
      </c>
      <c r="L26">
        <f>IFERROR(VLOOKUP(all_lmics1819[[Setting]:[Setting]],prev[],7,FALSE),VLOOKUP(all_lmics1819[[who_choice_region]:[who_choice_region]],missing[],5,FALSE))</f>
        <v>1.5306122448979589E-3</v>
      </c>
      <c r="M26">
        <f>IFERROR(VLOOKUP(all_lmics1819[[Setting]:[Setting]],prev[],6,FALSE),0)</f>
        <v>905502</v>
      </c>
      <c r="N26">
        <f>IFERROR(VLOOKUP(all_lmics1819[[Setting]:[Setting]],SBA[],4,FALSE),VLOOKUP(all_lmics1819[[who_choice_region]:[who_choice_region]],missing[],6,FALSE))*0.95</f>
        <v>0.94905000000000006</v>
      </c>
      <c r="O26">
        <f>IFERROR(VLOOKUP(all_lmics1819[[Setting]:[Setting]], facility[], 3,FALSE),VLOOKUP(all_lmics1819[[who_choice_region]:[who_choice_region]],missing[],7,FALSE))*0.95</f>
        <v>0.93764999999999998</v>
      </c>
      <c r="P26">
        <f>IF(VLOOKUP(all_lmics1819[[Setting]:[Setting]],all_cause_mort[],4,FALSE)="",VLOOKUP(all_lmics1819[[who_choice_region]:[who_choice_region]],missing[],8,FALSE),VLOOKUP(all_lmics1819[[Setting]:[Setting]],all_cause_mort[],4,FALSE))*0.95</f>
        <v>1.9668666050000002E-2</v>
      </c>
      <c r="Q26">
        <f>IF(VLOOKUP(all_lmics1819[[Setting]:[Setting]],all_cause_mort[],5,FALSE)="",VLOOKUP(all_lmics1819[[who_choice_region]:[who_choice_region]],missing[],9,FALSE),VLOOKUP(all_lmics1819[[Setting]:[Setting]],all_cause_mort[],5,FALSE))*0.95</f>
        <v>1.0445689849999998E-3</v>
      </c>
      <c r="R26">
        <f>IF(VLOOKUP(all_lmics1819[[Setting]:[Setting]],all_cause_mort[],6,FALSE)="",VLOOKUP(all_lmics1819[[who_choice_region]:[who_choice_region]],missing[],10,FALSE),VLOOKUP(all_lmics1819[[Setting]:[Setting]],all_cause_mort[],6,FALSE))*0.95</f>
        <v>6.9310084799999996E-4</v>
      </c>
      <c r="S26">
        <f>IF(VLOOKUP(all_lmics1819[[Setting]:[Setting]],all_cause_mort[],7,FALSE)="",VLOOKUP(all_lmics1819[[who_choice_region]:[who_choice_region]],missing[],11,FALSE),VLOOKUP(all_lmics1819[[Setting]:[Setting]],all_cause_mort[],7,FALSE))*0.95</f>
        <v>6.4584874100000005E-4</v>
      </c>
      <c r="T26">
        <f>IF(VLOOKUP(all_lmics1819[[Setting]:[Setting]],all_cause_mort[],8,FALSE)="",VLOOKUP(all_lmics1819[[who_choice_region]:[who_choice_region]],missing[],12,FALSE),VLOOKUP(all_lmics1819[[Setting]:[Setting]],all_cause_mort[],8,FALSE))*0.95</f>
        <v>1.44758986E-3</v>
      </c>
      <c r="U26">
        <f>IF(VLOOKUP(all_lmics1819[[Setting]:[Setting]],all_cause_mort[],9,FALSE)="",VLOOKUP(all_lmics1819[[who_choice_region]:[who_choice_region]],missing[],13,FALSE),VLOOKUP(all_lmics1819[[Setting]:[Setting]],all_cause_mort[],9,FALSE))*0.95</f>
        <v>2.0592185749999997E-3</v>
      </c>
      <c r="V26">
        <f>IF(VLOOKUP(all_lmics1819[[Setting]:[Setting]],all_cause_mort[],10,FALSE)="",VLOOKUP(all_lmics1819[[who_choice_region]:[who_choice_region]],missing[],14,FALSE),VLOOKUP(all_lmics1819[[Setting]:[Setting]],all_cause_mort[],10,FALSE))*0.95</f>
        <v>2.2853423250000001E-3</v>
      </c>
      <c r="W26">
        <f>IF(VLOOKUP(all_lmics1819[[Setting]:[Setting]],all_cause_mort[],11,FALSE)="",VLOOKUP(all_lmics1819[[who_choice_region]:[who_choice_region]],missing[],15,FALSE),VLOOKUP(all_lmics1819[[Setting]:[Setting]],all_cause_mort[],11,FALSE))*0.95</f>
        <v>2.68199858E-3</v>
      </c>
      <c r="X26">
        <f>IF(VLOOKUP(all_lmics1819[[Setting]:[Setting]],all_cause_mort[],12,FALSE)="",VLOOKUP(all_lmics1819[[who_choice_region]:[who_choice_region]],missing[],16,FALSE),VLOOKUP(all_lmics1819[[Setting]:[Setting]],all_cause_mort[],12,FALSE))*0.95</f>
        <v>3.4414544200000001E-3</v>
      </c>
      <c r="Y26">
        <f>IF(VLOOKUP(all_lmics1819[[Setting]:[Setting]],all_cause_mort[],13,FALSE)="",VLOOKUP(all_lmics1819[[who_choice_region]:[who_choice_region]],missing[],17,FALSE),VLOOKUP(all_lmics1819[[Setting]:[Setting]],all_cause_mort[],13,FALSE))*0.95</f>
        <v>4.6503090899999997E-3</v>
      </c>
      <c r="Z26">
        <f>IF(VLOOKUP(all_lmics1819[[Setting]:[Setting]],all_cause_mort[],14,FALSE)="",VLOOKUP(all_lmics1819[[who_choice_region]:[who_choice_region]],missing[],18,FALSE),VLOOKUP(all_lmics1819[[Setting]:[Setting]],all_cause_mort[],14,FALSE))*0.95</f>
        <v>6.6308377399999993E-3</v>
      </c>
      <c r="AA26">
        <f>IF(VLOOKUP(all_lmics1819[[Setting]:[Setting]],all_cause_mort[],15,FALSE)="",VLOOKUP(all_lmics1819[[who_choice_region]:[who_choice_region]],missing[],19,FALSE),VLOOKUP(all_lmics1819[[Setting]:[Setting]],all_cause_mort[],15,FALSE))*0.95</f>
        <v>9.64464225E-3</v>
      </c>
      <c r="AB26">
        <f>IF(VLOOKUP(all_lmics1819[[Setting]:[Setting]],all_cause_mort[],16,FALSE)="",VLOOKUP(all_lmics1819[[who_choice_region]:[who_choice_region]],missing[],20,FALSE),VLOOKUP(all_lmics1819[[Setting]:[Setting]],all_cause_mort[],16,FALSE))*0.95</f>
        <v>1.4160390300000001E-2</v>
      </c>
      <c r="AC26">
        <f>IF(VLOOKUP(all_lmics1819[[Setting]:[Setting]],all_cause_mort[],17,FALSE)="",VLOOKUP(all_lmics1819[[who_choice_region]:[who_choice_region]],missing[],21,FALSE),VLOOKUP(all_lmics1819[[Setting]:[Setting]],all_cause_mort[],17,FALSE))*0.95</f>
        <v>2.2444931800000002E-2</v>
      </c>
      <c r="AD26">
        <f>IF(VLOOKUP(all_lmics1819[[Setting]:[Setting]],all_cause_mort[],18,FALSE)="",VLOOKUP(all_lmics1819[[who_choice_region]:[who_choice_region]],missing[],22,FALSE),VLOOKUP(all_lmics1819[[Setting]:[Setting]],all_cause_mort[],18,FALSE))*0.95</f>
        <v>3.5985854650000003E-2</v>
      </c>
      <c r="AE26">
        <f>IF(VLOOKUP(all_lmics1819[[Setting]:[Setting]],all_cause_mort[],19,FALSE)="",VLOOKUP(all_lmics1819[[who_choice_region]:[who_choice_region]],missing[],23,FALSE),VLOOKUP(all_lmics1819[[Setting]:[Setting]],all_cause_mort[],19,FALSE))*0.95</f>
        <v>5.6871352899999998E-2</v>
      </c>
      <c r="AF26">
        <f>IF(VLOOKUP(all_lmics1819[[Setting]:[Setting]],all_cause_mort[],20,FALSE)="",VLOOKUP(all_lmics1819[[who_choice_region]:[who_choice_region]],missing[],24,FALSE),VLOOKUP(all_lmics1819[[Setting]:[Setting]],all_cause_mort[],20,FALSE))*0.95</f>
        <v>8.9519431950000006E-2</v>
      </c>
      <c r="AG26">
        <f>IF(VLOOKUP(all_lmics1819[[Setting]:[Setting]],all_cause_mort[],21,FALSE)="",VLOOKUP(all_lmics1819[[who_choice_region]:[who_choice_region]],missing[],25,FALSE),VLOOKUP(all_lmics1819[[Setting]:[Setting]],all_cause_mort[],21,FALSE))*0.95</f>
        <v>0.14216860200000001</v>
      </c>
      <c r="AH26">
        <f>IF(VLOOKUP(all_lmics1819[[Setting]:[Setting]],all_cause_mort[],22,FALSE)="",VLOOKUP(all_lmics1819[[who_choice_region]:[who_choice_region]],missing[],26,FALSE),VLOOKUP(all_lmics1819[[Setting]:[Setting]],all_cause_mort[],22,FALSE))*0.95</f>
        <v>0.22216654399999997</v>
      </c>
      <c r="AI26">
        <f>IF(VLOOKUP(all_lmics1819[[Setting]:[Setting]],all_cause_mort[],23,FALSE)="",VLOOKUP(all_lmics1819[[who_choice_region]:[who_choice_region]],missing[],27,FALSE),VLOOKUP(all_lmics1819[[Setting]:[Setting]],all_cause_mort[],23,FALSE))*0.95</f>
        <v>0.32628034049999999</v>
      </c>
      <c r="AJ26">
        <f>IF(VLOOKUP(all_lmics1819[[Setting]:[Setting]],all_cause_mort[],24,FALSE)="",VLOOKUP(all_lmics1819[[who_choice_region]:[who_choice_region]],missing[],28,FALSE),VLOOKUP(all_lmics1819[[Setting]:[Setting]],all_cause_mort[],24,FALSE))*0.95</f>
        <v>0.45791470599999995</v>
      </c>
      <c r="AK26">
        <f>IF(VLOOKUP(all_lmics1819[[Setting]:[Setting]],all_cause_mort[],25,FALSE)="",VLOOKUP(all_lmics1819[[who_choice_region]:[who_choice_region]],missing[],29,FALSE),VLOOKUP(all_lmics1819[[Setting]:[Setting]],all_cause_mort[],25,FALSE))*0.95</f>
        <v>0.59324911235882138</v>
      </c>
      <c r="AL26">
        <f>VLOOKUP(all_lmics1819[[worldbank_region]:[worldbank_region]],Table13[],2,FALSE)*0.95</f>
        <v>69.411165749999981</v>
      </c>
      <c r="AM26">
        <f>VLOOKUP(all_lmics1819[[worldbank_region]:[worldbank_region]],Table13[],3,FALSE)*0.95</f>
        <v>69.411165749999981</v>
      </c>
      <c r="AN26">
        <f>VLOOKUP(all_lmics1819[[worldbank_region]:[worldbank_region]],Table13[],4,FALSE)*0.95</f>
        <v>114.75358274999998</v>
      </c>
      <c r="AO26">
        <f>VLOOKUP(all_lmics1819[[worldbank_region]:[worldbank_region]],Table13[],5,FALSE)*0.95</f>
        <v>114.75358274999998</v>
      </c>
      <c r="AP26">
        <f>VLOOKUP(all_lmics1819[[worldbank_region]:[worldbank_region]],Table13[],6,FALSE)*0.95</f>
        <v>114.75358274999998</v>
      </c>
      <c r="AQ26">
        <f>VLOOKUP(all_lmics1819[[worldbank_region]:[worldbank_region]],Table14[],2,FALSE)*0.95</f>
        <v>1.2732755</v>
      </c>
      <c r="AR26">
        <f>VLOOKUP(all_lmics1819[[worldbank_region]:[worldbank_region]],Table14[],3,FALSE)*0.95</f>
        <v>1.8599005</v>
      </c>
      <c r="AS26">
        <f>VLOOKUP(all_lmics1819[[worldbank_region]:[worldbank_region]],Table14[],4,FALSE)*0.95</f>
        <v>1.8737001999999996</v>
      </c>
      <c r="AT26">
        <f>VLOOKUP(all_lmics1819[[worldbank_region]:[worldbank_region]],Table14[],5,FALSE)*0.95</f>
        <v>2.4603251999999998</v>
      </c>
      <c r="AU26">
        <f>VLOOKUP(all_lmics1819[[worldbank_region]:[worldbank_region]],Table14[],6,FALSE)*0.95</f>
        <v>3.0020645999999997</v>
      </c>
      <c r="AV26">
        <f>IFERROR(VLOOKUP(all_lmics1819[[Setting]:[Setting]],nFacSBA[],4,FALSE),VLOOKUP(all_lmics1819[[who_choice_region]:[who_choice_region]],missing[],30,FALSE))*0.95</f>
        <v>0.1518638670270247</v>
      </c>
      <c r="AW26">
        <f>VLOOKUP(all_lmics1819[[worldbank_region]:[worldbank_region]],hbe[],3)</f>
        <v>0.2</v>
      </c>
      <c r="AX26">
        <f>VLOOKUP(all_lmics1819[[worldbank_region]:[worldbank_region]],hbe[],6)</f>
        <v>0.75</v>
      </c>
      <c r="AY26">
        <f>VLOOKUP(all_lmics1819[[worldbank_region]:[worldbank_region]],hbe[],9)</f>
        <v>0.05</v>
      </c>
    </row>
    <row r="27" spans="1:51" x14ac:dyDescent="0.35">
      <c r="A27" s="8" t="s">
        <v>94</v>
      </c>
      <c r="B27" s="10" t="s">
        <v>10</v>
      </c>
      <c r="C27" s="11" t="s">
        <v>11</v>
      </c>
      <c r="D27">
        <f>VLOOKUP(all_lmics1819[[Setting]:[Setting]],populations[],9,FALSE)</f>
        <v>3717100</v>
      </c>
      <c r="E27">
        <f>VLOOKUP(all_lmics1819[[Setting]:[Setting]],birthrate[],3,FALSE)</f>
        <v>1.3499000000000001E-2</v>
      </c>
      <c r="F27">
        <f>all_lmics1819[[#This Row],[2017_population]]*all_lmics1819[[#This Row],[2016_birthrate]]</f>
        <v>50177.132900000004</v>
      </c>
      <c r="G27">
        <f>VLOOKUP(all_lmics1819[[Setting]:[Setting]],birthdose[],4,FALSE)*0.95</f>
        <v>0.8929999999999999</v>
      </c>
      <c r="H27">
        <f>VLOOKUP(all_lmics1819[[Setting]:[Setting]],fullvax[],4,FALSE)*0.95</f>
        <v>0.86449999999999994</v>
      </c>
      <c r="I27">
        <f>IFERROR(VLOOKUP(all_lmics1819[[Setting]:[Setting]],prev[],3,FALSE),VLOOKUP(all_lmics1819[[who_choice_region]:[who_choice_region]],missing[],2,FALSE))</f>
        <v>2.5000000000000001E-2</v>
      </c>
      <c r="J27">
        <f>IFERROR(VLOOKUP(all_lmics1819[[Setting]:[Setting]],prev[],4,FALSE),VLOOKUP(all_lmics1819[[who_choice_region]:[who_choice_region]],missing[],3,FALSE))</f>
        <v>1.9E-2</v>
      </c>
      <c r="K27">
        <f>IFERROR(VLOOKUP(all_lmics1819[[Setting]:[Setting]],prev[],5,FALSE),VLOOKUP(all_lmics1819[[who_choice_region]:[who_choice_region]],missing[],4,FALSE))</f>
        <v>3.5999999999999997E-2</v>
      </c>
      <c r="L27">
        <f>IFERROR(VLOOKUP(all_lmics1819[[Setting]:[Setting]],prev[],7,FALSE),VLOOKUP(all_lmics1819[[who_choice_region]:[who_choice_region]],missing[],5,FALSE))</f>
        <v>5.6122448979591816E-3</v>
      </c>
      <c r="M27">
        <f>IFERROR(VLOOKUP(all_lmics1819[[Setting]:[Setting]],prev[],6,FALSE),0)</f>
        <v>3717100</v>
      </c>
      <c r="N27">
        <f>IFERROR(VLOOKUP(all_lmics1819[[Setting]:[Setting]],SBA[],4,FALSE),VLOOKUP(all_lmics1819[[who_choice_region]:[who_choice_region]],missing[],6,FALSE))*0.95</f>
        <v>0.94905000000000006</v>
      </c>
      <c r="O27">
        <f>IFERROR(VLOOKUP(all_lmics1819[[Setting]:[Setting]], facility[], 3,FALSE),VLOOKUP(all_lmics1819[[who_choice_region]:[who_choice_region]],missing[],7,FALSE))*0.95</f>
        <v>0.94809999999999994</v>
      </c>
      <c r="P27">
        <f>IF(VLOOKUP(all_lmics1819[[Setting]:[Setting]],all_cause_mort[],4,FALSE)="",VLOOKUP(all_lmics1819[[who_choice_region]:[who_choice_region]],missing[],8,FALSE),VLOOKUP(all_lmics1819[[Setting]:[Setting]],all_cause_mort[],4,FALSE))*0.95</f>
        <v>8.9818992600000005E-3</v>
      </c>
      <c r="Q27">
        <f>IF(VLOOKUP(all_lmics1819[[Setting]:[Setting]],all_cause_mort[],5,FALSE)="",VLOOKUP(all_lmics1819[[who_choice_region]:[who_choice_region]],missing[],9,FALSE),VLOOKUP(all_lmics1819[[Setting]:[Setting]],all_cause_mort[],5,FALSE))*0.95</f>
        <v>1.88168666E-4</v>
      </c>
      <c r="R27">
        <f>IF(VLOOKUP(all_lmics1819[[Setting]:[Setting]],all_cause_mort[],6,FALSE)="",VLOOKUP(all_lmics1819[[who_choice_region]:[who_choice_region]],missing[],10,FALSE),VLOOKUP(all_lmics1819[[Setting]:[Setting]],all_cause_mort[],6,FALSE))*0.95</f>
        <v>1.9708764599999997E-4</v>
      </c>
      <c r="S27">
        <f>IF(VLOOKUP(all_lmics1819[[Setting]:[Setting]],all_cause_mort[],7,FALSE)="",VLOOKUP(all_lmics1819[[who_choice_region]:[who_choice_region]],missing[],11,FALSE),VLOOKUP(all_lmics1819[[Setting]:[Setting]],all_cause_mort[],7,FALSE))*0.95</f>
        <v>2.2816379899999998E-4</v>
      </c>
      <c r="T27">
        <f>IF(VLOOKUP(all_lmics1819[[Setting]:[Setting]],all_cause_mort[],8,FALSE)="",VLOOKUP(all_lmics1819[[who_choice_region]:[who_choice_region]],missing[],12,FALSE),VLOOKUP(all_lmics1819[[Setting]:[Setting]],all_cause_mort[],8,FALSE))*0.95</f>
        <v>4.3510450299999996E-4</v>
      </c>
      <c r="U27">
        <f>IF(VLOOKUP(all_lmics1819[[Setting]:[Setting]],all_cause_mort[],9,FALSE)="",VLOOKUP(all_lmics1819[[who_choice_region]:[who_choice_region]],missing[],13,FALSE),VLOOKUP(all_lmics1819[[Setting]:[Setting]],all_cause_mort[],9,FALSE))*0.95</f>
        <v>7.2371569049999994E-4</v>
      </c>
      <c r="V27">
        <f>IF(VLOOKUP(all_lmics1819[[Setting]:[Setting]],all_cause_mort[],10,FALSE)="",VLOOKUP(all_lmics1819[[who_choice_region]:[who_choice_region]],missing[],14,FALSE),VLOOKUP(all_lmics1819[[Setting]:[Setting]],all_cause_mort[],10,FALSE))*0.95</f>
        <v>8.9336360299999997E-4</v>
      </c>
      <c r="W27">
        <f>IF(VLOOKUP(all_lmics1819[[Setting]:[Setting]],all_cause_mort[],11,FALSE)="",VLOOKUP(all_lmics1819[[who_choice_region]:[who_choice_region]],missing[],15,FALSE),VLOOKUP(all_lmics1819[[Setting]:[Setting]],all_cause_mort[],11,FALSE))*0.95</f>
        <v>1.3346903400000001E-3</v>
      </c>
      <c r="X27">
        <f>IF(VLOOKUP(all_lmics1819[[Setting]:[Setting]],all_cause_mort[],12,FALSE)="",VLOOKUP(all_lmics1819[[who_choice_region]:[who_choice_region]],missing[],16,FALSE),VLOOKUP(all_lmics1819[[Setting]:[Setting]],all_cause_mort[],12,FALSE))*0.95</f>
        <v>1.8983321799999997E-3</v>
      </c>
      <c r="Y27">
        <f>IF(VLOOKUP(all_lmics1819[[Setting]:[Setting]],all_cause_mort[],13,FALSE)="",VLOOKUP(all_lmics1819[[who_choice_region]:[who_choice_region]],missing[],17,FALSE),VLOOKUP(all_lmics1819[[Setting]:[Setting]],all_cause_mort[],13,FALSE))*0.95</f>
        <v>2.9445012499999998E-3</v>
      </c>
      <c r="Z27">
        <f>IF(VLOOKUP(all_lmics1819[[Setting]:[Setting]],all_cause_mort[],14,FALSE)="",VLOOKUP(all_lmics1819[[who_choice_region]:[who_choice_region]],missing[],18,FALSE),VLOOKUP(all_lmics1819[[Setting]:[Setting]],all_cause_mort[],14,FALSE))*0.95</f>
        <v>4.8391648149999997E-3</v>
      </c>
      <c r="AA27">
        <f>IF(VLOOKUP(all_lmics1819[[Setting]:[Setting]],all_cause_mort[],15,FALSE)="",VLOOKUP(all_lmics1819[[who_choice_region]:[who_choice_region]],missing[],19,FALSE),VLOOKUP(all_lmics1819[[Setting]:[Setting]],all_cause_mort[],15,FALSE))*0.95</f>
        <v>7.1671305049999991E-3</v>
      </c>
      <c r="AB27">
        <f>IF(VLOOKUP(all_lmics1819[[Setting]:[Setting]],all_cause_mort[],16,FALSE)="",VLOOKUP(all_lmics1819[[who_choice_region]:[who_choice_region]],missing[],20,FALSE),VLOOKUP(all_lmics1819[[Setting]:[Setting]],all_cause_mort[],16,FALSE))*0.95</f>
        <v>1.06419038E-2</v>
      </c>
      <c r="AC27">
        <f>IF(VLOOKUP(all_lmics1819[[Setting]:[Setting]],all_cause_mort[],17,FALSE)="",VLOOKUP(all_lmics1819[[who_choice_region]:[who_choice_region]],missing[],21,FALSE),VLOOKUP(all_lmics1819[[Setting]:[Setting]],all_cause_mort[],17,FALSE))*0.95</f>
        <v>1.5530441349999998E-2</v>
      </c>
      <c r="AD27">
        <f>IF(VLOOKUP(all_lmics1819[[Setting]:[Setting]],all_cause_mort[],18,FALSE)="",VLOOKUP(all_lmics1819[[who_choice_region]:[who_choice_region]],missing[],22,FALSE),VLOOKUP(all_lmics1819[[Setting]:[Setting]],all_cause_mort[],18,FALSE))*0.95</f>
        <v>2.2462648349999999E-2</v>
      </c>
      <c r="AE27">
        <f>IF(VLOOKUP(all_lmics1819[[Setting]:[Setting]],all_cause_mort[],19,FALSE)="",VLOOKUP(all_lmics1819[[who_choice_region]:[who_choice_region]],missing[],23,FALSE),VLOOKUP(all_lmics1819[[Setting]:[Setting]],all_cause_mort[],19,FALSE))*0.95</f>
        <v>3.7343565199999998E-2</v>
      </c>
      <c r="AF27">
        <f>IF(VLOOKUP(all_lmics1819[[Setting]:[Setting]],all_cause_mort[],20,FALSE)="",VLOOKUP(all_lmics1819[[who_choice_region]:[who_choice_region]],missing[],24,FALSE),VLOOKUP(all_lmics1819[[Setting]:[Setting]],all_cause_mort[],20,FALSE))*0.95</f>
        <v>6.3467914449999996E-2</v>
      </c>
      <c r="AG27">
        <f>IF(VLOOKUP(all_lmics1819[[Setting]:[Setting]],all_cause_mort[],21,FALSE)="",VLOOKUP(all_lmics1819[[who_choice_region]:[who_choice_region]],missing[],25,FALSE),VLOOKUP(all_lmics1819[[Setting]:[Setting]],all_cause_mort[],21,FALSE))*0.95</f>
        <v>0.1041604605</v>
      </c>
      <c r="AH27">
        <f>IF(VLOOKUP(all_lmics1819[[Setting]:[Setting]],all_cause_mort[],22,FALSE)="",VLOOKUP(all_lmics1819[[who_choice_region]:[who_choice_region]],missing[],26,FALSE),VLOOKUP(all_lmics1819[[Setting]:[Setting]],all_cause_mort[],22,FALSE))*0.95</f>
        <v>0.16457837999999997</v>
      </c>
      <c r="AI27">
        <f>IF(VLOOKUP(all_lmics1819[[Setting]:[Setting]],all_cause_mort[],23,FALSE)="",VLOOKUP(all_lmics1819[[who_choice_region]:[who_choice_region]],missing[],27,FALSE),VLOOKUP(all_lmics1819[[Setting]:[Setting]],all_cause_mort[],23,FALSE))*0.95</f>
        <v>0.25434987449999996</v>
      </c>
      <c r="AJ27">
        <f>IF(VLOOKUP(all_lmics1819[[Setting]:[Setting]],all_cause_mort[],24,FALSE)="",VLOOKUP(all_lmics1819[[who_choice_region]:[who_choice_region]],missing[],28,FALSE),VLOOKUP(all_lmics1819[[Setting]:[Setting]],all_cause_mort[],24,FALSE))*0.95</f>
        <v>0.36571888749999998</v>
      </c>
      <c r="AK27">
        <f>IF(VLOOKUP(all_lmics1819[[Setting]:[Setting]],all_cause_mort[],25,FALSE)="",VLOOKUP(all_lmics1819[[who_choice_region]:[who_choice_region]],missing[],29,FALSE),VLOOKUP(all_lmics1819[[Setting]:[Setting]],all_cause_mort[],25,FALSE))*0.95</f>
        <v>0.50148418202756662</v>
      </c>
      <c r="AL27">
        <f>VLOOKUP(all_lmics1819[[worldbank_region]:[worldbank_region]],Table13[],2,FALSE)*0.95</f>
        <v>42.29888489999999</v>
      </c>
      <c r="AM27">
        <f>VLOOKUP(all_lmics1819[[worldbank_region]:[worldbank_region]],Table13[],3,FALSE)*0.95</f>
        <v>42.29888489999999</v>
      </c>
      <c r="AN27">
        <f>VLOOKUP(all_lmics1819[[worldbank_region]:[worldbank_region]],Table13[],4,FALSE)*0.95</f>
        <v>87.641301899999988</v>
      </c>
      <c r="AO27">
        <f>VLOOKUP(all_lmics1819[[worldbank_region]:[worldbank_region]],Table13[],5,FALSE)*0.95</f>
        <v>87.641301899999988</v>
      </c>
      <c r="AP27">
        <f>VLOOKUP(all_lmics1819[[worldbank_region]:[worldbank_region]],Table13[],6,FALSE)*0.95</f>
        <v>87.641301899999988</v>
      </c>
      <c r="AQ27">
        <f>VLOOKUP(all_lmics1819[[worldbank_region]:[worldbank_region]],Table14[],2,FALSE)*0.95</f>
        <v>6.0973773999999992</v>
      </c>
      <c r="AR27">
        <f>VLOOKUP(all_lmics1819[[worldbank_region]:[worldbank_region]],Table14[],3,FALSE)*0.95</f>
        <v>6.6840023999999998</v>
      </c>
      <c r="AS27">
        <f>VLOOKUP(all_lmics1819[[worldbank_region]:[worldbank_region]],Table14[],4,FALSE)*0.95</f>
        <v>9.9587293499999969</v>
      </c>
      <c r="AT27">
        <f>VLOOKUP(all_lmics1819[[worldbank_region]:[worldbank_region]],Table14[],5,FALSE)*0.95</f>
        <v>10.545354349999998</v>
      </c>
      <c r="AU27">
        <f>VLOOKUP(all_lmics1819[[worldbank_region]:[worldbank_region]],Table14[],6,FALSE)*0.95</f>
        <v>11.087093749999999</v>
      </c>
      <c r="AV27">
        <f>IFERROR(VLOOKUP(all_lmics1819[[Setting]:[Setting]],nFacSBA[],4,FALSE),VLOOKUP(all_lmics1819[[who_choice_region]:[who_choice_region]],missing[],30,FALSE))*0.95</f>
        <v>0.50689921499704871</v>
      </c>
      <c r="AW27">
        <f>VLOOKUP(all_lmics1819[[worldbank_region]:[worldbank_region]],hbe[],3)</f>
        <v>0.2</v>
      </c>
      <c r="AX27">
        <f>VLOOKUP(all_lmics1819[[worldbank_region]:[worldbank_region]],hbe[],6)</f>
        <v>0.75</v>
      </c>
      <c r="AY27">
        <f>VLOOKUP(all_lmics1819[[worldbank_region]:[worldbank_region]],hbe[],9)</f>
        <v>0.05</v>
      </c>
    </row>
    <row r="28" spans="1:51" x14ac:dyDescent="0.35">
      <c r="A28" s="8" t="s">
        <v>98</v>
      </c>
      <c r="B28" s="10" t="s">
        <v>22</v>
      </c>
      <c r="C28" s="11" t="s">
        <v>383</v>
      </c>
      <c r="D28">
        <f>VLOOKUP(all_lmics1819[[Setting]:[Setting]],populations[],9,FALSE)</f>
        <v>107825</v>
      </c>
      <c r="E28">
        <f>VLOOKUP(all_lmics1819[[Setting]:[Setting]],birthrate[],3,FALSE)</f>
        <v>1.8682999999999998E-2</v>
      </c>
      <c r="F28">
        <f>all_lmics1819[[#This Row],[2017_population]]*all_lmics1819[[#This Row],[2016_birthrate]]</f>
        <v>2014.4944749999997</v>
      </c>
      <c r="G28">
        <f>VLOOKUP(all_lmics1819[[Setting]:[Setting]],birthdose[],4,FALSE)*0.95</f>
        <v>0.74099999999999999</v>
      </c>
      <c r="H28">
        <f>VLOOKUP(all_lmics1819[[Setting]:[Setting]],fullvax[],4,FALSE)*0.95</f>
        <v>0.91199999999999992</v>
      </c>
      <c r="I28">
        <f>IFERROR(VLOOKUP(all_lmics1819[[Setting]:[Setting]],prev[],3,FALSE),VLOOKUP(all_lmics1819[[who_choice_region]:[who_choice_region]],missing[],2,FALSE))</f>
        <v>4.1444892127893984E-3</v>
      </c>
      <c r="J28">
        <f>IFERROR(VLOOKUP(all_lmics1819[[Setting]:[Setting]],prev[],4,FALSE),VLOOKUP(all_lmics1819[[who_choice_region]:[who_choice_region]],missing[],3,FALSE))</f>
        <v>2.6055266579680684E-3</v>
      </c>
      <c r="K28">
        <f>IFERROR(VLOOKUP(all_lmics1819[[Setting]:[Setting]],prev[],5,FALSE),VLOOKUP(all_lmics1819[[who_choice_region]:[who_choice_region]],missing[],4,FALSE))</f>
        <v>7.7002555713058798E-3</v>
      </c>
      <c r="L28">
        <f>IFERROR(VLOOKUP(all_lmics1819[[Setting]:[Setting]],prev[],7,FALSE),VLOOKUP(all_lmics1819[[who_choice_region]:[who_choice_region]],missing[],5,FALSE))</f>
        <v>1.8146552860433664E-3</v>
      </c>
      <c r="M28">
        <f>IFERROR(VLOOKUP(all_lmics1819[[Setting]:[Setting]],prev[],6,FALSE),0)</f>
        <v>0</v>
      </c>
      <c r="N28">
        <f>IFERROR(VLOOKUP(all_lmics1819[[Setting]:[Setting]],SBA[],4,FALSE),VLOOKUP(all_lmics1819[[who_choice_region]:[who_choice_region]],missing[],6,FALSE))*0.95</f>
        <v>0.94334999999999991</v>
      </c>
      <c r="O28">
        <f>IFERROR(VLOOKUP(all_lmics1819[[Setting]:[Setting]], facility[], 3,FALSE),VLOOKUP(all_lmics1819[[who_choice_region]:[who_choice_region]],missing[],7,FALSE))*0.95</f>
        <v>0.93002870506146962</v>
      </c>
      <c r="P28">
        <f>IF(VLOOKUP(all_lmics1819[[Setting]:[Setting]],all_cause_mort[],4,FALSE)="",VLOOKUP(all_lmics1819[[who_choice_region]:[who_choice_region]],missing[],8,FALSE),VLOOKUP(all_lmics1819[[Setting]:[Setting]],all_cause_mort[],4,FALSE))*0.95</f>
        <v>1.4444978949999999E-2</v>
      </c>
      <c r="Q28">
        <f>IF(VLOOKUP(all_lmics1819[[Setting]:[Setting]],all_cause_mort[],5,FALSE)="",VLOOKUP(all_lmics1819[[who_choice_region]:[who_choice_region]],missing[],9,FALSE),VLOOKUP(all_lmics1819[[Setting]:[Setting]],all_cause_mort[],5,FALSE))*0.95</f>
        <v>3.4930161449999998E-4</v>
      </c>
      <c r="R28">
        <f>IF(VLOOKUP(all_lmics1819[[Setting]:[Setting]],all_cause_mort[],6,FALSE)="",VLOOKUP(all_lmics1819[[who_choice_region]:[who_choice_region]],missing[],10,FALSE),VLOOKUP(all_lmics1819[[Setting]:[Setting]],all_cause_mort[],6,FALSE))*0.95</f>
        <v>3.6919374999999996E-4</v>
      </c>
      <c r="S28">
        <f>IF(VLOOKUP(all_lmics1819[[Setting]:[Setting]],all_cause_mort[],7,FALSE)="",VLOOKUP(all_lmics1819[[who_choice_region]:[who_choice_region]],missing[],11,FALSE),VLOOKUP(all_lmics1819[[Setting]:[Setting]],all_cause_mort[],7,FALSE))*0.95</f>
        <v>3.5020146400000001E-4</v>
      </c>
      <c r="T28">
        <f>IF(VLOOKUP(all_lmics1819[[Setting]:[Setting]],all_cause_mort[],8,FALSE)="",VLOOKUP(all_lmics1819[[who_choice_region]:[who_choice_region]],missing[],12,FALSE),VLOOKUP(all_lmics1819[[Setting]:[Setting]],all_cause_mort[],8,FALSE))*0.95</f>
        <v>8.2318101350000003E-4</v>
      </c>
      <c r="U28">
        <f>IF(VLOOKUP(all_lmics1819[[Setting]:[Setting]],all_cause_mort[],9,FALSE)="",VLOOKUP(all_lmics1819[[who_choice_region]:[who_choice_region]],missing[],13,FALSE),VLOOKUP(all_lmics1819[[Setting]:[Setting]],all_cause_mort[],9,FALSE))*0.95</f>
        <v>1.1199197550000001E-3</v>
      </c>
      <c r="V28">
        <f>IF(VLOOKUP(all_lmics1819[[Setting]:[Setting]],all_cause_mort[],10,FALSE)="",VLOOKUP(all_lmics1819[[who_choice_region]:[who_choice_region]],missing[],14,FALSE),VLOOKUP(all_lmics1819[[Setting]:[Setting]],all_cause_mort[],10,FALSE))*0.95</f>
        <v>1.201872455E-3</v>
      </c>
      <c r="W28">
        <f>IF(VLOOKUP(all_lmics1819[[Setting]:[Setting]],all_cause_mort[],11,FALSE)="",VLOOKUP(all_lmics1819[[who_choice_region]:[who_choice_region]],missing[],15,FALSE),VLOOKUP(all_lmics1819[[Setting]:[Setting]],all_cause_mort[],11,FALSE))*0.95</f>
        <v>1.4388689549999999E-3</v>
      </c>
      <c r="X28">
        <f>IF(VLOOKUP(all_lmics1819[[Setting]:[Setting]],all_cause_mort[],12,FALSE)="",VLOOKUP(all_lmics1819[[who_choice_region]:[who_choice_region]],missing[],16,FALSE),VLOOKUP(all_lmics1819[[Setting]:[Setting]],all_cause_mort[],12,FALSE))*0.95</f>
        <v>1.94160753E-3</v>
      </c>
      <c r="Y28">
        <f>IF(VLOOKUP(all_lmics1819[[Setting]:[Setting]],all_cause_mort[],13,FALSE)="",VLOOKUP(all_lmics1819[[who_choice_region]:[who_choice_region]],missing[],17,FALSE),VLOOKUP(all_lmics1819[[Setting]:[Setting]],all_cause_mort[],13,FALSE))*0.95</f>
        <v>2.8213073400000003E-3</v>
      </c>
      <c r="Z28">
        <f>IF(VLOOKUP(all_lmics1819[[Setting]:[Setting]],all_cause_mort[],14,FALSE)="",VLOOKUP(all_lmics1819[[who_choice_region]:[who_choice_region]],missing[],18,FALSE),VLOOKUP(all_lmics1819[[Setting]:[Setting]],all_cause_mort[],14,FALSE))*0.95</f>
        <v>4.3518814099999994E-3</v>
      </c>
      <c r="AA28">
        <f>IF(VLOOKUP(all_lmics1819[[Setting]:[Setting]],all_cause_mort[],15,FALSE)="",VLOOKUP(all_lmics1819[[who_choice_region]:[who_choice_region]],missing[],19,FALSE),VLOOKUP(all_lmics1819[[Setting]:[Setting]],all_cause_mort[],15,FALSE))*0.95</f>
        <v>6.7282179649999999E-3</v>
      </c>
      <c r="AB28">
        <f>IF(VLOOKUP(all_lmics1819[[Setting]:[Setting]],all_cause_mort[],16,FALSE)="",VLOOKUP(all_lmics1819[[who_choice_region]:[who_choice_region]],missing[],20,FALSE),VLOOKUP(all_lmics1819[[Setting]:[Setting]],all_cause_mort[],16,FALSE))*0.95</f>
        <v>1.0396792399999999E-2</v>
      </c>
      <c r="AC28">
        <f>IF(VLOOKUP(all_lmics1819[[Setting]:[Setting]],all_cause_mort[],17,FALSE)="",VLOOKUP(all_lmics1819[[who_choice_region]:[who_choice_region]],missing[],21,FALSE),VLOOKUP(all_lmics1819[[Setting]:[Setting]],all_cause_mort[],17,FALSE))*0.95</f>
        <v>1.6354167349999997E-2</v>
      </c>
      <c r="AD28">
        <f>IF(VLOOKUP(all_lmics1819[[Setting]:[Setting]],all_cause_mort[],18,FALSE)="",VLOOKUP(all_lmics1819[[who_choice_region]:[who_choice_region]],missing[],22,FALSE),VLOOKUP(all_lmics1819[[Setting]:[Setting]],all_cause_mort[],18,FALSE))*0.95</f>
        <v>2.56603873E-2</v>
      </c>
      <c r="AE28">
        <f>IF(VLOOKUP(all_lmics1819[[Setting]:[Setting]],all_cause_mort[],19,FALSE)="",VLOOKUP(all_lmics1819[[who_choice_region]:[who_choice_region]],missing[],23,FALSE),VLOOKUP(all_lmics1819[[Setting]:[Setting]],all_cause_mort[],19,FALSE))*0.95</f>
        <v>4.0346243499999997E-2</v>
      </c>
      <c r="AF28">
        <f>IF(VLOOKUP(all_lmics1819[[Setting]:[Setting]],all_cause_mort[],20,FALSE)="",VLOOKUP(all_lmics1819[[who_choice_region]:[who_choice_region]],missing[],24,FALSE),VLOOKUP(all_lmics1819[[Setting]:[Setting]],all_cause_mort[],20,FALSE))*0.95</f>
        <v>6.5484645699999997E-2</v>
      </c>
      <c r="AG28">
        <f>IF(VLOOKUP(all_lmics1819[[Setting]:[Setting]],all_cause_mort[],21,FALSE)="",VLOOKUP(all_lmics1819[[who_choice_region]:[who_choice_region]],missing[],25,FALSE),VLOOKUP(all_lmics1819[[Setting]:[Setting]],all_cause_mort[],21,FALSE))*0.95</f>
        <v>0.10648259299999999</v>
      </c>
      <c r="AH28">
        <f>IF(VLOOKUP(all_lmics1819[[Setting]:[Setting]],all_cause_mort[],22,FALSE)="",VLOOKUP(all_lmics1819[[who_choice_region]:[who_choice_region]],missing[],26,FALSE),VLOOKUP(all_lmics1819[[Setting]:[Setting]],all_cause_mort[],22,FALSE))*0.95</f>
        <v>0.1695018975</v>
      </c>
      <c r="AI28">
        <f>IF(VLOOKUP(all_lmics1819[[Setting]:[Setting]],all_cause_mort[],23,FALSE)="",VLOOKUP(all_lmics1819[[who_choice_region]:[who_choice_region]],missing[],27,FALSE),VLOOKUP(all_lmics1819[[Setting]:[Setting]],all_cause_mort[],23,FALSE))*0.95</f>
        <v>0.25609019849999998</v>
      </c>
      <c r="AJ28">
        <f>IF(VLOOKUP(all_lmics1819[[Setting]:[Setting]],all_cause_mort[],24,FALSE)="",VLOOKUP(all_lmics1819[[who_choice_region]:[who_choice_region]],missing[],28,FALSE),VLOOKUP(all_lmics1819[[Setting]:[Setting]],all_cause_mort[],24,FALSE))*0.95</f>
        <v>0.37130469749999995</v>
      </c>
      <c r="AK28">
        <f>IF(VLOOKUP(all_lmics1819[[Setting]:[Setting]],all_cause_mort[],25,FALSE)="",VLOOKUP(all_lmics1819[[who_choice_region]:[who_choice_region]],missing[],29,FALSE),VLOOKUP(all_lmics1819[[Setting]:[Setting]],all_cause_mort[],25,FALSE))*0.95</f>
        <v>0.51006336221849025</v>
      </c>
      <c r="AL28">
        <f>VLOOKUP(all_lmics1819[[worldbank_region]:[worldbank_region]],Table13[],2,FALSE)*0.95</f>
        <v>82.51698764999999</v>
      </c>
      <c r="AM28">
        <f>VLOOKUP(all_lmics1819[[worldbank_region]:[worldbank_region]],Table13[],3,FALSE)*0.95</f>
        <v>82.51698764999999</v>
      </c>
      <c r="AN28">
        <f>VLOOKUP(all_lmics1819[[worldbank_region]:[worldbank_region]],Table13[],4,FALSE)*0.95</f>
        <v>127.85940464999999</v>
      </c>
      <c r="AO28">
        <f>VLOOKUP(all_lmics1819[[worldbank_region]:[worldbank_region]],Table13[],5,FALSE)*0.95</f>
        <v>127.85940464999999</v>
      </c>
      <c r="AP28">
        <f>VLOOKUP(all_lmics1819[[worldbank_region]:[worldbank_region]],Table13[],6,FALSE)*0.95</f>
        <v>127.85940464999999</v>
      </c>
      <c r="AQ28">
        <f>VLOOKUP(all_lmics1819[[worldbank_region]:[worldbank_region]],Table14[],2,FALSE)*0.95</f>
        <v>1.4389099000000001</v>
      </c>
      <c r="AR28">
        <f>VLOOKUP(all_lmics1819[[worldbank_region]:[worldbank_region]],Table14[],3,FALSE)*0.95</f>
        <v>2.0255348999999998</v>
      </c>
      <c r="AS28">
        <f>VLOOKUP(all_lmics1819[[worldbank_region]:[worldbank_region]],Table14[],4,FALSE)*0.95</f>
        <v>1.4596142000000001</v>
      </c>
      <c r="AT28">
        <f>VLOOKUP(all_lmics1819[[worldbank_region]:[worldbank_region]],Table14[],5,FALSE)*0.95</f>
        <v>2.0462391999999996</v>
      </c>
      <c r="AU28">
        <f>VLOOKUP(all_lmics1819[[worldbank_region]:[worldbank_region]],Table14[],6,FALSE)*0.95</f>
        <v>2.5879785999999996</v>
      </c>
      <c r="AV28">
        <f>IFERROR(VLOOKUP(all_lmics1819[[Setting]:[Setting]],nFacSBA[],4,FALSE),VLOOKUP(all_lmics1819[[who_choice_region]:[who_choice_region]],missing[],30,FALSE))*0.95</f>
        <v>0.19387920306497206</v>
      </c>
      <c r="AW28">
        <f>VLOOKUP(all_lmics1819[[worldbank_region]:[worldbank_region]],hbe[],3)</f>
        <v>0.2</v>
      </c>
      <c r="AX28">
        <f>VLOOKUP(all_lmics1819[[worldbank_region]:[worldbank_region]],hbe[],6)</f>
        <v>0.75</v>
      </c>
      <c r="AY28">
        <f>VLOOKUP(all_lmics1819[[worldbank_region]:[worldbank_region]],hbe[],9)</f>
        <v>0.05</v>
      </c>
    </row>
    <row r="29" spans="1:51" x14ac:dyDescent="0.35">
      <c r="A29" s="12" t="s">
        <v>99</v>
      </c>
      <c r="B29" s="13" t="s">
        <v>46</v>
      </c>
      <c r="C29" s="14" t="s">
        <v>383</v>
      </c>
      <c r="D29">
        <f>VLOOKUP(all_lmics1819[[Setting]:[Setting]],populations[],9,FALSE)</f>
        <v>16913503</v>
      </c>
      <c r="E29">
        <f>VLOOKUP(all_lmics1819[[Setting]:[Setting]],birthrate[],3,FALSE)</f>
        <v>2.5273E-2</v>
      </c>
      <c r="F29">
        <f>all_lmics1819[[#This Row],[2017_population]]*all_lmics1819[[#This Row],[2016_birthrate]]</f>
        <v>427454.96131899999</v>
      </c>
      <c r="G29">
        <f>VLOOKUP(all_lmics1819[[Setting]:[Setting]],birthdose[],4,FALSE)*0.95</f>
        <v>0.42749999999999999</v>
      </c>
      <c r="H29">
        <f>VLOOKUP(all_lmics1819[[Setting]:[Setting]],fullvax[],4,FALSE)*0.95</f>
        <v>0.77899999999999991</v>
      </c>
      <c r="I29">
        <f>IFERROR(VLOOKUP(all_lmics1819[[Setting]:[Setting]],prev[],3,FALSE),VLOOKUP(all_lmics1819[[who_choice_region]:[who_choice_region]],missing[],2,FALSE))</f>
        <v>6.0000000000000001E-3</v>
      </c>
      <c r="J29">
        <f>IFERROR(VLOOKUP(all_lmics1819[[Setting]:[Setting]],prev[],4,FALSE),VLOOKUP(all_lmics1819[[who_choice_region]:[who_choice_region]],missing[],3,FALSE))</f>
        <v>4.0000000000000001E-3</v>
      </c>
      <c r="K29">
        <f>IFERROR(VLOOKUP(all_lmics1819[[Setting]:[Setting]],prev[],5,FALSE),VLOOKUP(all_lmics1819[[who_choice_region]:[who_choice_region]],missing[],4,FALSE))</f>
        <v>7.0000000000000001E-3</v>
      </c>
      <c r="L29">
        <f>IFERROR(VLOOKUP(all_lmics1819[[Setting]:[Setting]],prev[],7,FALSE),VLOOKUP(all_lmics1819[[who_choice_region]:[who_choice_region]],missing[],5,FALSE))</f>
        <v>5.1020408163265311E-4</v>
      </c>
      <c r="M29">
        <f>IFERROR(VLOOKUP(all_lmics1819[[Setting]:[Setting]],prev[],6,FALSE),0)</f>
        <v>16913503</v>
      </c>
      <c r="N29">
        <f>IFERROR(VLOOKUP(all_lmics1819[[Setting]:[Setting]],SBA[],4,FALSE),VLOOKUP(all_lmics1819[[who_choice_region]:[who_choice_region]],missing[],6,FALSE))*0.95</f>
        <v>0.62224999999999997</v>
      </c>
      <c r="O29">
        <f>IFERROR(VLOOKUP(all_lmics1819[[Setting]:[Setting]], facility[], 3,FALSE),VLOOKUP(all_lmics1819[[who_choice_region]:[who_choice_region]],missing[],7,FALSE))*0.95</f>
        <v>0.61749999999999994</v>
      </c>
      <c r="P29">
        <f>IF(VLOOKUP(all_lmics1819[[Setting]:[Setting]],all_cause_mort[],4,FALSE)="",VLOOKUP(all_lmics1819[[who_choice_region]:[who_choice_region]],missing[],8,FALSE),VLOOKUP(all_lmics1819[[Setting]:[Setting]],all_cause_mort[],4,FALSE))*0.95</f>
        <v>2.0045539599999999E-2</v>
      </c>
      <c r="Q29">
        <f>IF(VLOOKUP(all_lmics1819[[Setting]:[Setting]],all_cause_mort[],5,FALSE)="",VLOOKUP(all_lmics1819[[who_choice_region]:[who_choice_region]],missing[],9,FALSE),VLOOKUP(all_lmics1819[[Setting]:[Setting]],all_cause_mort[],5,FALSE))*0.95</f>
        <v>1.3045708749999999E-3</v>
      </c>
      <c r="R29">
        <f>IF(VLOOKUP(all_lmics1819[[Setting]:[Setting]],all_cause_mort[],6,FALSE)="",VLOOKUP(all_lmics1819[[who_choice_region]:[who_choice_region]],missing[],10,FALSE),VLOOKUP(all_lmics1819[[Setting]:[Setting]],all_cause_mort[],6,FALSE))*0.95</f>
        <v>3.4467078250000001E-4</v>
      </c>
      <c r="S29">
        <f>IF(VLOOKUP(all_lmics1819[[Setting]:[Setting]],all_cause_mort[],7,FALSE)="",VLOOKUP(all_lmics1819[[who_choice_region]:[who_choice_region]],missing[],11,FALSE),VLOOKUP(all_lmics1819[[Setting]:[Setting]],all_cause_mort[],7,FALSE))*0.95</f>
        <v>4.9588968299999999E-4</v>
      </c>
      <c r="T29">
        <f>IF(VLOOKUP(all_lmics1819[[Setting]:[Setting]],all_cause_mort[],8,FALSE)="",VLOOKUP(all_lmics1819[[who_choice_region]:[who_choice_region]],missing[],12,FALSE),VLOOKUP(all_lmics1819[[Setting]:[Setting]],all_cause_mort[],8,FALSE))*0.95</f>
        <v>1.0567913049999999E-3</v>
      </c>
      <c r="U29">
        <f>IF(VLOOKUP(all_lmics1819[[Setting]:[Setting]],all_cause_mort[],9,FALSE)="",VLOOKUP(all_lmics1819[[who_choice_region]:[who_choice_region]],missing[],13,FALSE),VLOOKUP(all_lmics1819[[Setting]:[Setting]],all_cause_mort[],9,FALSE))*0.95</f>
        <v>1.813378335E-3</v>
      </c>
      <c r="V29">
        <f>IF(VLOOKUP(all_lmics1819[[Setting]:[Setting]],all_cause_mort[],10,FALSE)="",VLOOKUP(all_lmics1819[[who_choice_region]:[who_choice_region]],missing[],14,FALSE),VLOOKUP(all_lmics1819[[Setting]:[Setting]],all_cause_mort[],10,FALSE))*0.95</f>
        <v>2.4115122999999999E-3</v>
      </c>
      <c r="W29">
        <f>IF(VLOOKUP(all_lmics1819[[Setting]:[Setting]],all_cause_mort[],11,FALSE)="",VLOOKUP(all_lmics1819[[who_choice_region]:[who_choice_region]],missing[],15,FALSE),VLOOKUP(all_lmics1819[[Setting]:[Setting]],all_cause_mort[],11,FALSE))*0.95</f>
        <v>2.7851002749999998E-3</v>
      </c>
      <c r="X29">
        <f>IF(VLOOKUP(all_lmics1819[[Setting]:[Setting]],all_cause_mort[],12,FALSE)="",VLOOKUP(all_lmics1819[[who_choice_region]:[who_choice_region]],missing[],16,FALSE),VLOOKUP(all_lmics1819[[Setting]:[Setting]],all_cause_mort[],12,FALSE))*0.95</f>
        <v>3.0724881949999996E-3</v>
      </c>
      <c r="Y29">
        <f>IF(VLOOKUP(all_lmics1819[[Setting]:[Setting]],all_cause_mort[],13,FALSE)="",VLOOKUP(all_lmics1819[[who_choice_region]:[who_choice_region]],missing[],17,FALSE),VLOOKUP(all_lmics1819[[Setting]:[Setting]],all_cause_mort[],13,FALSE))*0.95</f>
        <v>3.492142145E-3</v>
      </c>
      <c r="Z29">
        <f>IF(VLOOKUP(all_lmics1819[[Setting]:[Setting]],all_cause_mort[],14,FALSE)="",VLOOKUP(all_lmics1819[[who_choice_region]:[who_choice_region]],missing[],18,FALSE),VLOOKUP(all_lmics1819[[Setting]:[Setting]],all_cause_mort[],14,FALSE))*0.95</f>
        <v>4.2660905199999998E-3</v>
      </c>
      <c r="AA29">
        <f>IF(VLOOKUP(all_lmics1819[[Setting]:[Setting]],all_cause_mort[],15,FALSE)="",VLOOKUP(all_lmics1819[[who_choice_region]:[who_choice_region]],missing[],19,FALSE),VLOOKUP(all_lmics1819[[Setting]:[Setting]],all_cause_mort[],15,FALSE))*0.95</f>
        <v>5.6284012549999993E-3</v>
      </c>
      <c r="AB29">
        <f>IF(VLOOKUP(all_lmics1819[[Setting]:[Setting]],all_cause_mort[],16,FALSE)="",VLOOKUP(all_lmics1819[[who_choice_region]:[who_choice_region]],missing[],20,FALSE),VLOOKUP(all_lmics1819[[Setting]:[Setting]],all_cause_mort[],16,FALSE))*0.95</f>
        <v>7.8695917599999991E-3</v>
      </c>
      <c r="AC29">
        <f>IF(VLOOKUP(all_lmics1819[[Setting]:[Setting]],all_cause_mort[],17,FALSE)="",VLOOKUP(all_lmics1819[[who_choice_region]:[who_choice_region]],missing[],21,FALSE),VLOOKUP(all_lmics1819[[Setting]:[Setting]],all_cause_mort[],17,FALSE))*0.95</f>
        <v>1.15201465E-2</v>
      </c>
      <c r="AD29">
        <f>IF(VLOOKUP(all_lmics1819[[Setting]:[Setting]],all_cause_mort[],18,FALSE)="",VLOOKUP(all_lmics1819[[who_choice_region]:[who_choice_region]],missing[],22,FALSE),VLOOKUP(all_lmics1819[[Setting]:[Setting]],all_cause_mort[],18,FALSE))*0.95</f>
        <v>1.56984916E-2</v>
      </c>
      <c r="AE29">
        <f>IF(VLOOKUP(all_lmics1819[[Setting]:[Setting]],all_cause_mort[],19,FALSE)="",VLOOKUP(all_lmics1819[[who_choice_region]:[who_choice_region]],missing[],23,FALSE),VLOOKUP(all_lmics1819[[Setting]:[Setting]],all_cause_mort[],19,FALSE))*0.95</f>
        <v>2.3001602349999997E-2</v>
      </c>
      <c r="AF29">
        <f>IF(VLOOKUP(all_lmics1819[[Setting]:[Setting]],all_cause_mort[],20,FALSE)="",VLOOKUP(all_lmics1819[[who_choice_region]:[who_choice_region]],missing[],24,FALSE),VLOOKUP(all_lmics1819[[Setting]:[Setting]],all_cause_mort[],20,FALSE))*0.95</f>
        <v>3.9911718249999999E-2</v>
      </c>
      <c r="AG29">
        <f>IF(VLOOKUP(all_lmics1819[[Setting]:[Setting]],all_cause_mort[],21,FALSE)="",VLOOKUP(all_lmics1819[[who_choice_region]:[who_choice_region]],missing[],25,FALSE),VLOOKUP(all_lmics1819[[Setting]:[Setting]],all_cause_mort[],21,FALSE))*0.95</f>
        <v>7.0187579850000001E-2</v>
      </c>
      <c r="AH29">
        <f>IF(VLOOKUP(all_lmics1819[[Setting]:[Setting]],all_cause_mort[],22,FALSE)="",VLOOKUP(all_lmics1819[[who_choice_region]:[who_choice_region]],missing[],26,FALSE),VLOOKUP(all_lmics1819[[Setting]:[Setting]],all_cause_mort[],22,FALSE))*0.95</f>
        <v>0.11665339749999999</v>
      </c>
      <c r="AI29">
        <f>IF(VLOOKUP(all_lmics1819[[Setting]:[Setting]],all_cause_mort[],23,FALSE)="",VLOOKUP(all_lmics1819[[who_choice_region]:[who_choice_region]],missing[],27,FALSE),VLOOKUP(all_lmics1819[[Setting]:[Setting]],all_cause_mort[],23,FALSE))*0.95</f>
        <v>0.18342861249999998</v>
      </c>
      <c r="AJ29">
        <f>IF(VLOOKUP(all_lmics1819[[Setting]:[Setting]],all_cause_mort[],24,FALSE)="",VLOOKUP(all_lmics1819[[who_choice_region]:[who_choice_region]],missing[],28,FALSE),VLOOKUP(all_lmics1819[[Setting]:[Setting]],all_cause_mort[],24,FALSE))*0.95</f>
        <v>0.26941386299999998</v>
      </c>
      <c r="AK29">
        <f>IF(VLOOKUP(all_lmics1819[[Setting]:[Setting]],all_cause_mort[],25,FALSE)="",VLOOKUP(all_lmics1819[[who_choice_region]:[who_choice_region]],missing[],29,FALSE),VLOOKUP(all_lmics1819[[Setting]:[Setting]],all_cause_mort[],25,FALSE))*0.95</f>
        <v>0.37953901191612616</v>
      </c>
      <c r="AL29">
        <f>VLOOKUP(all_lmics1819[[worldbank_region]:[worldbank_region]],Table13[],2,FALSE)*0.95</f>
        <v>82.51698764999999</v>
      </c>
      <c r="AM29">
        <f>VLOOKUP(all_lmics1819[[worldbank_region]:[worldbank_region]],Table13[],3,FALSE)*0.95</f>
        <v>82.51698764999999</v>
      </c>
      <c r="AN29">
        <f>VLOOKUP(all_lmics1819[[worldbank_region]:[worldbank_region]],Table13[],4,FALSE)*0.95</f>
        <v>127.85940464999999</v>
      </c>
      <c r="AO29">
        <f>VLOOKUP(all_lmics1819[[worldbank_region]:[worldbank_region]],Table13[],5,FALSE)*0.95</f>
        <v>127.85940464999999</v>
      </c>
      <c r="AP29">
        <f>VLOOKUP(all_lmics1819[[worldbank_region]:[worldbank_region]],Table13[],6,FALSE)*0.95</f>
        <v>127.85940464999999</v>
      </c>
      <c r="AQ29">
        <f>VLOOKUP(all_lmics1819[[worldbank_region]:[worldbank_region]],Table14[],2,FALSE)*0.95</f>
        <v>1.4389099000000001</v>
      </c>
      <c r="AR29">
        <f>VLOOKUP(all_lmics1819[[worldbank_region]:[worldbank_region]],Table14[],3,FALSE)*0.95</f>
        <v>2.0255348999999998</v>
      </c>
      <c r="AS29">
        <f>VLOOKUP(all_lmics1819[[worldbank_region]:[worldbank_region]],Table14[],4,FALSE)*0.95</f>
        <v>1.4596142000000001</v>
      </c>
      <c r="AT29">
        <f>VLOOKUP(all_lmics1819[[worldbank_region]:[worldbank_region]],Table14[],5,FALSE)*0.95</f>
        <v>2.0462391999999996</v>
      </c>
      <c r="AU29">
        <f>VLOOKUP(all_lmics1819[[worldbank_region]:[worldbank_region]],Table14[],6,FALSE)*0.95</f>
        <v>2.5879785999999996</v>
      </c>
      <c r="AV29">
        <f>IFERROR(VLOOKUP(all_lmics1819[[Setting]:[Setting]],nFacSBA[],4,FALSE),VLOOKUP(all_lmics1819[[who_choice_region]:[who_choice_region]],missing[],30,FALSE))*0.95</f>
        <v>9.6023944085533094E-3</v>
      </c>
      <c r="AW29">
        <f>VLOOKUP(all_lmics1819[[worldbank_region]:[worldbank_region]],hbe[],3)</f>
        <v>0.2</v>
      </c>
      <c r="AX29">
        <f>VLOOKUP(all_lmics1819[[worldbank_region]:[worldbank_region]],hbe[],6)</f>
        <v>0.75</v>
      </c>
      <c r="AY29">
        <f>VLOOKUP(all_lmics1819[[worldbank_region]:[worldbank_region]],hbe[],9)</f>
        <v>0.05</v>
      </c>
    </row>
    <row r="30" spans="1:51" x14ac:dyDescent="0.35">
      <c r="A30" s="8" t="s">
        <v>104</v>
      </c>
      <c r="B30" s="10" t="s">
        <v>22</v>
      </c>
      <c r="C30" s="11" t="s">
        <v>383</v>
      </c>
      <c r="D30">
        <f>VLOOKUP(all_lmics1819[[Setting]:[Setting]],populations[],9,FALSE)</f>
        <v>9265067</v>
      </c>
      <c r="E30">
        <f>VLOOKUP(all_lmics1819[[Setting]:[Setting]],birthrate[],3,FALSE)</f>
        <v>2.1714999999999998E-2</v>
      </c>
      <c r="F30">
        <f>all_lmics1819[[#This Row],[2017_population]]*all_lmics1819[[#This Row],[2016_birthrate]]</f>
        <v>201190.929905</v>
      </c>
      <c r="G30">
        <f>VLOOKUP(all_lmics1819[[Setting]:[Setting]],birthdose[],4,FALSE)*0.95</f>
        <v>0.76</v>
      </c>
      <c r="H30">
        <f>VLOOKUP(all_lmics1819[[Setting]:[Setting]],fullvax[],4,FALSE)*0.95</f>
        <v>0.92149999999999999</v>
      </c>
      <c r="I30">
        <f>IFERROR(VLOOKUP(all_lmics1819[[Setting]:[Setting]],prev[],3,FALSE),VLOOKUP(all_lmics1819[[who_choice_region]:[who_choice_region]],missing[],2,FALSE))</f>
        <v>4.1444892127893984E-3</v>
      </c>
      <c r="J30">
        <f>IFERROR(VLOOKUP(all_lmics1819[[Setting]:[Setting]],prev[],4,FALSE),VLOOKUP(all_lmics1819[[who_choice_region]:[who_choice_region]],missing[],3,FALSE))</f>
        <v>2.6055266579680684E-3</v>
      </c>
      <c r="K30">
        <f>IFERROR(VLOOKUP(all_lmics1819[[Setting]:[Setting]],prev[],5,FALSE),VLOOKUP(all_lmics1819[[who_choice_region]:[who_choice_region]],missing[],4,FALSE))</f>
        <v>7.7002555713058798E-3</v>
      </c>
      <c r="L30">
        <f>IFERROR(VLOOKUP(all_lmics1819[[Setting]:[Setting]],prev[],7,FALSE),VLOOKUP(all_lmics1819[[who_choice_region]:[who_choice_region]],missing[],5,FALSE))</f>
        <v>1.8146552860433664E-3</v>
      </c>
      <c r="M30">
        <f>IFERROR(VLOOKUP(all_lmics1819[[Setting]:[Setting]],prev[],6,FALSE),0)</f>
        <v>0</v>
      </c>
      <c r="N30">
        <f>IFERROR(VLOOKUP(all_lmics1819[[Setting]:[Setting]],SBA[],4,FALSE),VLOOKUP(all_lmics1819[[who_choice_region]:[who_choice_region]],missing[],6,FALSE))*0.95</f>
        <v>0.78659999999999997</v>
      </c>
      <c r="O30">
        <f>IFERROR(VLOOKUP(all_lmics1819[[Setting]:[Setting]], facility[], 3,FALSE),VLOOKUP(all_lmics1819[[who_choice_region]:[who_choice_region]],missing[],7,FALSE))*0.95</f>
        <v>0.78565000000000007</v>
      </c>
      <c r="P30">
        <f>IF(VLOOKUP(all_lmics1819[[Setting]:[Setting]],all_cause_mort[],4,FALSE)="",VLOOKUP(all_lmics1819[[who_choice_region]:[who_choice_region]],missing[],8,FALSE),VLOOKUP(all_lmics1819[[Setting]:[Setting]],all_cause_mort[],4,FALSE))*0.95</f>
        <v>1.4486276399999999E-2</v>
      </c>
      <c r="Q30">
        <f>IF(VLOOKUP(all_lmics1819[[Setting]:[Setting]],all_cause_mort[],5,FALSE)="",VLOOKUP(all_lmics1819[[who_choice_region]:[who_choice_region]],missing[],9,FALSE),VLOOKUP(all_lmics1819[[Setting]:[Setting]],all_cause_mort[],5,FALSE))*0.95</f>
        <v>1.5184598599999998E-3</v>
      </c>
      <c r="R30">
        <f>IF(VLOOKUP(all_lmics1819[[Setting]:[Setting]],all_cause_mort[],6,FALSE)="",VLOOKUP(all_lmics1819[[who_choice_region]:[who_choice_region]],missing[],10,FALSE),VLOOKUP(all_lmics1819[[Setting]:[Setting]],all_cause_mort[],6,FALSE))*0.95</f>
        <v>8.1775024350000001E-4</v>
      </c>
      <c r="S30">
        <f>IF(VLOOKUP(all_lmics1819[[Setting]:[Setting]],all_cause_mort[],7,FALSE)="",VLOOKUP(all_lmics1819[[who_choice_region]:[who_choice_region]],missing[],11,FALSE),VLOOKUP(all_lmics1819[[Setting]:[Setting]],all_cause_mort[],7,FALSE))*0.95</f>
        <v>6.6104110300000004E-4</v>
      </c>
      <c r="T30">
        <f>IF(VLOOKUP(all_lmics1819[[Setting]:[Setting]],all_cause_mort[],8,FALSE)="",VLOOKUP(all_lmics1819[[who_choice_region]:[who_choice_region]],missing[],12,FALSE),VLOOKUP(all_lmics1819[[Setting]:[Setting]],all_cause_mort[],8,FALSE))*0.95</f>
        <v>9.5006906500000007E-4</v>
      </c>
      <c r="U30">
        <f>IF(VLOOKUP(all_lmics1819[[Setting]:[Setting]],all_cause_mort[],9,FALSE)="",VLOOKUP(all_lmics1819[[who_choice_region]:[who_choice_region]],missing[],13,FALSE),VLOOKUP(all_lmics1819[[Setting]:[Setting]],all_cause_mort[],9,FALSE))*0.95</f>
        <v>1.39108766E-3</v>
      </c>
      <c r="V30">
        <f>IF(VLOOKUP(all_lmics1819[[Setting]:[Setting]],all_cause_mort[],10,FALSE)="",VLOOKUP(all_lmics1819[[who_choice_region]:[who_choice_region]],missing[],14,FALSE),VLOOKUP(all_lmics1819[[Setting]:[Setting]],all_cause_mort[],10,FALSE))*0.95</f>
        <v>1.839656665E-3</v>
      </c>
      <c r="W30">
        <f>IF(VLOOKUP(all_lmics1819[[Setting]:[Setting]],all_cause_mort[],11,FALSE)="",VLOOKUP(all_lmics1819[[who_choice_region]:[who_choice_region]],missing[],15,FALSE),VLOOKUP(all_lmics1819[[Setting]:[Setting]],all_cause_mort[],11,FALSE))*0.95</f>
        <v>2.267190675E-3</v>
      </c>
      <c r="X30">
        <f>IF(VLOOKUP(all_lmics1819[[Setting]:[Setting]],all_cause_mort[],12,FALSE)="",VLOOKUP(all_lmics1819[[who_choice_region]:[who_choice_region]],missing[],16,FALSE),VLOOKUP(all_lmics1819[[Setting]:[Setting]],all_cause_mort[],12,FALSE))*0.95</f>
        <v>2.7092420150000001E-3</v>
      </c>
      <c r="Y30">
        <f>IF(VLOOKUP(all_lmics1819[[Setting]:[Setting]],all_cause_mort[],13,FALSE)="",VLOOKUP(all_lmics1819[[who_choice_region]:[who_choice_region]],missing[],17,FALSE),VLOOKUP(all_lmics1819[[Setting]:[Setting]],all_cause_mort[],13,FALSE))*0.95</f>
        <v>3.2580028649999999E-3</v>
      </c>
      <c r="Z30">
        <f>IF(VLOOKUP(all_lmics1819[[Setting]:[Setting]],all_cause_mort[],14,FALSE)="",VLOOKUP(all_lmics1819[[who_choice_region]:[who_choice_region]],missing[],18,FALSE),VLOOKUP(all_lmics1819[[Setting]:[Setting]],all_cause_mort[],14,FALSE))*0.95</f>
        <v>4.0541979599999995E-3</v>
      </c>
      <c r="AA30">
        <f>IF(VLOOKUP(all_lmics1819[[Setting]:[Setting]],all_cause_mort[],15,FALSE)="",VLOOKUP(all_lmics1819[[who_choice_region]:[who_choice_region]],missing[],19,FALSE),VLOOKUP(all_lmics1819[[Setting]:[Setting]],all_cause_mort[],15,FALSE))*0.95</f>
        <v>5.3151493949999996E-3</v>
      </c>
      <c r="AB30">
        <f>IF(VLOOKUP(all_lmics1819[[Setting]:[Setting]],all_cause_mort[],16,FALSE)="",VLOOKUP(all_lmics1819[[who_choice_region]:[who_choice_region]],missing[],20,FALSE),VLOOKUP(all_lmics1819[[Setting]:[Setting]],all_cause_mort[],16,FALSE))*0.95</f>
        <v>7.3746074649999995E-3</v>
      </c>
      <c r="AC30">
        <f>IF(VLOOKUP(all_lmics1819[[Setting]:[Setting]],all_cause_mort[],17,FALSE)="",VLOOKUP(all_lmics1819[[who_choice_region]:[who_choice_region]],missing[],21,FALSE),VLOOKUP(all_lmics1819[[Setting]:[Setting]],all_cause_mort[],17,FALSE))*0.95</f>
        <v>1.0760849500000001E-2</v>
      </c>
      <c r="AD30">
        <f>IF(VLOOKUP(all_lmics1819[[Setting]:[Setting]],all_cause_mort[],18,FALSE)="",VLOOKUP(all_lmics1819[[who_choice_region]:[who_choice_region]],missing[],22,FALSE),VLOOKUP(all_lmics1819[[Setting]:[Setting]],all_cause_mort[],18,FALSE))*0.95</f>
        <v>1.6319678550000001E-2</v>
      </c>
      <c r="AE30">
        <f>IF(VLOOKUP(all_lmics1819[[Setting]:[Setting]],all_cause_mort[],19,FALSE)="",VLOOKUP(all_lmics1819[[who_choice_region]:[who_choice_region]],missing[],23,FALSE),VLOOKUP(all_lmics1819[[Setting]:[Setting]],all_cause_mort[],19,FALSE))*0.95</f>
        <v>2.53923733E-2</v>
      </c>
      <c r="AF30">
        <f>IF(VLOOKUP(all_lmics1819[[Setting]:[Setting]],all_cause_mort[],20,FALSE)="",VLOOKUP(all_lmics1819[[who_choice_region]:[who_choice_region]],missing[],24,FALSE),VLOOKUP(all_lmics1819[[Setting]:[Setting]],all_cause_mort[],20,FALSE))*0.95</f>
        <v>4.006753725E-2</v>
      </c>
      <c r="AG30">
        <f>IF(VLOOKUP(all_lmics1819[[Setting]:[Setting]],all_cause_mort[],21,FALSE)="",VLOOKUP(all_lmics1819[[who_choice_region]:[who_choice_region]],missing[],25,FALSE),VLOOKUP(all_lmics1819[[Setting]:[Setting]],all_cause_mort[],21,FALSE))*0.95</f>
        <v>6.3497565849999993E-2</v>
      </c>
      <c r="AH30">
        <f>IF(VLOOKUP(all_lmics1819[[Setting]:[Setting]],all_cause_mort[],22,FALSE)="",VLOOKUP(all_lmics1819[[who_choice_region]:[who_choice_region]],missing[],26,FALSE),VLOOKUP(all_lmics1819[[Setting]:[Setting]],all_cause_mort[],22,FALSE))*0.95</f>
        <v>0.10025141949999999</v>
      </c>
      <c r="AI30">
        <f>IF(VLOOKUP(all_lmics1819[[Setting]:[Setting]],all_cause_mort[],23,FALSE)="",VLOOKUP(all_lmics1819[[who_choice_region]:[who_choice_region]],missing[],27,FALSE),VLOOKUP(all_lmics1819[[Setting]:[Setting]],all_cause_mort[],23,FALSE))*0.95</f>
        <v>0.15667566250000001</v>
      </c>
      <c r="AJ30">
        <f>IF(VLOOKUP(all_lmics1819[[Setting]:[Setting]],all_cause_mort[],24,FALSE)="",VLOOKUP(all_lmics1819[[who_choice_region]:[who_choice_region]],missing[],28,FALSE),VLOOKUP(all_lmics1819[[Setting]:[Setting]],all_cause_mort[],24,FALSE))*0.95</f>
        <v>0.24698209249999997</v>
      </c>
      <c r="AK30">
        <f>IF(VLOOKUP(all_lmics1819[[Setting]:[Setting]],all_cause_mort[],25,FALSE)="",VLOOKUP(all_lmics1819[[who_choice_region]:[who_choice_region]],missing[],29,FALSE),VLOOKUP(all_lmics1819[[Setting]:[Setting]],all_cause_mort[],25,FALSE))*0.95</f>
        <v>0.37605000087481139</v>
      </c>
      <c r="AL30">
        <f>VLOOKUP(all_lmics1819[[worldbank_region]:[worldbank_region]],Table13[],2,FALSE)*0.95</f>
        <v>82.51698764999999</v>
      </c>
      <c r="AM30">
        <f>VLOOKUP(all_lmics1819[[worldbank_region]:[worldbank_region]],Table13[],3,FALSE)*0.95</f>
        <v>82.51698764999999</v>
      </c>
      <c r="AN30">
        <f>VLOOKUP(all_lmics1819[[worldbank_region]:[worldbank_region]],Table13[],4,FALSE)*0.95</f>
        <v>127.85940464999999</v>
      </c>
      <c r="AO30">
        <f>VLOOKUP(all_lmics1819[[worldbank_region]:[worldbank_region]],Table13[],5,FALSE)*0.95</f>
        <v>127.85940464999999</v>
      </c>
      <c r="AP30">
        <f>VLOOKUP(all_lmics1819[[worldbank_region]:[worldbank_region]],Table13[],6,FALSE)*0.95</f>
        <v>127.85940464999999</v>
      </c>
      <c r="AQ30">
        <f>VLOOKUP(all_lmics1819[[worldbank_region]:[worldbank_region]],Table14[],2,FALSE)*0.95</f>
        <v>1.4389099000000001</v>
      </c>
      <c r="AR30">
        <f>VLOOKUP(all_lmics1819[[worldbank_region]:[worldbank_region]],Table14[],3,FALSE)*0.95</f>
        <v>2.0255348999999998</v>
      </c>
      <c r="AS30">
        <f>VLOOKUP(all_lmics1819[[worldbank_region]:[worldbank_region]],Table14[],4,FALSE)*0.95</f>
        <v>1.4596142000000001</v>
      </c>
      <c r="AT30">
        <f>VLOOKUP(all_lmics1819[[worldbank_region]:[worldbank_region]],Table14[],5,FALSE)*0.95</f>
        <v>2.0462391999999996</v>
      </c>
      <c r="AU30">
        <f>VLOOKUP(all_lmics1819[[worldbank_region]:[worldbank_region]],Table14[],6,FALSE)*0.95</f>
        <v>2.5879785999999996</v>
      </c>
      <c r="AV30">
        <f>IFERROR(VLOOKUP(all_lmics1819[[Setting]:[Setting]],nFacSBA[],4,FALSE),VLOOKUP(all_lmics1819[[who_choice_region]:[who_choice_region]],missing[],30,FALSE))*0.95</f>
        <v>1.3635646785751913E-2</v>
      </c>
      <c r="AW30">
        <f>VLOOKUP(all_lmics1819[[worldbank_region]:[worldbank_region]],hbe[],3)</f>
        <v>0.2</v>
      </c>
      <c r="AX30">
        <f>VLOOKUP(all_lmics1819[[worldbank_region]:[worldbank_region]],hbe[],6)</f>
        <v>0.75</v>
      </c>
      <c r="AY30">
        <f>VLOOKUP(all_lmics1819[[worldbank_region]:[worldbank_region]],hbe[],9)</f>
        <v>0.05</v>
      </c>
    </row>
    <row r="31" spans="1:51" x14ac:dyDescent="0.35">
      <c r="A31" s="12" t="s">
        <v>107</v>
      </c>
      <c r="B31" s="13" t="s">
        <v>36</v>
      </c>
      <c r="C31" s="14" t="s">
        <v>37</v>
      </c>
      <c r="D31">
        <f>VLOOKUP(all_lmics1819[[Setting]:[Setting]],populations[],9,FALSE)</f>
        <v>1339180127</v>
      </c>
      <c r="E31">
        <f>VLOOKUP(all_lmics1819[[Setting]:[Setting]],birthrate[],3,FALSE)</f>
        <v>1.9013000000000002E-2</v>
      </c>
      <c r="F31">
        <f>all_lmics1819[[#This Row],[2017_population]]*all_lmics1819[[#This Row],[2016_birthrate]]</f>
        <v>25461831.754651003</v>
      </c>
      <c r="G31">
        <f>VLOOKUP(all_lmics1819[[Setting]:[Setting]],birthdose[],4,FALSE)*0.95</f>
        <v>0.50349999999999995</v>
      </c>
      <c r="H31">
        <f>VLOOKUP(all_lmics1819[[Setting]:[Setting]],fullvax[],4,FALSE)*0.95</f>
        <v>0.83599999999999997</v>
      </c>
      <c r="I31">
        <f>IFERROR(VLOOKUP(all_lmics1819[[Setting]:[Setting]],prev[],3,FALSE),VLOOKUP(all_lmics1819[[who_choice_region]:[who_choice_region]],missing[],2,FALSE))</f>
        <v>2.5000000000000001E-2</v>
      </c>
      <c r="J31">
        <f>IFERROR(VLOOKUP(all_lmics1819[[Setting]:[Setting]],prev[],4,FALSE),VLOOKUP(all_lmics1819[[who_choice_region]:[who_choice_region]],missing[],3,FALSE))</f>
        <v>2.1999999999999999E-2</v>
      </c>
      <c r="K31">
        <f>IFERROR(VLOOKUP(all_lmics1819[[Setting]:[Setting]],prev[],5,FALSE),VLOOKUP(all_lmics1819[[who_choice_region]:[who_choice_region]],missing[],4,FALSE))</f>
        <v>2.7E-2</v>
      </c>
      <c r="L31">
        <f>IFERROR(VLOOKUP(all_lmics1819[[Setting]:[Setting]],prev[],7,FALSE),VLOOKUP(all_lmics1819[[who_choice_region]:[who_choice_region]],missing[],5,FALSE))</f>
        <v>1.0204081632653053E-3</v>
      </c>
      <c r="M31">
        <f>IFERROR(VLOOKUP(all_lmics1819[[Setting]:[Setting]],prev[],6,FALSE),0)</f>
        <v>1339180127</v>
      </c>
      <c r="N31">
        <f>IFERROR(VLOOKUP(all_lmics1819[[Setting]:[Setting]],SBA[],4,FALSE),VLOOKUP(all_lmics1819[[who_choice_region]:[who_choice_region]],missing[],6,FALSE))*0.95</f>
        <v>0.81414999999999993</v>
      </c>
      <c r="O31">
        <f>IFERROR(VLOOKUP(all_lmics1819[[Setting]:[Setting]], facility[], 3,FALSE),VLOOKUP(all_lmics1819[[who_choice_region]:[who_choice_region]],missing[],7,FALSE))*0.95</f>
        <v>0.74955000000000005</v>
      </c>
      <c r="P31">
        <f>IF(VLOOKUP(all_lmics1819[[Setting]:[Setting]],all_cause_mort[],4,FALSE)="",VLOOKUP(all_lmics1819[[who_choice_region]:[who_choice_region]],missing[],8,FALSE),VLOOKUP(all_lmics1819[[Setting]:[Setting]],all_cause_mort[],4,FALSE))*0.95</f>
        <v>3.1260313349999992E-2</v>
      </c>
      <c r="Q31">
        <f>IF(VLOOKUP(all_lmics1819[[Setting]:[Setting]],all_cause_mort[],5,FALSE)="",VLOOKUP(all_lmics1819[[who_choice_region]:[who_choice_region]],missing[],9,FALSE),VLOOKUP(all_lmics1819[[Setting]:[Setting]],all_cause_mort[],5,FALSE))*0.95</f>
        <v>1.82560037E-3</v>
      </c>
      <c r="R31">
        <f>IF(VLOOKUP(all_lmics1819[[Setting]:[Setting]],all_cause_mort[],6,FALSE)="",VLOOKUP(all_lmics1819[[who_choice_region]:[who_choice_region]],missing[],10,FALSE),VLOOKUP(all_lmics1819[[Setting]:[Setting]],all_cause_mort[],6,FALSE))*0.95</f>
        <v>6.8080065650000005E-4</v>
      </c>
      <c r="S31">
        <f>IF(VLOOKUP(all_lmics1819[[Setting]:[Setting]],all_cause_mort[],7,FALSE)="",VLOOKUP(all_lmics1819[[who_choice_region]:[who_choice_region]],missing[],11,FALSE),VLOOKUP(all_lmics1819[[Setting]:[Setting]],all_cause_mort[],7,FALSE))*0.95</f>
        <v>5.7236624100000006E-4</v>
      </c>
      <c r="T31">
        <f>IF(VLOOKUP(all_lmics1819[[Setting]:[Setting]],all_cause_mort[],8,FALSE)="",VLOOKUP(all_lmics1819[[who_choice_region]:[who_choice_region]],missing[],12,FALSE),VLOOKUP(all_lmics1819[[Setting]:[Setting]],all_cause_mort[],8,FALSE))*0.95</f>
        <v>9.0108863249999994E-4</v>
      </c>
      <c r="U31">
        <f>IF(VLOOKUP(all_lmics1819[[Setting]:[Setting]],all_cause_mort[],9,FALSE)="",VLOOKUP(all_lmics1819[[who_choice_region]:[who_choice_region]],missing[],13,FALSE),VLOOKUP(all_lmics1819[[Setting]:[Setting]],all_cause_mort[],9,FALSE))*0.95</f>
        <v>1.3088672499999999E-3</v>
      </c>
      <c r="V31">
        <f>IF(VLOOKUP(all_lmics1819[[Setting]:[Setting]],all_cause_mort[],10,FALSE)="",VLOOKUP(all_lmics1819[[who_choice_region]:[who_choice_region]],missing[],14,FALSE),VLOOKUP(all_lmics1819[[Setting]:[Setting]],all_cause_mort[],10,FALSE))*0.95</f>
        <v>1.4806059699999999E-3</v>
      </c>
      <c r="W31">
        <f>IF(VLOOKUP(all_lmics1819[[Setting]:[Setting]],all_cause_mort[],11,FALSE)="",VLOOKUP(all_lmics1819[[who_choice_region]:[who_choice_region]],missing[],15,FALSE),VLOOKUP(all_lmics1819[[Setting]:[Setting]],all_cause_mort[],11,FALSE))*0.95</f>
        <v>1.8914346099999997E-3</v>
      </c>
      <c r="X31">
        <f>IF(VLOOKUP(all_lmics1819[[Setting]:[Setting]],all_cause_mort[],12,FALSE)="",VLOOKUP(all_lmics1819[[who_choice_region]:[who_choice_region]],missing[],16,FALSE),VLOOKUP(all_lmics1819[[Setting]:[Setting]],all_cause_mort[],12,FALSE))*0.95</f>
        <v>2.6236324799999997E-3</v>
      </c>
      <c r="Y31">
        <f>IF(VLOOKUP(all_lmics1819[[Setting]:[Setting]],all_cause_mort[],13,FALSE)="",VLOOKUP(all_lmics1819[[who_choice_region]:[who_choice_region]],missing[],17,FALSE),VLOOKUP(all_lmics1819[[Setting]:[Setting]],all_cause_mort[],13,FALSE))*0.95</f>
        <v>3.5357093350000001E-3</v>
      </c>
      <c r="Z31">
        <f>IF(VLOOKUP(all_lmics1819[[Setting]:[Setting]],all_cause_mort[],14,FALSE)="",VLOOKUP(all_lmics1819[[who_choice_region]:[who_choice_region]],missing[],18,FALSE),VLOOKUP(all_lmics1819[[Setting]:[Setting]],all_cause_mort[],14,FALSE))*0.95</f>
        <v>5.09655392E-3</v>
      </c>
      <c r="AA31">
        <f>IF(VLOOKUP(all_lmics1819[[Setting]:[Setting]],all_cause_mort[],15,FALSE)="",VLOOKUP(all_lmics1819[[who_choice_region]:[who_choice_region]],missing[],19,FALSE),VLOOKUP(all_lmics1819[[Setting]:[Setting]],all_cause_mort[],15,FALSE))*0.95</f>
        <v>8.2172796949999995E-3</v>
      </c>
      <c r="AB31">
        <f>IF(VLOOKUP(all_lmics1819[[Setting]:[Setting]],all_cause_mort[],16,FALSE)="",VLOOKUP(all_lmics1819[[who_choice_region]:[who_choice_region]],missing[],20,FALSE),VLOOKUP(all_lmics1819[[Setting]:[Setting]],all_cause_mort[],16,FALSE))*0.95</f>
        <v>1.233376165E-2</v>
      </c>
      <c r="AC31">
        <f>IF(VLOOKUP(all_lmics1819[[Setting]:[Setting]],all_cause_mort[],17,FALSE)="",VLOOKUP(all_lmics1819[[who_choice_region]:[who_choice_region]],missing[],21,FALSE),VLOOKUP(all_lmics1819[[Setting]:[Setting]],all_cause_mort[],17,FALSE))*0.95</f>
        <v>1.8481013099999999E-2</v>
      </c>
      <c r="AD31">
        <f>IF(VLOOKUP(all_lmics1819[[Setting]:[Setting]],all_cause_mort[],18,FALSE)="",VLOOKUP(all_lmics1819[[who_choice_region]:[who_choice_region]],missing[],22,FALSE),VLOOKUP(all_lmics1819[[Setting]:[Setting]],all_cause_mort[],18,FALSE))*0.95</f>
        <v>2.83831443E-2</v>
      </c>
      <c r="AE31">
        <f>IF(VLOOKUP(all_lmics1819[[Setting]:[Setting]],all_cause_mort[],19,FALSE)="",VLOOKUP(all_lmics1819[[who_choice_region]:[who_choice_region]],missing[],23,FALSE),VLOOKUP(all_lmics1819[[Setting]:[Setting]],all_cause_mort[],19,FALSE))*0.95</f>
        <v>4.54126163E-2</v>
      </c>
      <c r="AF31">
        <f>IF(VLOOKUP(all_lmics1819[[Setting]:[Setting]],all_cause_mort[],20,FALSE)="",VLOOKUP(all_lmics1819[[who_choice_region]:[who_choice_region]],missing[],24,FALSE),VLOOKUP(all_lmics1819[[Setting]:[Setting]],all_cause_mort[],20,FALSE))*0.95</f>
        <v>6.78228731E-2</v>
      </c>
      <c r="AG31">
        <f>IF(VLOOKUP(all_lmics1819[[Setting]:[Setting]],all_cause_mort[],21,FALSE)="",VLOOKUP(all_lmics1819[[who_choice_region]:[who_choice_region]],missing[],25,FALSE),VLOOKUP(all_lmics1819[[Setting]:[Setting]],all_cause_mort[],21,FALSE))*0.95</f>
        <v>0.10565158049999999</v>
      </c>
      <c r="AH31">
        <f>IF(VLOOKUP(all_lmics1819[[Setting]:[Setting]],all_cause_mort[],22,FALSE)="",VLOOKUP(all_lmics1819[[who_choice_region]:[who_choice_region]],missing[],26,FALSE),VLOOKUP(all_lmics1819[[Setting]:[Setting]],all_cause_mort[],22,FALSE))*0.95</f>
        <v>0.16003271550000001</v>
      </c>
      <c r="AI31">
        <f>IF(VLOOKUP(all_lmics1819[[Setting]:[Setting]],all_cause_mort[],23,FALSE)="",VLOOKUP(all_lmics1819[[who_choice_region]:[who_choice_region]],missing[],27,FALSE),VLOOKUP(all_lmics1819[[Setting]:[Setting]],all_cause_mort[],23,FALSE))*0.95</f>
        <v>0.23522914849999998</v>
      </c>
      <c r="AJ31">
        <f>IF(VLOOKUP(all_lmics1819[[Setting]:[Setting]],all_cause_mort[],24,FALSE)="",VLOOKUP(all_lmics1819[[who_choice_region]:[who_choice_region]],missing[],28,FALSE),VLOOKUP(all_lmics1819[[Setting]:[Setting]],all_cause_mort[],24,FALSE))*0.95</f>
        <v>0.21974126999999999</v>
      </c>
      <c r="AK31">
        <f>IF(VLOOKUP(all_lmics1819[[Setting]:[Setting]],all_cause_mort[],25,FALSE)="",VLOOKUP(all_lmics1819[[who_choice_region]:[who_choice_region]],missing[],29,FALSE),VLOOKUP(all_lmics1819[[Setting]:[Setting]],all_cause_mort[],25,FALSE))*0.95</f>
        <v>0.31093057790800971</v>
      </c>
      <c r="AL31">
        <f>VLOOKUP(all_lmics1819[[worldbank_region]:[worldbank_region]],Table13[],2,FALSE)*0.95</f>
        <v>54.493717599999997</v>
      </c>
      <c r="AM31">
        <f>VLOOKUP(all_lmics1819[[worldbank_region]:[worldbank_region]],Table13[],3,FALSE)*0.95</f>
        <v>54.493717599999997</v>
      </c>
      <c r="AN31">
        <f>VLOOKUP(all_lmics1819[[worldbank_region]:[worldbank_region]],Table13[],4,FALSE)*0.95</f>
        <v>99.836134599999994</v>
      </c>
      <c r="AO31">
        <f>VLOOKUP(all_lmics1819[[worldbank_region]:[worldbank_region]],Table13[],5,FALSE)*0.95</f>
        <v>99.836134599999994</v>
      </c>
      <c r="AP31">
        <f>VLOOKUP(all_lmics1819[[worldbank_region]:[worldbank_region]],Table13[],6,FALSE)*0.95</f>
        <v>99.836134599999994</v>
      </c>
      <c r="AQ31">
        <f>VLOOKUP(all_lmics1819[[worldbank_region]:[worldbank_region]],Table14[],2,FALSE)*0.95</f>
        <v>0.91095024999999996</v>
      </c>
      <c r="AR31">
        <f>VLOOKUP(all_lmics1819[[worldbank_region]:[worldbank_region]],Table14[],3,FALSE)*0.95</f>
        <v>1.4975752500000001</v>
      </c>
      <c r="AS31">
        <f>VLOOKUP(all_lmics1819[[worldbank_region]:[worldbank_region]],Table14[],4,FALSE)*0.95</f>
        <v>31.377327699999995</v>
      </c>
      <c r="AT31">
        <f>VLOOKUP(all_lmics1819[[worldbank_region]:[worldbank_region]],Table14[],5,FALSE)*0.95</f>
        <v>31.963952699999997</v>
      </c>
      <c r="AU31">
        <f>VLOOKUP(all_lmics1819[[worldbank_region]:[worldbank_region]],Table14[],6,FALSE)*0.95</f>
        <v>32.505692099999997</v>
      </c>
      <c r="AV31">
        <f>IFERROR(VLOOKUP(all_lmics1819[[Setting]:[Setting]],nFacSBA[],4,FALSE),VLOOKUP(all_lmics1819[[who_choice_region]:[who_choice_region]],missing[],30,FALSE))*0.95</f>
        <v>0.13427790720974409</v>
      </c>
      <c r="AW31">
        <f>VLOOKUP(all_lmics1819[[worldbank_region]:[worldbank_region]],hbe[],3)</f>
        <v>0.2</v>
      </c>
      <c r="AX31">
        <f>VLOOKUP(all_lmics1819[[worldbank_region]:[worldbank_region]],hbe[],6)</f>
        <v>0.75</v>
      </c>
      <c r="AY31">
        <f>VLOOKUP(all_lmics1819[[worldbank_region]:[worldbank_region]],hbe[],9)</f>
        <v>0.05</v>
      </c>
    </row>
    <row r="32" spans="1:51" x14ac:dyDescent="0.35">
      <c r="A32" s="8" t="s">
        <v>108</v>
      </c>
      <c r="B32" s="10" t="s">
        <v>109</v>
      </c>
      <c r="C32" s="11" t="s">
        <v>58</v>
      </c>
      <c r="D32">
        <f>VLOOKUP(all_lmics1819[[Setting]:[Setting]],populations[],9,FALSE)</f>
        <v>263991379</v>
      </c>
      <c r="E32">
        <f>VLOOKUP(all_lmics1819[[Setting]:[Setting]],birthrate[],3,FALSE)</f>
        <v>1.8985999999999999E-2</v>
      </c>
      <c r="F32">
        <f>all_lmics1819[[#This Row],[2017_population]]*all_lmics1819[[#This Row],[2016_birthrate]]</f>
        <v>5012140.3216939997</v>
      </c>
      <c r="G32">
        <f>VLOOKUP(all_lmics1819[[Setting]:[Setting]],birthdose[],4,FALSE)*0.95</f>
        <v>0.30399999999999999</v>
      </c>
      <c r="H32">
        <f>VLOOKUP(all_lmics1819[[Setting]:[Setting]],fullvax[],4,FALSE)*0.95</f>
        <v>0.75049999999999994</v>
      </c>
      <c r="I32">
        <f>IFERROR(VLOOKUP(all_lmics1819[[Setting]:[Setting]],prev[],3,FALSE),VLOOKUP(all_lmics1819[[who_choice_region]:[who_choice_region]],missing[],2,FALSE))</f>
        <v>6.8000000000000005E-2</v>
      </c>
      <c r="J32">
        <f>IFERROR(VLOOKUP(all_lmics1819[[Setting]:[Setting]],prev[],4,FALSE),VLOOKUP(all_lmics1819[[who_choice_region]:[who_choice_region]],missing[],3,FALSE))</f>
        <v>6.3E-2</v>
      </c>
      <c r="K32">
        <f>IFERROR(VLOOKUP(all_lmics1819[[Setting]:[Setting]],prev[],5,FALSE),VLOOKUP(all_lmics1819[[who_choice_region]:[who_choice_region]],missing[],4,FALSE))</f>
        <v>8.2000000000000003E-2</v>
      </c>
      <c r="L32">
        <f>IFERROR(VLOOKUP(all_lmics1819[[Setting]:[Setting]],prev[],7,FALSE),VLOOKUP(all_lmics1819[[who_choice_region]:[who_choice_region]],missing[],5,FALSE))</f>
        <v>7.1428571428571426E-3</v>
      </c>
      <c r="M32">
        <f>IFERROR(VLOOKUP(all_lmics1819[[Setting]:[Setting]],prev[],6,FALSE),0)</f>
        <v>263991379</v>
      </c>
      <c r="N32">
        <f>IFERROR(VLOOKUP(all_lmics1819[[Setting]:[Setting]],SBA[],4,FALSE),VLOOKUP(all_lmics1819[[who_choice_region]:[who_choice_region]],missing[],6,FALSE))*0.95</f>
        <v>0.87969999999999993</v>
      </c>
      <c r="O32">
        <f>IFERROR(VLOOKUP(all_lmics1819[[Setting]:[Setting]], facility[], 3,FALSE),VLOOKUP(all_lmics1819[[who_choice_region]:[who_choice_region]],missing[],7,FALSE))*0.95</f>
        <v>0.75714999999999999</v>
      </c>
      <c r="P32">
        <f>IF(VLOOKUP(all_lmics1819[[Setting]:[Setting]],all_cause_mort[],4,FALSE)="",VLOOKUP(all_lmics1819[[who_choice_region]:[who_choice_region]],missing[],8,FALSE),VLOOKUP(all_lmics1819[[Setting]:[Setting]],all_cause_mort[],4,FALSE))*0.95</f>
        <v>1.8287646299999998E-2</v>
      </c>
      <c r="Q32">
        <f>IF(VLOOKUP(all_lmics1819[[Setting]:[Setting]],all_cause_mort[],5,FALSE)="",VLOOKUP(all_lmics1819[[who_choice_region]:[who_choice_region]],missing[],9,FALSE),VLOOKUP(all_lmics1819[[Setting]:[Setting]],all_cause_mort[],5,FALSE))*0.95</f>
        <v>1.4515344499999999E-3</v>
      </c>
      <c r="R32">
        <f>IF(VLOOKUP(all_lmics1819[[Setting]:[Setting]],all_cause_mort[],6,FALSE)="",VLOOKUP(all_lmics1819[[who_choice_region]:[who_choice_region]],missing[],10,FALSE),VLOOKUP(all_lmics1819[[Setting]:[Setting]],all_cause_mort[],6,FALSE))*0.95</f>
        <v>4.8173188999999997E-4</v>
      </c>
      <c r="S32">
        <f>IF(VLOOKUP(all_lmics1819[[Setting]:[Setting]],all_cause_mort[],7,FALSE)="",VLOOKUP(all_lmics1819[[who_choice_region]:[who_choice_region]],missing[],11,FALSE),VLOOKUP(all_lmics1819[[Setting]:[Setting]],all_cause_mort[],7,FALSE))*0.95</f>
        <v>4.2562105200000001E-4</v>
      </c>
      <c r="T32">
        <f>IF(VLOOKUP(all_lmics1819[[Setting]:[Setting]],all_cause_mort[],8,FALSE)="",VLOOKUP(all_lmics1819[[who_choice_region]:[who_choice_region]],missing[],12,FALSE),VLOOKUP(all_lmics1819[[Setting]:[Setting]],all_cause_mort[],8,FALSE))*0.95</f>
        <v>8.9333876999999999E-4</v>
      </c>
      <c r="U32">
        <f>IF(VLOOKUP(all_lmics1819[[Setting]:[Setting]],all_cause_mort[],9,FALSE)="",VLOOKUP(all_lmics1819[[who_choice_region]:[who_choice_region]],missing[],13,FALSE),VLOOKUP(all_lmics1819[[Setting]:[Setting]],all_cause_mort[],9,FALSE))*0.95</f>
        <v>1.17478045E-3</v>
      </c>
      <c r="V32">
        <f>IF(VLOOKUP(all_lmics1819[[Setting]:[Setting]],all_cause_mort[],10,FALSE)="",VLOOKUP(all_lmics1819[[who_choice_region]:[who_choice_region]],missing[],14,FALSE),VLOOKUP(all_lmics1819[[Setting]:[Setting]],all_cause_mort[],10,FALSE))*0.95</f>
        <v>1.2452081299999999E-3</v>
      </c>
      <c r="W32">
        <f>IF(VLOOKUP(all_lmics1819[[Setting]:[Setting]],all_cause_mort[],11,FALSE)="",VLOOKUP(all_lmics1819[[who_choice_region]:[who_choice_region]],missing[],15,FALSE),VLOOKUP(all_lmics1819[[Setting]:[Setting]],all_cause_mort[],11,FALSE))*0.95</f>
        <v>1.4820385699999999E-3</v>
      </c>
      <c r="X32">
        <f>IF(VLOOKUP(all_lmics1819[[Setting]:[Setting]],all_cause_mort[],12,FALSE)="",VLOOKUP(all_lmics1819[[who_choice_region]:[who_choice_region]],missing[],16,FALSE),VLOOKUP(all_lmics1819[[Setting]:[Setting]],all_cause_mort[],12,FALSE))*0.95</f>
        <v>1.9963378849999999E-3</v>
      </c>
      <c r="Y32">
        <f>IF(VLOOKUP(all_lmics1819[[Setting]:[Setting]],all_cause_mort[],13,FALSE)="",VLOOKUP(all_lmics1819[[who_choice_region]:[who_choice_region]],missing[],17,FALSE),VLOOKUP(all_lmics1819[[Setting]:[Setting]],all_cause_mort[],13,FALSE))*0.95</f>
        <v>2.869936225E-3</v>
      </c>
      <c r="Z32">
        <f>IF(VLOOKUP(all_lmics1819[[Setting]:[Setting]],all_cause_mort[],14,FALSE)="",VLOOKUP(all_lmics1819[[who_choice_region]:[who_choice_region]],missing[],18,FALSE),VLOOKUP(all_lmics1819[[Setting]:[Setting]],all_cause_mort[],14,FALSE))*0.95</f>
        <v>4.4136115549999995E-3</v>
      </c>
      <c r="AA32">
        <f>IF(VLOOKUP(all_lmics1819[[Setting]:[Setting]],all_cause_mort[],15,FALSE)="",VLOOKUP(all_lmics1819[[who_choice_region]:[who_choice_region]],missing[],19,FALSE),VLOOKUP(all_lmics1819[[Setting]:[Setting]],all_cause_mort[],15,FALSE))*0.95</f>
        <v>6.865730464999999E-3</v>
      </c>
      <c r="AB32">
        <f>IF(VLOOKUP(all_lmics1819[[Setting]:[Setting]],all_cause_mort[],16,FALSE)="",VLOOKUP(all_lmics1819[[who_choice_region]:[who_choice_region]],missing[],20,FALSE),VLOOKUP(all_lmics1819[[Setting]:[Setting]],all_cause_mort[],16,FALSE))*0.95</f>
        <v>1.0763323300000001E-2</v>
      </c>
      <c r="AC32">
        <f>IF(VLOOKUP(all_lmics1819[[Setting]:[Setting]],all_cause_mort[],17,FALSE)="",VLOOKUP(all_lmics1819[[who_choice_region]:[who_choice_region]],missing[],21,FALSE),VLOOKUP(all_lmics1819[[Setting]:[Setting]],all_cause_mort[],17,FALSE))*0.95</f>
        <v>1.6831899550000001E-2</v>
      </c>
      <c r="AD32">
        <f>IF(VLOOKUP(all_lmics1819[[Setting]:[Setting]],all_cause_mort[],18,FALSE)="",VLOOKUP(all_lmics1819[[who_choice_region]:[who_choice_region]],missing[],22,FALSE),VLOOKUP(all_lmics1819[[Setting]:[Setting]],all_cause_mort[],18,FALSE))*0.95</f>
        <v>2.6097878450000001E-2</v>
      </c>
      <c r="AE32">
        <f>IF(VLOOKUP(all_lmics1819[[Setting]:[Setting]],all_cause_mort[],19,FALSE)="",VLOOKUP(all_lmics1819[[who_choice_region]:[who_choice_region]],missing[],23,FALSE),VLOOKUP(all_lmics1819[[Setting]:[Setting]],all_cause_mort[],19,FALSE))*0.95</f>
        <v>4.1419049999999999E-2</v>
      </c>
      <c r="AF32">
        <f>IF(VLOOKUP(all_lmics1819[[Setting]:[Setting]],all_cause_mort[],20,FALSE)="",VLOOKUP(all_lmics1819[[who_choice_region]:[who_choice_region]],missing[],24,FALSE),VLOOKUP(all_lmics1819[[Setting]:[Setting]],all_cause_mort[],20,FALSE))*0.95</f>
        <v>6.8118021000000001E-2</v>
      </c>
      <c r="AG32">
        <f>IF(VLOOKUP(all_lmics1819[[Setting]:[Setting]],all_cause_mort[],21,FALSE)="",VLOOKUP(all_lmics1819[[who_choice_region]:[who_choice_region]],missing[],25,FALSE),VLOOKUP(all_lmics1819[[Setting]:[Setting]],all_cause_mort[],21,FALSE))*0.95</f>
        <v>0.10997621799999999</v>
      </c>
      <c r="AH32">
        <f>IF(VLOOKUP(all_lmics1819[[Setting]:[Setting]],all_cause_mort[],22,FALSE)="",VLOOKUP(all_lmics1819[[who_choice_region]:[who_choice_region]],missing[],26,FALSE),VLOOKUP(all_lmics1819[[Setting]:[Setting]],all_cause_mort[],22,FALSE))*0.95</f>
        <v>0.17466427349999999</v>
      </c>
      <c r="AI32">
        <f>IF(VLOOKUP(all_lmics1819[[Setting]:[Setting]],all_cause_mort[],23,FALSE)="",VLOOKUP(all_lmics1819[[who_choice_region]:[who_choice_region]],missing[],27,FALSE),VLOOKUP(all_lmics1819[[Setting]:[Setting]],all_cause_mort[],23,FALSE))*0.95</f>
        <v>0.26008929000000003</v>
      </c>
      <c r="AJ32">
        <f>IF(VLOOKUP(all_lmics1819[[Setting]:[Setting]],all_cause_mort[],24,FALSE)="",VLOOKUP(all_lmics1819[[who_choice_region]:[who_choice_region]],missing[],28,FALSE),VLOOKUP(all_lmics1819[[Setting]:[Setting]],all_cause_mort[],24,FALSE))*0.95</f>
        <v>0.36988838049999995</v>
      </c>
      <c r="AK32">
        <f>IF(VLOOKUP(all_lmics1819[[Setting]:[Setting]],all_cause_mort[],25,FALSE)="",VLOOKUP(all_lmics1819[[who_choice_region]:[who_choice_region]],missing[],29,FALSE),VLOOKUP(all_lmics1819[[Setting]:[Setting]],all_cause_mort[],25,FALSE))*0.95</f>
        <v>0.4997262289306878</v>
      </c>
      <c r="AL32">
        <f>VLOOKUP(all_lmics1819[[worldbank_region]:[worldbank_region]],Table13[],2,FALSE)*0.95</f>
        <v>69.411165749999981</v>
      </c>
      <c r="AM32">
        <f>VLOOKUP(all_lmics1819[[worldbank_region]:[worldbank_region]],Table13[],3,FALSE)*0.95</f>
        <v>69.411165749999981</v>
      </c>
      <c r="AN32">
        <f>VLOOKUP(all_lmics1819[[worldbank_region]:[worldbank_region]],Table13[],4,FALSE)*0.95</f>
        <v>114.75358274999998</v>
      </c>
      <c r="AO32">
        <f>VLOOKUP(all_lmics1819[[worldbank_region]:[worldbank_region]],Table13[],5,FALSE)*0.95</f>
        <v>114.75358274999998</v>
      </c>
      <c r="AP32">
        <f>VLOOKUP(all_lmics1819[[worldbank_region]:[worldbank_region]],Table13[],6,FALSE)*0.95</f>
        <v>114.75358274999998</v>
      </c>
      <c r="AQ32">
        <f>VLOOKUP(all_lmics1819[[worldbank_region]:[worldbank_region]],Table14[],2,FALSE)*0.95</f>
        <v>1.2732755</v>
      </c>
      <c r="AR32">
        <f>VLOOKUP(all_lmics1819[[worldbank_region]:[worldbank_region]],Table14[],3,FALSE)*0.95</f>
        <v>1.8599005</v>
      </c>
      <c r="AS32">
        <f>VLOOKUP(all_lmics1819[[worldbank_region]:[worldbank_region]],Table14[],4,FALSE)*0.95</f>
        <v>1.8737001999999996</v>
      </c>
      <c r="AT32">
        <f>VLOOKUP(all_lmics1819[[worldbank_region]:[worldbank_region]],Table14[],5,FALSE)*0.95</f>
        <v>2.4603251999999998</v>
      </c>
      <c r="AU32">
        <f>VLOOKUP(all_lmics1819[[worldbank_region]:[worldbank_region]],Table14[],6,FALSE)*0.95</f>
        <v>3.0020645999999997</v>
      </c>
      <c r="AV32">
        <f>IFERROR(VLOOKUP(all_lmics1819[[Setting]:[Setting]],nFacSBA[],4,FALSE),VLOOKUP(all_lmics1819[[who_choice_region]:[who_choice_region]],missing[],30,FALSE))*0.95</f>
        <v>0.53001997848517168</v>
      </c>
      <c r="AW32">
        <f>VLOOKUP(all_lmics1819[[worldbank_region]:[worldbank_region]],hbe[],3)</f>
        <v>0.2</v>
      </c>
      <c r="AX32">
        <f>VLOOKUP(all_lmics1819[[worldbank_region]:[worldbank_region]],hbe[],6)</f>
        <v>0.75</v>
      </c>
      <c r="AY32">
        <f>VLOOKUP(all_lmics1819[[worldbank_region]:[worldbank_region]],hbe[],9)</f>
        <v>0.05</v>
      </c>
    </row>
    <row r="33" spans="1:51" x14ac:dyDescent="0.35">
      <c r="A33" s="12" t="s">
        <v>110</v>
      </c>
      <c r="B33" s="13" t="s">
        <v>33</v>
      </c>
      <c r="C33" s="14" t="s">
        <v>7</v>
      </c>
      <c r="D33">
        <f>VLOOKUP(all_lmics1819[[Setting]:[Setting]],populations[],9,FALSE)</f>
        <v>81162788</v>
      </c>
      <c r="E33">
        <f>VLOOKUP(all_lmics1819[[Setting]:[Setting]],birthrate[],3,FALSE)</f>
        <v>1.6544E-2</v>
      </c>
      <c r="F33">
        <f>all_lmics1819[[#This Row],[2017_population]]*all_lmics1819[[#This Row],[2016_birthrate]]</f>
        <v>1342757.1646719999</v>
      </c>
      <c r="G33">
        <f>VLOOKUP(all_lmics1819[[Setting]:[Setting]],birthdose[],4,FALSE)*0.95</f>
        <v>0.90249999999999997</v>
      </c>
      <c r="H33">
        <f>VLOOKUP(all_lmics1819[[Setting]:[Setting]],fullvax[],4,FALSE)*0.95</f>
        <v>0.9405</v>
      </c>
      <c r="I33">
        <f>IFERROR(VLOOKUP(all_lmics1819[[Setting]:[Setting]],prev[],3,FALSE),VLOOKUP(all_lmics1819[[who_choice_region]:[who_choice_region]],missing[],2,FALSE))</f>
        <v>1.7000000000000001E-2</v>
      </c>
      <c r="J33">
        <f>IFERROR(VLOOKUP(all_lmics1819[[Setting]:[Setting]],prev[],4,FALSE),VLOOKUP(all_lmics1819[[who_choice_region]:[who_choice_region]],missing[],3,FALSE))</f>
        <v>1.6E-2</v>
      </c>
      <c r="K33">
        <f>IFERROR(VLOOKUP(all_lmics1819[[Setting]:[Setting]],prev[],5,FALSE),VLOOKUP(all_lmics1819[[who_choice_region]:[who_choice_region]],missing[],4,FALSE))</f>
        <v>1.9E-2</v>
      </c>
      <c r="L33">
        <f>IFERROR(VLOOKUP(all_lmics1819[[Setting]:[Setting]],prev[],7,FALSE),VLOOKUP(all_lmics1819[[who_choice_region]:[who_choice_region]],missing[],5,FALSE))</f>
        <v>1.0204081632653053E-3</v>
      </c>
      <c r="M33">
        <f>IFERROR(VLOOKUP(all_lmics1819[[Setting]:[Setting]],prev[],6,FALSE),0)</f>
        <v>81162788</v>
      </c>
      <c r="N33">
        <f>IFERROR(VLOOKUP(all_lmics1819[[Setting]:[Setting]],SBA[],4,FALSE),VLOOKUP(all_lmics1819[[who_choice_region]:[who_choice_region]],missing[],6,FALSE))*0.95</f>
        <v>0.9405</v>
      </c>
      <c r="O33">
        <f>IFERROR(VLOOKUP(all_lmics1819[[Setting]:[Setting]], facility[], 3,FALSE),VLOOKUP(all_lmics1819[[who_choice_region]:[who_choice_region]],missing[],7,FALSE))*0.95</f>
        <v>0.90573000000000004</v>
      </c>
      <c r="P33">
        <f>IF(VLOOKUP(all_lmics1819[[Setting]:[Setting]],all_cause_mort[],4,FALSE)="",VLOOKUP(all_lmics1819[[who_choice_region]:[who_choice_region]],missing[],8,FALSE),VLOOKUP(all_lmics1819[[Setting]:[Setting]],all_cause_mort[],4,FALSE))*0.95</f>
        <v>1.2321276749999999E-2</v>
      </c>
      <c r="Q33">
        <f>IF(VLOOKUP(all_lmics1819[[Setting]:[Setting]],all_cause_mort[],5,FALSE)="",VLOOKUP(all_lmics1819[[who_choice_region]:[who_choice_region]],missing[],9,FALSE),VLOOKUP(all_lmics1819[[Setting]:[Setting]],all_cause_mort[],5,FALSE))*0.95</f>
        <v>5.0588792949999998E-4</v>
      </c>
      <c r="R33">
        <f>IF(VLOOKUP(all_lmics1819[[Setting]:[Setting]],all_cause_mort[],6,FALSE)="",VLOOKUP(all_lmics1819[[who_choice_region]:[who_choice_region]],missing[],10,FALSE),VLOOKUP(all_lmics1819[[Setting]:[Setting]],all_cause_mort[],6,FALSE))*0.95</f>
        <v>1.6719766300000001E-4</v>
      </c>
      <c r="S33">
        <f>IF(VLOOKUP(all_lmics1819[[Setting]:[Setting]],all_cause_mort[],7,FALSE)="",VLOOKUP(all_lmics1819[[who_choice_region]:[who_choice_region]],missing[],11,FALSE),VLOOKUP(all_lmics1819[[Setting]:[Setting]],all_cause_mort[],7,FALSE))*0.95</f>
        <v>1.862327845E-4</v>
      </c>
      <c r="T33">
        <f>IF(VLOOKUP(all_lmics1819[[Setting]:[Setting]],all_cause_mort[],8,FALSE)="",VLOOKUP(all_lmics1819[[who_choice_region]:[who_choice_region]],missing[],12,FALSE),VLOOKUP(all_lmics1819[[Setting]:[Setting]],all_cause_mort[],8,FALSE))*0.95</f>
        <v>4.05766489E-4</v>
      </c>
      <c r="U33">
        <f>IF(VLOOKUP(all_lmics1819[[Setting]:[Setting]],all_cause_mort[],9,FALSE)="",VLOOKUP(all_lmics1819[[who_choice_region]:[who_choice_region]],missing[],13,FALSE),VLOOKUP(all_lmics1819[[Setting]:[Setting]],all_cause_mort[],9,FALSE))*0.95</f>
        <v>7.2277590299999991E-4</v>
      </c>
      <c r="V33">
        <f>IF(VLOOKUP(all_lmics1819[[Setting]:[Setting]],all_cause_mort[],10,FALSE)="",VLOOKUP(all_lmics1819[[who_choice_region]:[who_choice_region]],missing[],14,FALSE),VLOOKUP(all_lmics1819[[Setting]:[Setting]],all_cause_mort[],10,FALSE))*0.95</f>
        <v>5.6304026199999993E-4</v>
      </c>
      <c r="W33">
        <f>IF(VLOOKUP(all_lmics1819[[Setting]:[Setting]],all_cause_mort[],11,FALSE)="",VLOOKUP(all_lmics1819[[who_choice_region]:[who_choice_region]],missing[],15,FALSE),VLOOKUP(all_lmics1819[[Setting]:[Setting]],all_cause_mort[],11,FALSE))*0.95</f>
        <v>6.1378293500000006E-4</v>
      </c>
      <c r="X33">
        <f>IF(VLOOKUP(all_lmics1819[[Setting]:[Setting]],all_cause_mort[],12,FALSE)="",VLOOKUP(all_lmics1819[[who_choice_region]:[who_choice_region]],missing[],16,FALSE),VLOOKUP(all_lmics1819[[Setting]:[Setting]],all_cause_mort[],12,FALSE))*0.95</f>
        <v>6.71678785E-4</v>
      </c>
      <c r="Y33">
        <f>IF(VLOOKUP(all_lmics1819[[Setting]:[Setting]],all_cause_mort[],13,FALSE)="",VLOOKUP(all_lmics1819[[who_choice_region]:[who_choice_region]],missing[],17,FALSE),VLOOKUP(all_lmics1819[[Setting]:[Setting]],all_cause_mort[],13,FALSE))*0.95</f>
        <v>9.9006919499999998E-4</v>
      </c>
      <c r="Z33">
        <f>IF(VLOOKUP(all_lmics1819[[Setting]:[Setting]],all_cause_mort[],14,FALSE)="",VLOOKUP(all_lmics1819[[who_choice_region]:[who_choice_region]],missing[],18,FALSE),VLOOKUP(all_lmics1819[[Setting]:[Setting]],all_cause_mort[],14,FALSE))*0.95</f>
        <v>1.659261545E-3</v>
      </c>
      <c r="AA33">
        <f>IF(VLOOKUP(all_lmics1819[[Setting]:[Setting]],all_cause_mort[],15,FALSE)="",VLOOKUP(all_lmics1819[[who_choice_region]:[who_choice_region]],missing[],19,FALSE),VLOOKUP(all_lmics1819[[Setting]:[Setting]],all_cause_mort[],15,FALSE))*0.95</f>
        <v>3.1002049199999999E-3</v>
      </c>
      <c r="AB33">
        <f>IF(VLOOKUP(all_lmics1819[[Setting]:[Setting]],all_cause_mort[],16,FALSE)="",VLOOKUP(all_lmics1819[[who_choice_region]:[who_choice_region]],missing[],20,FALSE),VLOOKUP(all_lmics1819[[Setting]:[Setting]],all_cause_mort[],16,FALSE))*0.95</f>
        <v>4.6091643049999999E-3</v>
      </c>
      <c r="AC33">
        <f>IF(VLOOKUP(all_lmics1819[[Setting]:[Setting]],all_cause_mort[],17,FALSE)="",VLOOKUP(all_lmics1819[[who_choice_region]:[who_choice_region]],missing[],21,FALSE),VLOOKUP(all_lmics1819[[Setting]:[Setting]],all_cause_mort[],17,FALSE))*0.95</f>
        <v>8.5988943149999993E-3</v>
      </c>
      <c r="AD33">
        <f>IF(VLOOKUP(all_lmics1819[[Setting]:[Setting]],all_cause_mort[],18,FALSE)="",VLOOKUP(all_lmics1819[[who_choice_region]:[who_choice_region]],missing[],22,FALSE),VLOOKUP(all_lmics1819[[Setting]:[Setting]],all_cause_mort[],18,FALSE))*0.95</f>
        <v>1.5935475750000001E-2</v>
      </c>
      <c r="AE33">
        <f>IF(VLOOKUP(all_lmics1819[[Setting]:[Setting]],all_cause_mort[],19,FALSE)="",VLOOKUP(all_lmics1819[[who_choice_region]:[who_choice_region]],missing[],23,FALSE),VLOOKUP(all_lmics1819[[Setting]:[Setting]],all_cause_mort[],19,FALSE))*0.95</f>
        <v>3.3011311549999998E-2</v>
      </c>
      <c r="AF33">
        <f>IF(VLOOKUP(all_lmics1819[[Setting]:[Setting]],all_cause_mort[],20,FALSE)="",VLOOKUP(all_lmics1819[[who_choice_region]:[who_choice_region]],missing[],24,FALSE),VLOOKUP(all_lmics1819[[Setting]:[Setting]],all_cause_mort[],20,FALSE))*0.95</f>
        <v>7.1862711999999995E-2</v>
      </c>
      <c r="AG33">
        <f>IF(VLOOKUP(all_lmics1819[[Setting]:[Setting]],all_cause_mort[],21,FALSE)="",VLOOKUP(all_lmics1819[[who_choice_region]:[who_choice_region]],missing[],25,FALSE),VLOOKUP(all_lmics1819[[Setting]:[Setting]],all_cause_mort[],21,FALSE))*0.95</f>
        <v>0.11455710849999999</v>
      </c>
      <c r="AH33">
        <f>IF(VLOOKUP(all_lmics1819[[Setting]:[Setting]],all_cause_mort[],22,FALSE)="",VLOOKUP(all_lmics1819[[who_choice_region]:[who_choice_region]],missing[],26,FALSE),VLOOKUP(all_lmics1819[[Setting]:[Setting]],all_cause_mort[],22,FALSE))*0.95</f>
        <v>0.18086414449999999</v>
      </c>
      <c r="AI33">
        <f>IF(VLOOKUP(all_lmics1819[[Setting]:[Setting]],all_cause_mort[],23,FALSE)="",VLOOKUP(all_lmics1819[[who_choice_region]:[who_choice_region]],missing[],27,FALSE),VLOOKUP(all_lmics1819[[Setting]:[Setting]],all_cause_mort[],23,FALSE))*0.95</f>
        <v>0.27957970849999997</v>
      </c>
      <c r="AJ33">
        <f>IF(VLOOKUP(all_lmics1819[[Setting]:[Setting]],all_cause_mort[],24,FALSE)="",VLOOKUP(all_lmics1819[[who_choice_region]:[who_choice_region]],missing[],28,FALSE),VLOOKUP(all_lmics1819[[Setting]:[Setting]],all_cause_mort[],24,FALSE))*0.95</f>
        <v>0.40520156199999996</v>
      </c>
      <c r="AK33">
        <f>IF(VLOOKUP(all_lmics1819[[Setting]:[Setting]],all_cause_mort[],25,FALSE)="",VLOOKUP(all_lmics1819[[who_choice_region]:[who_choice_region]],missing[],29,FALSE),VLOOKUP(all_lmics1819[[Setting]:[Setting]],all_cause_mort[],25,FALSE))*0.95</f>
        <v>0.54826529437979554</v>
      </c>
      <c r="AL33">
        <f>VLOOKUP(all_lmics1819[[worldbank_region]:[worldbank_region]],Table13[],2,FALSE)*0.95</f>
        <v>55.011325099999993</v>
      </c>
      <c r="AM33">
        <f>VLOOKUP(all_lmics1819[[worldbank_region]:[worldbank_region]],Table13[],3,FALSE)*0.95</f>
        <v>55.011325099999993</v>
      </c>
      <c r="AN33">
        <f>VLOOKUP(all_lmics1819[[worldbank_region]:[worldbank_region]],Table13[],4,FALSE)*0.95</f>
        <v>100.35374209999999</v>
      </c>
      <c r="AO33">
        <f>VLOOKUP(all_lmics1819[[worldbank_region]:[worldbank_region]],Table13[],5,FALSE)*0.95</f>
        <v>100.35374209999999</v>
      </c>
      <c r="AP33">
        <f>VLOOKUP(all_lmics1819[[worldbank_region]:[worldbank_region]],Table13[],6,FALSE)*0.95</f>
        <v>100.35374209999999</v>
      </c>
      <c r="AQ33">
        <f>VLOOKUP(all_lmics1819[[worldbank_region]:[worldbank_region]],Table14[],2,FALSE)*0.95</f>
        <v>1.4285577499999997</v>
      </c>
      <c r="AR33">
        <f>VLOOKUP(all_lmics1819[[worldbank_region]:[worldbank_region]],Table14[],3,FALSE)*0.95</f>
        <v>2.0151827500000001</v>
      </c>
      <c r="AS33">
        <f>VLOOKUP(all_lmics1819[[worldbank_region]:[worldbank_region]],Table14[],4,FALSE)*0.95</f>
        <v>1.8840523499999997</v>
      </c>
      <c r="AT33">
        <f>VLOOKUP(all_lmics1819[[worldbank_region]:[worldbank_region]],Table14[],5,FALSE)*0.95</f>
        <v>2.4706773499999999</v>
      </c>
      <c r="AU33">
        <f>VLOOKUP(all_lmics1819[[worldbank_region]:[worldbank_region]],Table14[],6,FALSE)*0.95</f>
        <v>3.0124167499999999</v>
      </c>
      <c r="AV33">
        <f>IFERROR(VLOOKUP(all_lmics1819[[Setting]:[Setting]],nFacSBA[],4,FALSE),VLOOKUP(all_lmics1819[[who_choice_region]:[who_choice_region]],missing[],30,FALSE))*0.95</f>
        <v>0.368442657134743</v>
      </c>
      <c r="AW33">
        <f>VLOOKUP(all_lmics1819[[worldbank_region]:[worldbank_region]],hbe[],3)</f>
        <v>0.2</v>
      </c>
      <c r="AX33">
        <f>VLOOKUP(all_lmics1819[[worldbank_region]:[worldbank_region]],hbe[],6)</f>
        <v>0.75</v>
      </c>
      <c r="AY33">
        <f>VLOOKUP(all_lmics1819[[worldbank_region]:[worldbank_region]],hbe[],9)</f>
        <v>0.05</v>
      </c>
    </row>
    <row r="34" spans="1:51" x14ac:dyDescent="0.35">
      <c r="A34" s="8" t="s">
        <v>111</v>
      </c>
      <c r="B34" s="10" t="s">
        <v>6</v>
      </c>
      <c r="C34" s="11" t="s">
        <v>7</v>
      </c>
      <c r="D34">
        <f>VLOOKUP(all_lmics1819[[Setting]:[Setting]],populations[],9,FALSE)</f>
        <v>38274618</v>
      </c>
      <c r="E34">
        <f>VLOOKUP(all_lmics1819[[Setting]:[Setting]],birthrate[],3,FALSE)</f>
        <v>3.3207E-2</v>
      </c>
      <c r="F34">
        <f>all_lmics1819[[#This Row],[2017_population]]*all_lmics1819[[#This Row],[2016_birthrate]]</f>
        <v>1270985.2399260001</v>
      </c>
      <c r="G34">
        <f>VLOOKUP(all_lmics1819[[Setting]:[Setting]],birthdose[],4,FALSE)*0.95</f>
        <v>0.44649999999999995</v>
      </c>
      <c r="H34">
        <f>VLOOKUP(all_lmics1819[[Setting]:[Setting]],fullvax[],4,FALSE)*0.95</f>
        <v>0.59849999999999992</v>
      </c>
      <c r="I34">
        <f>IFERROR(VLOOKUP(all_lmics1819[[Setting]:[Setting]],prev[],3,FALSE),VLOOKUP(all_lmics1819[[who_choice_region]:[who_choice_region]],missing[],2,FALSE))</f>
        <v>3.5000000000000003E-2</v>
      </c>
      <c r="J34">
        <f>IFERROR(VLOOKUP(all_lmics1819[[Setting]:[Setting]],prev[],4,FALSE),VLOOKUP(all_lmics1819[[who_choice_region]:[who_choice_region]],missing[],3,FALSE))</f>
        <v>3.2000000000000001E-2</v>
      </c>
      <c r="K34">
        <f>IFERROR(VLOOKUP(all_lmics1819[[Setting]:[Setting]],prev[],5,FALSE),VLOOKUP(all_lmics1819[[who_choice_region]:[who_choice_region]],missing[],4,FALSE))</f>
        <v>3.9E-2</v>
      </c>
      <c r="L34">
        <f>IFERROR(VLOOKUP(all_lmics1819[[Setting]:[Setting]],prev[],7,FALSE),VLOOKUP(all_lmics1819[[who_choice_region]:[who_choice_region]],missing[],5,FALSE))</f>
        <v>2.0408163265306107E-3</v>
      </c>
      <c r="M34">
        <f>IFERROR(VLOOKUP(all_lmics1819[[Setting]:[Setting]],prev[],6,FALSE),0)</f>
        <v>38274618</v>
      </c>
      <c r="N34">
        <f>IFERROR(VLOOKUP(all_lmics1819[[Setting]:[Setting]],SBA[],4,FALSE),VLOOKUP(all_lmics1819[[who_choice_region]:[who_choice_region]],missing[],6,FALSE))*0.95</f>
        <v>0.66880000000000006</v>
      </c>
      <c r="O34">
        <f>IFERROR(VLOOKUP(all_lmics1819[[Setting]:[Setting]], facility[], 3,FALSE),VLOOKUP(all_lmics1819[[who_choice_region]:[who_choice_region]],missing[],7,FALSE))*0.95</f>
        <v>0.7276999999999999</v>
      </c>
      <c r="P34">
        <f>IF(VLOOKUP(all_lmics1819[[Setting]:[Setting]],all_cause_mort[],4,FALSE)="",VLOOKUP(all_lmics1819[[who_choice_region]:[who_choice_region]],missing[],8,FALSE),VLOOKUP(all_lmics1819[[Setting]:[Setting]],all_cause_mort[],4,FALSE))*0.95</f>
        <v>2.3403656599999999E-2</v>
      </c>
      <c r="Q34">
        <f>IF(VLOOKUP(all_lmics1819[[Setting]:[Setting]],all_cause_mort[],5,FALSE)="",VLOOKUP(all_lmics1819[[who_choice_region]:[who_choice_region]],missing[],9,FALSE),VLOOKUP(all_lmics1819[[Setting]:[Setting]],all_cause_mort[],5,FALSE))*0.95</f>
        <v>1.028724695E-3</v>
      </c>
      <c r="R34">
        <f>IF(VLOOKUP(all_lmics1819[[Setting]:[Setting]],all_cause_mort[],6,FALSE)="",VLOOKUP(all_lmics1819[[who_choice_region]:[who_choice_region]],missing[],10,FALSE),VLOOKUP(all_lmics1819[[Setting]:[Setting]],all_cause_mort[],6,FALSE))*0.95</f>
        <v>6.4539809899999997E-4</v>
      </c>
      <c r="S34">
        <f>IF(VLOOKUP(all_lmics1819[[Setting]:[Setting]],all_cause_mort[],7,FALSE)="",VLOOKUP(all_lmics1819[[who_choice_region]:[who_choice_region]],missing[],11,FALSE),VLOOKUP(all_lmics1819[[Setting]:[Setting]],all_cause_mort[],7,FALSE))*0.95</f>
        <v>5.3803630949999994E-4</v>
      </c>
      <c r="T34">
        <f>IF(VLOOKUP(all_lmics1819[[Setting]:[Setting]],all_cause_mort[],8,FALSE)="",VLOOKUP(all_lmics1819[[who_choice_region]:[who_choice_region]],missing[],12,FALSE),VLOOKUP(all_lmics1819[[Setting]:[Setting]],all_cause_mort[],8,FALSE))*0.95</f>
        <v>9.5259549499999985E-4</v>
      </c>
      <c r="U34">
        <f>IF(VLOOKUP(all_lmics1819[[Setting]:[Setting]],all_cause_mort[],9,FALSE)="",VLOOKUP(all_lmics1819[[who_choice_region]:[who_choice_region]],missing[],13,FALSE),VLOOKUP(all_lmics1819[[Setting]:[Setting]],all_cause_mort[],9,FALSE))*0.95</f>
        <v>1.3489793849999999E-3</v>
      </c>
      <c r="V34">
        <f>IF(VLOOKUP(all_lmics1819[[Setting]:[Setting]],all_cause_mort[],10,FALSE)="",VLOOKUP(all_lmics1819[[who_choice_region]:[who_choice_region]],missing[],14,FALSE),VLOOKUP(all_lmics1819[[Setting]:[Setting]],all_cause_mort[],10,FALSE))*0.95</f>
        <v>1.4534454699999999E-3</v>
      </c>
      <c r="W34">
        <f>IF(VLOOKUP(all_lmics1819[[Setting]:[Setting]],all_cause_mort[],11,FALSE)="",VLOOKUP(all_lmics1819[[who_choice_region]:[who_choice_region]],missing[],15,FALSE),VLOOKUP(all_lmics1819[[Setting]:[Setting]],all_cause_mort[],11,FALSE))*0.95</f>
        <v>1.6675881999999999E-3</v>
      </c>
      <c r="X34">
        <f>IF(VLOOKUP(all_lmics1819[[Setting]:[Setting]],all_cause_mort[],12,FALSE)="",VLOOKUP(all_lmics1819[[who_choice_region]:[who_choice_region]],missing[],16,FALSE),VLOOKUP(all_lmics1819[[Setting]:[Setting]],all_cause_mort[],12,FALSE))*0.95</f>
        <v>2.1046147999999997E-3</v>
      </c>
      <c r="Y34">
        <f>IF(VLOOKUP(all_lmics1819[[Setting]:[Setting]],all_cause_mort[],13,FALSE)="",VLOOKUP(all_lmics1819[[who_choice_region]:[who_choice_region]],missing[],17,FALSE),VLOOKUP(all_lmics1819[[Setting]:[Setting]],all_cause_mort[],13,FALSE))*0.95</f>
        <v>2.9577469100000001E-3</v>
      </c>
      <c r="Z34">
        <f>IF(VLOOKUP(all_lmics1819[[Setting]:[Setting]],all_cause_mort[],14,FALSE)="",VLOOKUP(all_lmics1819[[who_choice_region]:[who_choice_region]],missing[],18,FALSE),VLOOKUP(all_lmics1819[[Setting]:[Setting]],all_cause_mort[],14,FALSE))*0.95</f>
        <v>4.5070910800000001E-3</v>
      </c>
      <c r="AA34">
        <f>IF(VLOOKUP(all_lmics1819[[Setting]:[Setting]],all_cause_mort[],15,FALSE)="",VLOOKUP(all_lmics1819[[who_choice_region]:[who_choice_region]],missing[],19,FALSE),VLOOKUP(all_lmics1819[[Setting]:[Setting]],all_cause_mort[],15,FALSE))*0.95</f>
        <v>6.9222059700000003E-3</v>
      </c>
      <c r="AB34">
        <f>IF(VLOOKUP(all_lmics1819[[Setting]:[Setting]],all_cause_mort[],16,FALSE)="",VLOOKUP(all_lmics1819[[who_choice_region]:[who_choice_region]],missing[],20,FALSE),VLOOKUP(all_lmics1819[[Setting]:[Setting]],all_cause_mort[],16,FALSE))*0.95</f>
        <v>1.0802204899999999E-2</v>
      </c>
      <c r="AC34">
        <f>IF(VLOOKUP(all_lmics1819[[Setting]:[Setting]],all_cause_mort[],17,FALSE)="",VLOOKUP(all_lmics1819[[who_choice_region]:[who_choice_region]],missing[],21,FALSE),VLOOKUP(all_lmics1819[[Setting]:[Setting]],all_cause_mort[],17,FALSE))*0.95</f>
        <v>1.7041631999999998E-2</v>
      </c>
      <c r="AD34">
        <f>IF(VLOOKUP(all_lmics1819[[Setting]:[Setting]],all_cause_mort[],18,FALSE)="",VLOOKUP(all_lmics1819[[who_choice_region]:[who_choice_region]],missing[],22,FALSE),VLOOKUP(all_lmics1819[[Setting]:[Setting]],all_cause_mort[],18,FALSE))*0.95</f>
        <v>2.7653695349999997E-2</v>
      </c>
      <c r="AE34">
        <f>IF(VLOOKUP(all_lmics1819[[Setting]:[Setting]],all_cause_mort[],19,FALSE)="",VLOOKUP(all_lmics1819[[who_choice_region]:[who_choice_region]],missing[],23,FALSE),VLOOKUP(all_lmics1819[[Setting]:[Setting]],all_cause_mort[],19,FALSE))*0.95</f>
        <v>4.56047994E-2</v>
      </c>
      <c r="AF34">
        <f>IF(VLOOKUP(all_lmics1819[[Setting]:[Setting]],all_cause_mort[],20,FALSE)="",VLOOKUP(all_lmics1819[[who_choice_region]:[who_choice_region]],missing[],24,FALSE),VLOOKUP(all_lmics1819[[Setting]:[Setting]],all_cause_mort[],20,FALSE))*0.95</f>
        <v>7.4758803149999997E-2</v>
      </c>
      <c r="AG34">
        <f>IF(VLOOKUP(all_lmics1819[[Setting]:[Setting]],all_cause_mort[],21,FALSE)="",VLOOKUP(all_lmics1819[[who_choice_region]:[who_choice_region]],missing[],25,FALSE),VLOOKUP(all_lmics1819[[Setting]:[Setting]],all_cause_mort[],21,FALSE))*0.95</f>
        <v>0.12306423499999999</v>
      </c>
      <c r="AH34">
        <f>IF(VLOOKUP(all_lmics1819[[Setting]:[Setting]],all_cause_mort[],22,FALSE)="",VLOOKUP(all_lmics1819[[who_choice_region]:[who_choice_region]],missing[],26,FALSE),VLOOKUP(all_lmics1819[[Setting]:[Setting]],all_cause_mort[],22,FALSE))*0.95</f>
        <v>0.19380696349999998</v>
      </c>
      <c r="AI34">
        <f>IF(VLOOKUP(all_lmics1819[[Setting]:[Setting]],all_cause_mort[],23,FALSE)="",VLOOKUP(all_lmics1819[[who_choice_region]:[who_choice_region]],missing[],27,FALSE),VLOOKUP(all_lmics1819[[Setting]:[Setting]],all_cause_mort[],23,FALSE))*0.95</f>
        <v>0.28953847300000002</v>
      </c>
      <c r="AJ34">
        <f>IF(VLOOKUP(all_lmics1819[[Setting]:[Setting]],all_cause_mort[],24,FALSE)="",VLOOKUP(all_lmics1819[[who_choice_region]:[who_choice_region]],missing[],28,FALSE),VLOOKUP(all_lmics1819[[Setting]:[Setting]],all_cause_mort[],24,FALSE))*0.95</f>
        <v>0.404525466</v>
      </c>
      <c r="AK34">
        <f>IF(VLOOKUP(all_lmics1819[[Setting]:[Setting]],all_cause_mort[],25,FALSE)="",VLOOKUP(all_lmics1819[[who_choice_region]:[who_choice_region]],missing[],29,FALSE),VLOOKUP(all_lmics1819[[Setting]:[Setting]],all_cause_mort[],25,FALSE))*0.95</f>
        <v>0.49186573163163644</v>
      </c>
      <c r="AL34">
        <f>VLOOKUP(all_lmics1819[[worldbank_region]:[worldbank_region]],Table13[],2,FALSE)*0.95</f>
        <v>55.011325099999993</v>
      </c>
      <c r="AM34">
        <f>VLOOKUP(all_lmics1819[[worldbank_region]:[worldbank_region]],Table13[],3,FALSE)*0.95</f>
        <v>55.011325099999993</v>
      </c>
      <c r="AN34">
        <f>VLOOKUP(all_lmics1819[[worldbank_region]:[worldbank_region]],Table13[],4,FALSE)*0.95</f>
        <v>100.35374209999999</v>
      </c>
      <c r="AO34">
        <f>VLOOKUP(all_lmics1819[[worldbank_region]:[worldbank_region]],Table13[],5,FALSE)*0.95</f>
        <v>100.35374209999999</v>
      </c>
      <c r="AP34">
        <f>VLOOKUP(all_lmics1819[[worldbank_region]:[worldbank_region]],Table13[],6,FALSE)*0.95</f>
        <v>100.35374209999999</v>
      </c>
      <c r="AQ34">
        <f>VLOOKUP(all_lmics1819[[worldbank_region]:[worldbank_region]],Table14[],2,FALSE)*0.95</f>
        <v>1.4285577499999997</v>
      </c>
      <c r="AR34">
        <f>VLOOKUP(all_lmics1819[[worldbank_region]:[worldbank_region]],Table14[],3,FALSE)*0.95</f>
        <v>2.0151827500000001</v>
      </c>
      <c r="AS34">
        <f>VLOOKUP(all_lmics1819[[worldbank_region]:[worldbank_region]],Table14[],4,FALSE)*0.95</f>
        <v>1.8840523499999997</v>
      </c>
      <c r="AT34">
        <f>VLOOKUP(all_lmics1819[[worldbank_region]:[worldbank_region]],Table14[],5,FALSE)*0.95</f>
        <v>2.4706773499999999</v>
      </c>
      <c r="AU34">
        <f>VLOOKUP(all_lmics1819[[worldbank_region]:[worldbank_region]],Table14[],6,FALSE)*0.95</f>
        <v>3.0124167499999999</v>
      </c>
      <c r="AV34">
        <f>IFERROR(VLOOKUP(all_lmics1819[[Setting]:[Setting]],nFacSBA[],4,FALSE),VLOOKUP(all_lmics1819[[who_choice_region]:[who_choice_region]],missing[],30,FALSE))*0.95</f>
        <v>0.58917095740651637</v>
      </c>
      <c r="AW34">
        <f>VLOOKUP(all_lmics1819[[worldbank_region]:[worldbank_region]],hbe[],3)</f>
        <v>0.2</v>
      </c>
      <c r="AX34">
        <f>VLOOKUP(all_lmics1819[[worldbank_region]:[worldbank_region]],hbe[],6)</f>
        <v>0.75</v>
      </c>
      <c r="AY34">
        <f>VLOOKUP(all_lmics1819[[worldbank_region]:[worldbank_region]],hbe[],9)</f>
        <v>0.05</v>
      </c>
    </row>
    <row r="35" spans="1:51" x14ac:dyDescent="0.35">
      <c r="A35" s="12" t="s">
        <v>118</v>
      </c>
      <c r="B35" s="13" t="s">
        <v>40</v>
      </c>
      <c r="C35" s="14" t="s">
        <v>11</v>
      </c>
      <c r="D35">
        <f>VLOOKUP(all_lmics1819[[Setting]:[Setting]],populations[],9,FALSE)</f>
        <v>18037646</v>
      </c>
      <c r="E35">
        <f>VLOOKUP(all_lmics1819[[Setting]:[Setting]],birthrate[],3,FALSE)</f>
        <v>2.2519999999999998E-2</v>
      </c>
      <c r="F35">
        <f>all_lmics1819[[#This Row],[2017_population]]*all_lmics1819[[#This Row],[2016_birthrate]]</f>
        <v>406207.78791999997</v>
      </c>
      <c r="G35">
        <f>VLOOKUP(all_lmics1819[[Setting]:[Setting]],birthdose[],4,FALSE)*0.95</f>
        <v>0.85499999999999998</v>
      </c>
      <c r="H35">
        <f>VLOOKUP(all_lmics1819[[Setting]:[Setting]],fullvax[],4,FALSE)*0.95</f>
        <v>0.9405</v>
      </c>
      <c r="I35">
        <f>IFERROR(VLOOKUP(all_lmics1819[[Setting]:[Setting]],prev[],3,FALSE),VLOOKUP(all_lmics1819[[who_choice_region]:[who_choice_region]],missing[],2,FALSE))</f>
        <v>2.7E-2</v>
      </c>
      <c r="J35">
        <f>IFERROR(VLOOKUP(all_lmics1819[[Setting]:[Setting]],prev[],4,FALSE),VLOOKUP(all_lmics1819[[who_choice_region]:[who_choice_region]],missing[],3,FALSE))</f>
        <v>1.9E-2</v>
      </c>
      <c r="K35">
        <f>IFERROR(VLOOKUP(all_lmics1819[[Setting]:[Setting]],prev[],5,FALSE),VLOOKUP(all_lmics1819[[who_choice_region]:[who_choice_region]],missing[],4,FALSE))</f>
        <v>3.5999999999999997E-2</v>
      </c>
      <c r="L35">
        <f>IFERROR(VLOOKUP(all_lmics1819[[Setting]:[Setting]],prev[],7,FALSE),VLOOKUP(all_lmics1819[[who_choice_region]:[who_choice_region]],missing[],5,FALSE))</f>
        <v>4.5918367346938762E-3</v>
      </c>
      <c r="M35">
        <f>IFERROR(VLOOKUP(all_lmics1819[[Setting]:[Setting]],prev[],6,FALSE),0)</f>
        <v>18037646</v>
      </c>
      <c r="N35">
        <f>IFERROR(VLOOKUP(all_lmics1819[[Setting]:[Setting]],SBA[],4,FALSE),VLOOKUP(all_lmics1819[[who_choice_region]:[who_choice_region]],missing[],6,FALSE))*0.95</f>
        <v>0.94430000000000003</v>
      </c>
      <c r="O35">
        <f>IFERROR(VLOOKUP(all_lmics1819[[Setting]:[Setting]], facility[], 3,FALSE),VLOOKUP(all_lmics1819[[who_choice_region]:[who_choice_region]],missing[],7,FALSE))*0.95</f>
        <v>0.94334999999999991</v>
      </c>
      <c r="P35">
        <f>IF(VLOOKUP(all_lmics1819[[Setting]:[Setting]],all_cause_mort[],4,FALSE)="",VLOOKUP(all_lmics1819[[who_choice_region]:[who_choice_region]],missing[],8,FALSE),VLOOKUP(all_lmics1819[[Setting]:[Setting]],all_cause_mort[],4,FALSE))*0.95</f>
        <v>7.3424435999999991E-3</v>
      </c>
      <c r="Q35">
        <f>IF(VLOOKUP(all_lmics1819[[Setting]:[Setting]],all_cause_mort[],5,FALSE)="",VLOOKUP(all_lmics1819[[who_choice_region]:[who_choice_region]],missing[],9,FALSE),VLOOKUP(all_lmics1819[[Setting]:[Setting]],all_cause_mort[],5,FALSE))*0.95</f>
        <v>5.3155464949999995E-4</v>
      </c>
      <c r="R35">
        <f>IF(VLOOKUP(all_lmics1819[[Setting]:[Setting]],all_cause_mort[],6,FALSE)="",VLOOKUP(all_lmics1819[[who_choice_region]:[who_choice_region]],missing[],10,FALSE),VLOOKUP(all_lmics1819[[Setting]:[Setting]],all_cause_mort[],6,FALSE))*0.95</f>
        <v>2.6004054549999995E-4</v>
      </c>
      <c r="S35">
        <f>IF(VLOOKUP(all_lmics1819[[Setting]:[Setting]],all_cause_mort[],7,FALSE)="",VLOOKUP(all_lmics1819[[who_choice_region]:[who_choice_region]],missing[],11,FALSE),VLOOKUP(all_lmics1819[[Setting]:[Setting]],all_cause_mort[],7,FALSE))*0.95</f>
        <v>2.7843752349999995E-4</v>
      </c>
      <c r="T35">
        <f>IF(VLOOKUP(all_lmics1819[[Setting]:[Setting]],all_cause_mort[],8,FALSE)="",VLOOKUP(all_lmics1819[[who_choice_region]:[who_choice_region]],missing[],12,FALSE),VLOOKUP(all_lmics1819[[Setting]:[Setting]],all_cause_mort[],8,FALSE))*0.95</f>
        <v>5.6180044549999995E-4</v>
      </c>
      <c r="U35">
        <f>IF(VLOOKUP(all_lmics1819[[Setting]:[Setting]],all_cause_mort[],9,FALSE)="",VLOOKUP(all_lmics1819[[who_choice_region]:[who_choice_region]],missing[],13,FALSE),VLOOKUP(all_lmics1819[[Setting]:[Setting]],all_cause_mort[],9,FALSE))*0.95</f>
        <v>8.2631865450000003E-4</v>
      </c>
      <c r="V35">
        <f>IF(VLOOKUP(all_lmics1819[[Setting]:[Setting]],all_cause_mort[],10,FALSE)="",VLOOKUP(all_lmics1819[[who_choice_region]:[who_choice_region]],missing[],14,FALSE),VLOOKUP(all_lmics1819[[Setting]:[Setting]],all_cause_mort[],10,FALSE))*0.95</f>
        <v>1.0785171399999998E-3</v>
      </c>
      <c r="W35">
        <f>IF(VLOOKUP(all_lmics1819[[Setting]:[Setting]],all_cause_mort[],11,FALSE)="",VLOOKUP(all_lmics1819[[who_choice_region]:[who_choice_region]],missing[],15,FALSE),VLOOKUP(all_lmics1819[[Setting]:[Setting]],all_cause_mort[],11,FALSE))*0.95</f>
        <v>1.6560567199999999E-3</v>
      </c>
      <c r="X35">
        <f>IF(VLOOKUP(all_lmics1819[[Setting]:[Setting]],all_cause_mort[],12,FALSE)="",VLOOKUP(all_lmics1819[[who_choice_region]:[who_choice_region]],missing[],16,FALSE),VLOOKUP(all_lmics1819[[Setting]:[Setting]],all_cause_mort[],12,FALSE))*0.95</f>
        <v>2.6439984849999996E-3</v>
      </c>
      <c r="Y35">
        <f>IF(VLOOKUP(all_lmics1819[[Setting]:[Setting]],all_cause_mort[],13,FALSE)="",VLOOKUP(all_lmics1819[[who_choice_region]:[who_choice_region]],missing[],17,FALSE),VLOOKUP(all_lmics1819[[Setting]:[Setting]],all_cause_mort[],13,FALSE))*0.95</f>
        <v>3.6541821249999997E-3</v>
      </c>
      <c r="Z35">
        <f>IF(VLOOKUP(all_lmics1819[[Setting]:[Setting]],all_cause_mort[],14,FALSE)="",VLOOKUP(all_lmics1819[[who_choice_region]:[who_choice_region]],missing[],18,FALSE),VLOOKUP(all_lmics1819[[Setting]:[Setting]],all_cause_mort[],14,FALSE))*0.95</f>
        <v>4.9150511949999998E-3</v>
      </c>
      <c r="AA35">
        <f>IF(VLOOKUP(all_lmics1819[[Setting]:[Setting]],all_cause_mort[],15,FALSE)="",VLOOKUP(all_lmics1819[[who_choice_region]:[who_choice_region]],missing[],19,FALSE),VLOOKUP(all_lmics1819[[Setting]:[Setting]],all_cause_mort[],15,FALSE))*0.95</f>
        <v>6.9090850449999991E-3</v>
      </c>
      <c r="AB35">
        <f>IF(VLOOKUP(all_lmics1819[[Setting]:[Setting]],all_cause_mort[],16,FALSE)="",VLOOKUP(all_lmics1819[[who_choice_region]:[who_choice_region]],missing[],20,FALSE),VLOOKUP(all_lmics1819[[Setting]:[Setting]],all_cause_mort[],16,FALSE))*0.95</f>
        <v>1.0451995949999999E-2</v>
      </c>
      <c r="AC35">
        <f>IF(VLOOKUP(all_lmics1819[[Setting]:[Setting]],all_cause_mort[],17,FALSE)="",VLOOKUP(all_lmics1819[[who_choice_region]:[who_choice_region]],missing[],21,FALSE),VLOOKUP(all_lmics1819[[Setting]:[Setting]],all_cause_mort[],17,FALSE))*0.95</f>
        <v>1.6348342899999996E-2</v>
      </c>
      <c r="AD35">
        <f>IF(VLOOKUP(all_lmics1819[[Setting]:[Setting]],all_cause_mort[],18,FALSE)="",VLOOKUP(all_lmics1819[[who_choice_region]:[who_choice_region]],missing[],22,FALSE),VLOOKUP(all_lmics1819[[Setting]:[Setting]],all_cause_mort[],18,FALSE))*0.95</f>
        <v>2.4968470949999998E-2</v>
      </c>
      <c r="AE35">
        <f>IF(VLOOKUP(all_lmics1819[[Setting]:[Setting]],all_cause_mort[],19,FALSE)="",VLOOKUP(all_lmics1819[[who_choice_region]:[who_choice_region]],missing[],23,FALSE),VLOOKUP(all_lmics1819[[Setting]:[Setting]],all_cause_mort[],19,FALSE))*0.95</f>
        <v>3.5825941149999999E-2</v>
      </c>
      <c r="AF35">
        <f>IF(VLOOKUP(all_lmics1819[[Setting]:[Setting]],all_cause_mort[],20,FALSE)="",VLOOKUP(all_lmics1819[[who_choice_region]:[who_choice_region]],missing[],24,FALSE),VLOOKUP(all_lmics1819[[Setting]:[Setting]],all_cause_mort[],20,FALSE))*0.95</f>
        <v>5.9386424699999996E-2</v>
      </c>
      <c r="AG35">
        <f>IF(VLOOKUP(all_lmics1819[[Setting]:[Setting]],all_cause_mort[],21,FALSE)="",VLOOKUP(all_lmics1819[[who_choice_region]:[who_choice_region]],missing[],25,FALSE),VLOOKUP(all_lmics1819[[Setting]:[Setting]],all_cause_mort[],21,FALSE))*0.95</f>
        <v>9.4676109849999995E-2</v>
      </c>
      <c r="AH35">
        <f>IF(VLOOKUP(all_lmics1819[[Setting]:[Setting]],all_cause_mort[],22,FALSE)="",VLOOKUP(all_lmics1819[[who_choice_region]:[who_choice_region]],missing[],26,FALSE),VLOOKUP(all_lmics1819[[Setting]:[Setting]],all_cause_mort[],22,FALSE))*0.95</f>
        <v>0.14940897</v>
      </c>
      <c r="AI35">
        <f>IF(VLOOKUP(all_lmics1819[[Setting]:[Setting]],all_cause_mort[],23,FALSE)="",VLOOKUP(all_lmics1819[[who_choice_region]:[who_choice_region]],missing[],27,FALSE),VLOOKUP(all_lmics1819[[Setting]:[Setting]],all_cause_mort[],23,FALSE))*0.95</f>
        <v>0.23111235199999999</v>
      </c>
      <c r="AJ35">
        <f>IF(VLOOKUP(all_lmics1819[[Setting]:[Setting]],all_cause_mort[],24,FALSE)="",VLOOKUP(all_lmics1819[[who_choice_region]:[who_choice_region]],missing[],28,FALSE),VLOOKUP(all_lmics1819[[Setting]:[Setting]],all_cause_mort[],24,FALSE))*0.95</f>
        <v>0.33610934449999996</v>
      </c>
      <c r="AK35">
        <f>IF(VLOOKUP(all_lmics1819[[Setting]:[Setting]],all_cause_mort[],25,FALSE)="",VLOOKUP(all_lmics1819[[who_choice_region]:[who_choice_region]],missing[],29,FALSE),VLOOKUP(all_lmics1819[[Setting]:[Setting]],all_cause_mort[],25,FALSE))*0.95</f>
        <v>0.47142062107930033</v>
      </c>
      <c r="AL35">
        <f>VLOOKUP(all_lmics1819[[worldbank_region]:[worldbank_region]],Table13[],2,FALSE)*0.95</f>
        <v>42.29888489999999</v>
      </c>
      <c r="AM35">
        <f>VLOOKUP(all_lmics1819[[worldbank_region]:[worldbank_region]],Table13[],3,FALSE)*0.95</f>
        <v>42.29888489999999</v>
      </c>
      <c r="AN35">
        <f>VLOOKUP(all_lmics1819[[worldbank_region]:[worldbank_region]],Table13[],4,FALSE)*0.95</f>
        <v>87.641301899999988</v>
      </c>
      <c r="AO35">
        <f>VLOOKUP(all_lmics1819[[worldbank_region]:[worldbank_region]],Table13[],5,FALSE)*0.95</f>
        <v>87.641301899999988</v>
      </c>
      <c r="AP35">
        <f>VLOOKUP(all_lmics1819[[worldbank_region]:[worldbank_region]],Table13[],6,FALSE)*0.95</f>
        <v>87.641301899999988</v>
      </c>
      <c r="AQ35">
        <f>VLOOKUP(all_lmics1819[[worldbank_region]:[worldbank_region]],Table14[],2,FALSE)*0.95</f>
        <v>6.0973773999999992</v>
      </c>
      <c r="AR35">
        <f>VLOOKUP(all_lmics1819[[worldbank_region]:[worldbank_region]],Table14[],3,FALSE)*0.95</f>
        <v>6.6840023999999998</v>
      </c>
      <c r="AS35">
        <f>VLOOKUP(all_lmics1819[[worldbank_region]:[worldbank_region]],Table14[],4,FALSE)*0.95</f>
        <v>9.9587293499999969</v>
      </c>
      <c r="AT35">
        <f>VLOOKUP(all_lmics1819[[worldbank_region]:[worldbank_region]],Table14[],5,FALSE)*0.95</f>
        <v>10.545354349999998</v>
      </c>
      <c r="AU35">
        <f>VLOOKUP(all_lmics1819[[worldbank_region]:[worldbank_region]],Table14[],6,FALSE)*0.95</f>
        <v>11.087093749999999</v>
      </c>
      <c r="AV35">
        <f>IFERROR(VLOOKUP(all_lmics1819[[Setting]:[Setting]],nFacSBA[],4,FALSE),VLOOKUP(all_lmics1819[[who_choice_region]:[who_choice_region]],missing[],30,FALSE))*0.95</f>
        <v>0.58830666906345486</v>
      </c>
      <c r="AW35">
        <f>VLOOKUP(all_lmics1819[[worldbank_region]:[worldbank_region]],hbe[],3)</f>
        <v>0.2</v>
      </c>
      <c r="AX35">
        <f>VLOOKUP(all_lmics1819[[worldbank_region]:[worldbank_region]],hbe[],6)</f>
        <v>0.75</v>
      </c>
      <c r="AY35">
        <f>VLOOKUP(all_lmics1819[[worldbank_region]:[worldbank_region]],hbe[],9)</f>
        <v>0.05</v>
      </c>
    </row>
    <row r="36" spans="1:51" x14ac:dyDescent="0.35">
      <c r="A36" s="12" t="s">
        <v>120</v>
      </c>
      <c r="B36" s="13" t="s">
        <v>57</v>
      </c>
      <c r="C36" s="14" t="s">
        <v>58</v>
      </c>
      <c r="D36">
        <f>VLOOKUP(all_lmics1819[[Setting]:[Setting]],populations[],9,FALSE)</f>
        <v>116398</v>
      </c>
      <c r="E36">
        <f>VLOOKUP(all_lmics1819[[Setting]:[Setting]],birthrate[],3,FALSE)</f>
        <v>2.8223999999999999E-2</v>
      </c>
      <c r="F36">
        <f>all_lmics1819[[#This Row],[2017_population]]*all_lmics1819[[#This Row],[2016_birthrate]]</f>
        <v>3285.2171519999997</v>
      </c>
      <c r="G36">
        <f>VLOOKUP(all_lmics1819[[Setting]:[Setting]],birthdose[],4,FALSE)*0.95</f>
        <v>0.84549999999999992</v>
      </c>
      <c r="H36">
        <f>VLOOKUP(all_lmics1819[[Setting]:[Setting]],fullvax[],4,FALSE)*0.95</f>
        <v>0.85499999999999998</v>
      </c>
      <c r="I36">
        <f>IFERROR(VLOOKUP(all_lmics1819[[Setting]:[Setting]],prev[],3,FALSE),VLOOKUP(all_lmics1819[[who_choice_region]:[who_choice_region]],missing[],2,FALSE))</f>
        <v>9.0999999999999998E-2</v>
      </c>
      <c r="J36">
        <f>IFERROR(VLOOKUP(all_lmics1819[[Setting]:[Setting]],prev[],4,FALSE),VLOOKUP(all_lmics1819[[who_choice_region]:[who_choice_region]],missing[],3,FALSE))</f>
        <v>6.2E-2</v>
      </c>
      <c r="K36">
        <f>IFERROR(VLOOKUP(all_lmics1819[[Setting]:[Setting]],prev[],5,FALSE),VLOOKUP(all_lmics1819[[who_choice_region]:[who_choice_region]],missing[],4,FALSE))</f>
        <v>0.105</v>
      </c>
      <c r="L36">
        <f>IFERROR(VLOOKUP(all_lmics1819[[Setting]:[Setting]],prev[],7,FALSE),VLOOKUP(all_lmics1819[[who_choice_region]:[who_choice_region]],missing[],5,FALSE))</f>
        <v>7.1428571428571426E-3</v>
      </c>
      <c r="M36">
        <f>IFERROR(VLOOKUP(all_lmics1819[[Setting]:[Setting]],prev[],6,FALSE),0)</f>
        <v>116398</v>
      </c>
      <c r="N36">
        <f>IFERROR(VLOOKUP(all_lmics1819[[Setting]:[Setting]],SBA[],4,FALSE),VLOOKUP(all_lmics1819[[who_choice_region]:[who_choice_region]],missing[],6,FALSE))*0.95</f>
        <v>0.93384999999999996</v>
      </c>
      <c r="O36">
        <f>IFERROR(VLOOKUP(all_lmics1819[[Setting]:[Setting]], facility[], 3,FALSE),VLOOKUP(all_lmics1819[[who_choice_region]:[who_choice_region]],missing[],7,FALSE))*0.95</f>
        <v>0.62605</v>
      </c>
      <c r="P36">
        <f>IF(VLOOKUP(all_lmics1819[[Setting]:[Setting]],all_cause_mort[],4,FALSE)="",VLOOKUP(all_lmics1819[[who_choice_region]:[who_choice_region]],missing[],8,FALSE),VLOOKUP(all_lmics1819[[Setting]:[Setting]],all_cause_mort[],4,FALSE))*0.95</f>
        <v>4.2165596100000001E-2</v>
      </c>
      <c r="Q36">
        <f>IF(VLOOKUP(all_lmics1819[[Setting]:[Setting]],all_cause_mort[],5,FALSE)="",VLOOKUP(all_lmics1819[[who_choice_region]:[who_choice_region]],missing[],9,FALSE),VLOOKUP(all_lmics1819[[Setting]:[Setting]],all_cause_mort[],5,FALSE))*0.95</f>
        <v>2.8460630099999998E-3</v>
      </c>
      <c r="R36">
        <f>IF(VLOOKUP(all_lmics1819[[Setting]:[Setting]],all_cause_mort[],6,FALSE)="",VLOOKUP(all_lmics1819[[who_choice_region]:[who_choice_region]],missing[],10,FALSE),VLOOKUP(all_lmics1819[[Setting]:[Setting]],all_cause_mort[],6,FALSE))*0.95</f>
        <v>9.6218298999999985E-4</v>
      </c>
      <c r="S36">
        <f>IF(VLOOKUP(all_lmics1819[[Setting]:[Setting]],all_cause_mort[],7,FALSE)="",VLOOKUP(all_lmics1819[[who_choice_region]:[who_choice_region]],missing[],11,FALSE),VLOOKUP(all_lmics1819[[Setting]:[Setting]],all_cause_mort[],7,FALSE))*0.95</f>
        <v>7.3314580849999996E-4</v>
      </c>
      <c r="T36">
        <f>IF(VLOOKUP(all_lmics1819[[Setting]:[Setting]],all_cause_mort[],8,FALSE)="",VLOOKUP(all_lmics1819[[who_choice_region]:[who_choice_region]],missing[],12,FALSE),VLOOKUP(all_lmics1819[[Setting]:[Setting]],all_cause_mort[],8,FALSE))*0.95</f>
        <v>1.2971887099999999E-3</v>
      </c>
      <c r="U36">
        <f>IF(VLOOKUP(all_lmics1819[[Setting]:[Setting]],all_cause_mort[],9,FALSE)="",VLOOKUP(all_lmics1819[[who_choice_region]:[who_choice_region]],missing[],13,FALSE),VLOOKUP(all_lmics1819[[Setting]:[Setting]],all_cause_mort[],9,FALSE))*0.95</f>
        <v>1.7258800099999999E-3</v>
      </c>
      <c r="V36">
        <f>IF(VLOOKUP(all_lmics1819[[Setting]:[Setting]],all_cause_mort[],10,FALSE)="",VLOOKUP(all_lmics1819[[who_choice_region]:[who_choice_region]],missing[],14,FALSE),VLOOKUP(all_lmics1819[[Setting]:[Setting]],all_cause_mort[],10,FALSE))*0.95</f>
        <v>1.8441988049999998E-3</v>
      </c>
      <c r="W36">
        <f>IF(VLOOKUP(all_lmics1819[[Setting]:[Setting]],all_cause_mort[],11,FALSE)="",VLOOKUP(all_lmics1819[[who_choice_region]:[who_choice_region]],missing[],15,FALSE),VLOOKUP(all_lmics1819[[Setting]:[Setting]],all_cause_mort[],11,FALSE))*0.95</f>
        <v>2.1634027949999999E-3</v>
      </c>
      <c r="X36">
        <f>IF(VLOOKUP(all_lmics1819[[Setting]:[Setting]],all_cause_mort[],12,FALSE)="",VLOOKUP(all_lmics1819[[who_choice_region]:[who_choice_region]],missing[],16,FALSE),VLOOKUP(all_lmics1819[[Setting]:[Setting]],all_cause_mort[],12,FALSE))*0.95</f>
        <v>2.8381579649999996E-3</v>
      </c>
      <c r="Y36">
        <f>IF(VLOOKUP(all_lmics1819[[Setting]:[Setting]],all_cause_mort[],13,FALSE)="",VLOOKUP(all_lmics1819[[who_choice_region]:[who_choice_region]],missing[],17,FALSE),VLOOKUP(all_lmics1819[[Setting]:[Setting]],all_cause_mort[],13,FALSE))*0.95</f>
        <v>3.9237031100000002E-3</v>
      </c>
      <c r="Z36">
        <f>IF(VLOOKUP(all_lmics1819[[Setting]:[Setting]],all_cause_mort[],14,FALSE)="",VLOOKUP(all_lmics1819[[who_choice_region]:[who_choice_region]],missing[],18,FALSE),VLOOKUP(all_lmics1819[[Setting]:[Setting]],all_cause_mort[],14,FALSE))*0.95</f>
        <v>5.7281832699999993E-3</v>
      </c>
      <c r="AA36">
        <f>IF(VLOOKUP(all_lmics1819[[Setting]:[Setting]],all_cause_mort[],15,FALSE)="",VLOOKUP(all_lmics1819[[who_choice_region]:[who_choice_region]],missing[],19,FALSE),VLOOKUP(all_lmics1819[[Setting]:[Setting]],all_cause_mort[],15,FALSE))*0.95</f>
        <v>8.623833144999999E-3</v>
      </c>
      <c r="AB36">
        <f>IF(VLOOKUP(all_lmics1819[[Setting]:[Setting]],all_cause_mort[],16,FALSE)="",VLOOKUP(all_lmics1819[[who_choice_region]:[who_choice_region]],missing[],20,FALSE),VLOOKUP(all_lmics1819[[Setting]:[Setting]],all_cause_mort[],16,FALSE))*0.95</f>
        <v>1.3091393299999999E-2</v>
      </c>
      <c r="AC36">
        <f>IF(VLOOKUP(all_lmics1819[[Setting]:[Setting]],all_cause_mort[],17,FALSE)="",VLOOKUP(all_lmics1819[[who_choice_region]:[who_choice_region]],missing[],21,FALSE),VLOOKUP(all_lmics1819[[Setting]:[Setting]],all_cause_mort[],17,FALSE))*0.95</f>
        <v>1.8546849999999997E-2</v>
      </c>
      <c r="AD36">
        <f>IF(VLOOKUP(all_lmics1819[[Setting]:[Setting]],all_cause_mort[],18,FALSE)="",VLOOKUP(all_lmics1819[[who_choice_region]:[who_choice_region]],missing[],22,FALSE),VLOOKUP(all_lmics1819[[Setting]:[Setting]],all_cause_mort[],18,FALSE))*0.95</f>
        <v>2.6121698749999998E-2</v>
      </c>
      <c r="AE36">
        <f>IF(VLOOKUP(all_lmics1819[[Setting]:[Setting]],all_cause_mort[],19,FALSE)="",VLOOKUP(all_lmics1819[[who_choice_region]:[who_choice_region]],missing[],23,FALSE),VLOOKUP(all_lmics1819[[Setting]:[Setting]],all_cause_mort[],19,FALSE))*0.95</f>
        <v>3.8883677649999997E-2</v>
      </c>
      <c r="AF36">
        <f>IF(VLOOKUP(all_lmics1819[[Setting]:[Setting]],all_cause_mort[],20,FALSE)="",VLOOKUP(all_lmics1819[[who_choice_region]:[who_choice_region]],missing[],24,FALSE),VLOOKUP(all_lmics1819[[Setting]:[Setting]],all_cause_mort[],20,FALSE))*0.95</f>
        <v>6.194709935E-2</v>
      </c>
      <c r="AG36">
        <f>IF(VLOOKUP(all_lmics1819[[Setting]:[Setting]],all_cause_mort[],21,FALSE)="",VLOOKUP(all_lmics1819[[who_choice_region]:[who_choice_region]],missing[],25,FALSE),VLOOKUP(all_lmics1819[[Setting]:[Setting]],all_cause_mort[],21,FALSE))*0.95</f>
        <v>9.7877958500000001E-2</v>
      </c>
      <c r="AH36">
        <f>IF(VLOOKUP(all_lmics1819[[Setting]:[Setting]],all_cause_mort[],22,FALSE)="",VLOOKUP(all_lmics1819[[who_choice_region]:[who_choice_region]],missing[],26,FALSE),VLOOKUP(all_lmics1819[[Setting]:[Setting]],all_cause_mort[],22,FALSE))*0.95</f>
        <v>0.14553404349999999</v>
      </c>
      <c r="AI36">
        <f>IF(VLOOKUP(all_lmics1819[[Setting]:[Setting]],all_cause_mort[],23,FALSE)="",VLOOKUP(all_lmics1819[[who_choice_region]:[who_choice_region]],missing[],27,FALSE),VLOOKUP(all_lmics1819[[Setting]:[Setting]],all_cause_mort[],23,FALSE))*0.95</f>
        <v>0.19759541149999998</v>
      </c>
      <c r="AJ36">
        <f>IF(VLOOKUP(all_lmics1819[[Setting]:[Setting]],all_cause_mort[],24,FALSE)="",VLOOKUP(all_lmics1819[[who_choice_region]:[who_choice_region]],missing[],28,FALSE),VLOOKUP(all_lmics1819[[Setting]:[Setting]],all_cause_mort[],24,FALSE))*0.95</f>
        <v>0.26623761399999996</v>
      </c>
      <c r="AK36">
        <f>IF(VLOOKUP(all_lmics1819[[Setting]:[Setting]],all_cause_mort[],25,FALSE)="",VLOOKUP(all_lmics1819[[who_choice_region]:[who_choice_region]],missing[],29,FALSE),VLOOKUP(all_lmics1819[[Setting]:[Setting]],all_cause_mort[],25,FALSE))*0.95</f>
        <v>0.35079786019213477</v>
      </c>
      <c r="AL36">
        <f>VLOOKUP(all_lmics1819[[worldbank_region]:[worldbank_region]],Table13[],2,FALSE)*0.95</f>
        <v>69.411165749999981</v>
      </c>
      <c r="AM36">
        <f>VLOOKUP(all_lmics1819[[worldbank_region]:[worldbank_region]],Table13[],3,FALSE)*0.95</f>
        <v>69.411165749999981</v>
      </c>
      <c r="AN36">
        <f>VLOOKUP(all_lmics1819[[worldbank_region]:[worldbank_region]],Table13[],4,FALSE)*0.95</f>
        <v>114.75358274999998</v>
      </c>
      <c r="AO36">
        <f>VLOOKUP(all_lmics1819[[worldbank_region]:[worldbank_region]],Table13[],5,FALSE)*0.95</f>
        <v>114.75358274999998</v>
      </c>
      <c r="AP36">
        <f>VLOOKUP(all_lmics1819[[worldbank_region]:[worldbank_region]],Table13[],6,FALSE)*0.95</f>
        <v>114.75358274999998</v>
      </c>
      <c r="AQ36">
        <f>VLOOKUP(all_lmics1819[[worldbank_region]:[worldbank_region]],Table14[],2,FALSE)*0.95</f>
        <v>1.2732755</v>
      </c>
      <c r="AR36">
        <f>VLOOKUP(all_lmics1819[[worldbank_region]:[worldbank_region]],Table14[],3,FALSE)*0.95</f>
        <v>1.8599005</v>
      </c>
      <c r="AS36">
        <f>VLOOKUP(all_lmics1819[[worldbank_region]:[worldbank_region]],Table14[],4,FALSE)*0.95</f>
        <v>1.8737001999999996</v>
      </c>
      <c r="AT36">
        <f>VLOOKUP(all_lmics1819[[worldbank_region]:[worldbank_region]],Table14[],5,FALSE)*0.95</f>
        <v>2.4603251999999998</v>
      </c>
      <c r="AU36">
        <f>VLOOKUP(all_lmics1819[[worldbank_region]:[worldbank_region]],Table14[],6,FALSE)*0.95</f>
        <v>3.0020645999999997</v>
      </c>
      <c r="AV36">
        <f>IFERROR(VLOOKUP(all_lmics1819[[Setting]:[Setting]],nFacSBA[],4,FALSE),VLOOKUP(all_lmics1819[[who_choice_region]:[who_choice_region]],missing[],30,FALSE))*0.95</f>
        <v>0.1518638670270247</v>
      </c>
      <c r="AW36">
        <f>VLOOKUP(all_lmics1819[[worldbank_region]:[worldbank_region]],hbe[],3)</f>
        <v>0.2</v>
      </c>
      <c r="AX36">
        <f>VLOOKUP(all_lmics1819[[worldbank_region]:[worldbank_region]],hbe[],6)</f>
        <v>0.75</v>
      </c>
      <c r="AY36">
        <f>VLOOKUP(all_lmics1819[[worldbank_region]:[worldbank_region]],hbe[],9)</f>
        <v>0.05</v>
      </c>
    </row>
    <row r="37" spans="1:51" x14ac:dyDescent="0.35">
      <c r="A37" s="8" t="s">
        <v>121</v>
      </c>
      <c r="B37" s="10" t="s">
        <v>33</v>
      </c>
      <c r="C37" s="11" t="s">
        <v>7</v>
      </c>
      <c r="D37">
        <f>VLOOKUP(all_lmics1819[[Setting]:[Setting]],populations[],9,FALSE)</f>
        <v>4136528</v>
      </c>
      <c r="E37">
        <f>VLOOKUP(all_lmics1819[[Setting]:[Setting]],birthrate[],3,FALSE)</f>
        <v>1.6416E-2</v>
      </c>
      <c r="F37">
        <f>all_lmics1819[[#This Row],[2017_population]]*all_lmics1819[[#This Row],[2016_birthrate]]</f>
        <v>67905.243648000003</v>
      </c>
      <c r="G37">
        <f>VLOOKUP(all_lmics1819[[Setting]:[Setting]],birthdose[],4,FALSE)*0.95</f>
        <v>0.9405</v>
      </c>
      <c r="H37">
        <f>VLOOKUP(all_lmics1819[[Setting]:[Setting]],fullvax[],4,FALSE)*0.95</f>
        <v>0.9405</v>
      </c>
      <c r="I37">
        <f>IFERROR(VLOOKUP(all_lmics1819[[Setting]:[Setting]],prev[],3,FALSE),VLOOKUP(all_lmics1819[[who_choice_region]:[who_choice_region]],missing[],2,FALSE))</f>
        <v>1.7999999999999999E-2</v>
      </c>
      <c r="J37">
        <f>IFERROR(VLOOKUP(all_lmics1819[[Setting]:[Setting]],prev[],4,FALSE),VLOOKUP(all_lmics1819[[who_choice_region]:[who_choice_region]],missing[],3,FALSE))</f>
        <v>1.0999999999999999E-2</v>
      </c>
      <c r="K37">
        <f>IFERROR(VLOOKUP(all_lmics1819[[Setting]:[Setting]],prev[],5,FALSE),VLOOKUP(all_lmics1819[[who_choice_region]:[who_choice_region]],missing[],4,FALSE))</f>
        <v>2.4E-2</v>
      </c>
      <c r="L37">
        <f>IFERROR(VLOOKUP(all_lmics1819[[Setting]:[Setting]],prev[],7,FALSE),VLOOKUP(all_lmics1819[[who_choice_region]:[who_choice_region]],missing[],5,FALSE))</f>
        <v>3.0612244897959195E-3</v>
      </c>
      <c r="M37">
        <f>IFERROR(VLOOKUP(all_lmics1819[[Setting]:[Setting]],prev[],6,FALSE),0)</f>
        <v>4136528</v>
      </c>
      <c r="N37">
        <f>IFERROR(VLOOKUP(all_lmics1819[[Setting]:[Setting]],SBA[],4,FALSE),VLOOKUP(all_lmics1819[[who_choice_region]:[who_choice_region]],missing[],6,FALSE))*0.95</f>
        <v>0.94905000000000006</v>
      </c>
      <c r="O37">
        <f>IFERROR(VLOOKUP(all_lmics1819[[Setting]:[Setting]], facility[], 3,FALSE),VLOOKUP(all_lmics1819[[who_choice_region]:[who_choice_region]],missing[],7,FALSE))*0.95</f>
        <v>0.93764999999999998</v>
      </c>
      <c r="P37">
        <f>IF(VLOOKUP(all_lmics1819[[Setting]:[Setting]],all_cause_mort[],4,FALSE)="",VLOOKUP(all_lmics1819[[who_choice_region]:[who_choice_region]],missing[],8,FALSE),VLOOKUP(all_lmics1819[[Setting]:[Setting]],all_cause_mort[],4,FALSE))*0.95</f>
        <v>6.8089078299999996E-3</v>
      </c>
      <c r="Q37">
        <f>IF(VLOOKUP(all_lmics1819[[Setting]:[Setting]],all_cause_mort[],5,FALSE)="",VLOOKUP(all_lmics1819[[who_choice_region]:[who_choice_region]],missing[],9,FALSE),VLOOKUP(all_lmics1819[[Setting]:[Setting]],all_cause_mort[],5,FALSE))*0.95</f>
        <v>2.8145260499999998E-4</v>
      </c>
      <c r="R37">
        <f>IF(VLOOKUP(all_lmics1819[[Setting]:[Setting]],all_cause_mort[],6,FALSE)="",VLOOKUP(all_lmics1819[[who_choice_region]:[who_choice_region]],missing[],10,FALSE),VLOOKUP(all_lmics1819[[Setting]:[Setting]],all_cause_mort[],6,FALSE))*0.95</f>
        <v>1.6347118349999999E-4</v>
      </c>
      <c r="S37">
        <f>IF(VLOOKUP(all_lmics1819[[Setting]:[Setting]],all_cause_mort[],7,FALSE)="",VLOOKUP(all_lmics1819[[who_choice_region]:[who_choice_region]],missing[],11,FALSE),VLOOKUP(all_lmics1819[[Setting]:[Setting]],all_cause_mort[],7,FALSE))*0.95</f>
        <v>2.03656782E-4</v>
      </c>
      <c r="T37">
        <f>IF(VLOOKUP(all_lmics1819[[Setting]:[Setting]],all_cause_mort[],8,FALSE)="",VLOOKUP(all_lmics1819[[who_choice_region]:[who_choice_region]],missing[],12,FALSE),VLOOKUP(all_lmics1819[[Setting]:[Setting]],all_cause_mort[],8,FALSE))*0.95</f>
        <v>4.8878149799999994E-4</v>
      </c>
      <c r="U37">
        <f>IF(VLOOKUP(all_lmics1819[[Setting]:[Setting]],all_cause_mort[],9,FALSE)="",VLOOKUP(all_lmics1819[[who_choice_region]:[who_choice_region]],missing[],13,FALSE),VLOOKUP(all_lmics1819[[Setting]:[Setting]],all_cause_mort[],9,FALSE))*0.95</f>
        <v>5.7118822200000001E-4</v>
      </c>
      <c r="V37">
        <f>IF(VLOOKUP(all_lmics1819[[Setting]:[Setting]],all_cause_mort[],10,FALSE)="",VLOOKUP(all_lmics1819[[who_choice_region]:[who_choice_region]],missing[],14,FALSE),VLOOKUP(all_lmics1819[[Setting]:[Setting]],all_cause_mort[],10,FALSE))*0.95</f>
        <v>5.1544955599999991E-4</v>
      </c>
      <c r="W37">
        <f>IF(VLOOKUP(all_lmics1819[[Setting]:[Setting]],all_cause_mort[],11,FALSE)="",VLOOKUP(all_lmics1819[[who_choice_region]:[who_choice_region]],missing[],15,FALSE),VLOOKUP(all_lmics1819[[Setting]:[Setting]],all_cause_mort[],11,FALSE))*0.95</f>
        <v>4.5054793099999995E-4</v>
      </c>
      <c r="X37">
        <f>IF(VLOOKUP(all_lmics1819[[Setting]:[Setting]],all_cause_mort[],12,FALSE)="",VLOOKUP(all_lmics1819[[who_choice_region]:[who_choice_region]],missing[],16,FALSE),VLOOKUP(all_lmics1819[[Setting]:[Setting]],all_cause_mort[],12,FALSE))*0.95</f>
        <v>6.3331507749999998E-4</v>
      </c>
      <c r="Y37">
        <f>IF(VLOOKUP(all_lmics1819[[Setting]:[Setting]],all_cause_mort[],13,FALSE)="",VLOOKUP(all_lmics1819[[who_choice_region]:[who_choice_region]],missing[],17,FALSE),VLOOKUP(all_lmics1819[[Setting]:[Setting]],all_cause_mort[],13,FALSE))*0.95</f>
        <v>8.8879036950000002E-4</v>
      </c>
      <c r="Z37">
        <f>IF(VLOOKUP(all_lmics1819[[Setting]:[Setting]],all_cause_mort[],14,FALSE)="",VLOOKUP(all_lmics1819[[who_choice_region]:[who_choice_region]],missing[],18,FALSE),VLOOKUP(all_lmics1819[[Setting]:[Setting]],all_cause_mort[],14,FALSE))*0.95</f>
        <v>1.4504827049999999E-3</v>
      </c>
      <c r="AA37">
        <f>IF(VLOOKUP(all_lmics1819[[Setting]:[Setting]],all_cause_mort[],15,FALSE)="",VLOOKUP(all_lmics1819[[who_choice_region]:[who_choice_region]],missing[],19,FALSE),VLOOKUP(all_lmics1819[[Setting]:[Setting]],all_cause_mort[],15,FALSE))*0.95</f>
        <v>2.5426179049999999E-3</v>
      </c>
      <c r="AB37">
        <f>IF(VLOOKUP(all_lmics1819[[Setting]:[Setting]],all_cause_mort[],16,FALSE)="",VLOOKUP(all_lmics1819[[who_choice_region]:[who_choice_region]],missing[],20,FALSE),VLOOKUP(all_lmics1819[[Setting]:[Setting]],all_cause_mort[],16,FALSE))*0.95</f>
        <v>4.0641931949999995E-3</v>
      </c>
      <c r="AC37">
        <f>IF(VLOOKUP(all_lmics1819[[Setting]:[Setting]],all_cause_mort[],17,FALSE)="",VLOOKUP(all_lmics1819[[who_choice_region]:[who_choice_region]],missing[],21,FALSE),VLOOKUP(all_lmics1819[[Setting]:[Setting]],all_cause_mort[],17,FALSE))*0.95</f>
        <v>1.085372245E-2</v>
      </c>
      <c r="AD37">
        <f>IF(VLOOKUP(all_lmics1819[[Setting]:[Setting]],all_cause_mort[],18,FALSE)="",VLOOKUP(all_lmics1819[[who_choice_region]:[who_choice_region]],missing[],22,FALSE),VLOOKUP(all_lmics1819[[Setting]:[Setting]],all_cause_mort[],18,FALSE))*0.95</f>
        <v>2.3894944349999999E-2</v>
      </c>
      <c r="AE37">
        <f>IF(VLOOKUP(all_lmics1819[[Setting]:[Setting]],all_cause_mort[],19,FALSE)="",VLOOKUP(all_lmics1819[[who_choice_region]:[who_choice_region]],missing[],23,FALSE),VLOOKUP(all_lmics1819[[Setting]:[Setting]],all_cause_mort[],19,FALSE))*0.95</f>
        <v>4.5525568449999998E-2</v>
      </c>
      <c r="AF37">
        <f>IF(VLOOKUP(all_lmics1819[[Setting]:[Setting]],all_cause_mort[],20,FALSE)="",VLOOKUP(all_lmics1819[[who_choice_region]:[who_choice_region]],missing[],24,FALSE),VLOOKUP(all_lmics1819[[Setting]:[Setting]],all_cause_mort[],20,FALSE))*0.95</f>
        <v>8.4484969649999991E-2</v>
      </c>
      <c r="AG37">
        <f>IF(VLOOKUP(all_lmics1819[[Setting]:[Setting]],all_cause_mort[],21,FALSE)="",VLOOKUP(all_lmics1819[[who_choice_region]:[who_choice_region]],missing[],25,FALSE),VLOOKUP(all_lmics1819[[Setting]:[Setting]],all_cause_mort[],21,FALSE))*0.95</f>
        <v>0.14899401949999999</v>
      </c>
      <c r="AH37">
        <f>IF(VLOOKUP(all_lmics1819[[Setting]:[Setting]],all_cause_mort[],22,FALSE)="",VLOOKUP(all_lmics1819[[who_choice_region]:[who_choice_region]],missing[],26,FALSE),VLOOKUP(all_lmics1819[[Setting]:[Setting]],all_cause_mort[],22,FALSE))*0.95</f>
        <v>0.24608488399999998</v>
      </c>
      <c r="AI37">
        <f>IF(VLOOKUP(all_lmics1819[[Setting]:[Setting]],all_cause_mort[],23,FALSE)="",VLOOKUP(all_lmics1819[[who_choice_region]:[who_choice_region]],missing[],27,FALSE),VLOOKUP(all_lmics1819[[Setting]:[Setting]],all_cause_mort[],23,FALSE))*0.95</f>
        <v>0.38454118999999998</v>
      </c>
      <c r="AJ37">
        <f>IF(VLOOKUP(all_lmics1819[[Setting]:[Setting]],all_cause_mort[],24,FALSE)="",VLOOKUP(all_lmics1819[[who_choice_region]:[who_choice_region]],missing[],28,FALSE),VLOOKUP(all_lmics1819[[Setting]:[Setting]],all_cause_mort[],24,FALSE))*0.95</f>
        <v>0.53820869650000003</v>
      </c>
      <c r="AK37">
        <f>IF(VLOOKUP(all_lmics1819[[Setting]:[Setting]],all_cause_mort[],25,FALSE)="",VLOOKUP(all_lmics1819[[who_choice_region]:[who_choice_region]],missing[],29,FALSE),VLOOKUP(all_lmics1819[[Setting]:[Setting]],all_cause_mort[],25,FALSE))*0.95</f>
        <v>0.6548902238538874</v>
      </c>
      <c r="AL37">
        <f>VLOOKUP(all_lmics1819[[worldbank_region]:[worldbank_region]],Table13[],2,FALSE)*0.95</f>
        <v>55.011325099999993</v>
      </c>
      <c r="AM37">
        <f>VLOOKUP(all_lmics1819[[worldbank_region]:[worldbank_region]],Table13[],3,FALSE)*0.95</f>
        <v>55.011325099999993</v>
      </c>
      <c r="AN37">
        <f>VLOOKUP(all_lmics1819[[worldbank_region]:[worldbank_region]],Table13[],4,FALSE)*0.95</f>
        <v>100.35374209999999</v>
      </c>
      <c r="AO37">
        <f>VLOOKUP(all_lmics1819[[worldbank_region]:[worldbank_region]],Table13[],5,FALSE)*0.95</f>
        <v>100.35374209999999</v>
      </c>
      <c r="AP37">
        <f>VLOOKUP(all_lmics1819[[worldbank_region]:[worldbank_region]],Table13[],6,FALSE)*0.95</f>
        <v>100.35374209999999</v>
      </c>
      <c r="AQ37">
        <f>VLOOKUP(all_lmics1819[[worldbank_region]:[worldbank_region]],Table14[],2,FALSE)*0.95</f>
        <v>1.4285577499999997</v>
      </c>
      <c r="AR37">
        <f>VLOOKUP(all_lmics1819[[worldbank_region]:[worldbank_region]],Table14[],3,FALSE)*0.95</f>
        <v>2.0151827500000001</v>
      </c>
      <c r="AS37">
        <f>VLOOKUP(all_lmics1819[[worldbank_region]:[worldbank_region]],Table14[],4,FALSE)*0.95</f>
        <v>1.8840523499999997</v>
      </c>
      <c r="AT37">
        <f>VLOOKUP(all_lmics1819[[worldbank_region]:[worldbank_region]],Table14[],5,FALSE)*0.95</f>
        <v>2.4706773499999999</v>
      </c>
      <c r="AU37">
        <f>VLOOKUP(all_lmics1819[[worldbank_region]:[worldbank_region]],Table14[],6,FALSE)*0.95</f>
        <v>3.0124167499999999</v>
      </c>
      <c r="AV37">
        <f>IFERROR(VLOOKUP(all_lmics1819[[Setting]:[Setting]],nFacSBA[],4,FALSE),VLOOKUP(all_lmics1819[[who_choice_region]:[who_choice_region]],missing[],30,FALSE))*0.95</f>
        <v>0.368442657134743</v>
      </c>
      <c r="AW37">
        <f>VLOOKUP(all_lmics1819[[worldbank_region]:[worldbank_region]],hbe[],3)</f>
        <v>0.2</v>
      </c>
      <c r="AX37">
        <f>VLOOKUP(all_lmics1819[[worldbank_region]:[worldbank_region]],hbe[],6)</f>
        <v>0.75</v>
      </c>
      <c r="AY37">
        <f>VLOOKUP(all_lmics1819[[worldbank_region]:[worldbank_region]],hbe[],9)</f>
        <v>0.05</v>
      </c>
    </row>
    <row r="38" spans="1:51" x14ac:dyDescent="0.35">
      <c r="A38" s="12" t="s">
        <v>122</v>
      </c>
      <c r="B38" s="13" t="s">
        <v>10</v>
      </c>
      <c r="C38" s="14" t="s">
        <v>11</v>
      </c>
      <c r="D38">
        <f>VLOOKUP(all_lmics1819[[Setting]:[Setting]],populations[],9,FALSE)</f>
        <v>6201500</v>
      </c>
      <c r="E38">
        <f>VLOOKUP(all_lmics1819[[Setting]:[Setting]],birthrate[],3,FALSE)</f>
        <v>2.5999999999999999E-2</v>
      </c>
      <c r="F38">
        <f>all_lmics1819[[#This Row],[2017_population]]*all_lmics1819[[#This Row],[2016_birthrate]]</f>
        <v>161239</v>
      </c>
      <c r="G38">
        <f>VLOOKUP(all_lmics1819[[Setting]:[Setting]],birthdose[],4,FALSE)*0.95</f>
        <v>0.92149999999999999</v>
      </c>
      <c r="H38">
        <f>VLOOKUP(all_lmics1819[[Setting]:[Setting]],fullvax[],4,FALSE)*0.95</f>
        <v>0.874</v>
      </c>
      <c r="I38">
        <f>IFERROR(VLOOKUP(all_lmics1819[[Setting]:[Setting]],prev[],3,FALSE),VLOOKUP(all_lmics1819[[who_choice_region]:[who_choice_region]],missing[],2,FALSE))</f>
        <v>0.1032</v>
      </c>
      <c r="J38">
        <f>IFERROR(VLOOKUP(all_lmics1819[[Setting]:[Setting]],prev[],4,FALSE),VLOOKUP(all_lmics1819[[who_choice_region]:[who_choice_region]],missing[],3,FALSE))</f>
        <v>8.5599999999999996E-2</v>
      </c>
      <c r="K38">
        <f>IFERROR(VLOOKUP(all_lmics1819[[Setting]:[Setting]],prev[],5,FALSE),VLOOKUP(all_lmics1819[[who_choice_region]:[who_choice_region]],missing[],4,FALSE))</f>
        <v>0.12379999999999999</v>
      </c>
      <c r="L38">
        <f>IFERROR(VLOOKUP(all_lmics1819[[Setting]:[Setting]],prev[],7,FALSE),VLOOKUP(all_lmics1819[[who_choice_region]:[who_choice_region]],missing[],5,FALSE))</f>
        <v>1.0510204081632649E-2</v>
      </c>
      <c r="M38">
        <f>IFERROR(VLOOKUP(all_lmics1819[[Setting]:[Setting]],prev[],6,FALSE),0)</f>
        <v>5447900</v>
      </c>
      <c r="N38">
        <f>IFERROR(VLOOKUP(all_lmics1819[[Setting]:[Setting]],SBA[],4,FALSE),VLOOKUP(all_lmics1819[[who_choice_region]:[who_choice_region]],missing[],6,FALSE))*0.95</f>
        <v>0.93480000000000008</v>
      </c>
      <c r="O38">
        <f>IFERROR(VLOOKUP(all_lmics1819[[Setting]:[Setting]], facility[], 3,FALSE),VLOOKUP(all_lmics1819[[who_choice_region]:[who_choice_region]],missing[],7,FALSE))*0.95</f>
        <v>0.93384999999999996</v>
      </c>
      <c r="P38">
        <f>IF(VLOOKUP(all_lmics1819[[Setting]:[Setting]],all_cause_mort[],4,FALSE)="",VLOOKUP(all_lmics1819[[who_choice_region]:[who_choice_region]],missing[],8,FALSE),VLOOKUP(all_lmics1819[[Setting]:[Setting]],all_cause_mort[],4,FALSE))*0.95</f>
        <v>1.4941395750000001E-2</v>
      </c>
      <c r="Q38">
        <f>IF(VLOOKUP(all_lmics1819[[Setting]:[Setting]],all_cause_mort[],5,FALSE)="",VLOOKUP(all_lmics1819[[who_choice_region]:[who_choice_region]],missing[],9,FALSE),VLOOKUP(all_lmics1819[[Setting]:[Setting]],all_cause_mort[],5,FALSE))*0.95</f>
        <v>6.8221120699999999E-4</v>
      </c>
      <c r="R38">
        <f>IF(VLOOKUP(all_lmics1819[[Setting]:[Setting]],all_cause_mort[],6,FALSE)="",VLOOKUP(all_lmics1819[[who_choice_region]:[who_choice_region]],missing[],10,FALSE),VLOOKUP(all_lmics1819[[Setting]:[Setting]],all_cause_mort[],6,FALSE))*0.95</f>
        <v>2.8557517749999998E-4</v>
      </c>
      <c r="S38">
        <f>IF(VLOOKUP(all_lmics1819[[Setting]:[Setting]],all_cause_mort[],7,FALSE)="",VLOOKUP(all_lmics1819[[who_choice_region]:[who_choice_region]],missing[],11,FALSE),VLOOKUP(all_lmics1819[[Setting]:[Setting]],all_cause_mort[],7,FALSE))*0.95</f>
        <v>3.432573725E-4</v>
      </c>
      <c r="T38">
        <f>IF(VLOOKUP(all_lmics1819[[Setting]:[Setting]],all_cause_mort[],8,FALSE)="",VLOOKUP(all_lmics1819[[who_choice_region]:[who_choice_region]],missing[],12,FALSE),VLOOKUP(all_lmics1819[[Setting]:[Setting]],all_cause_mort[],8,FALSE))*0.95</f>
        <v>5.390992739999999E-4</v>
      </c>
      <c r="U38">
        <f>IF(VLOOKUP(all_lmics1819[[Setting]:[Setting]],all_cause_mort[],9,FALSE)="",VLOOKUP(all_lmics1819[[who_choice_region]:[who_choice_region]],missing[],13,FALSE),VLOOKUP(all_lmics1819[[Setting]:[Setting]],all_cause_mort[],9,FALSE))*0.95</f>
        <v>7.3626783150000001E-4</v>
      </c>
      <c r="V38">
        <f>IF(VLOOKUP(all_lmics1819[[Setting]:[Setting]],all_cause_mort[],10,FALSE)="",VLOOKUP(all_lmics1819[[who_choice_region]:[who_choice_region]],missing[],14,FALSE),VLOOKUP(all_lmics1819[[Setting]:[Setting]],all_cause_mort[],10,FALSE))*0.95</f>
        <v>9.46112524E-4</v>
      </c>
      <c r="W38">
        <f>IF(VLOOKUP(all_lmics1819[[Setting]:[Setting]],all_cause_mort[],11,FALSE)="",VLOOKUP(all_lmics1819[[who_choice_region]:[who_choice_region]],missing[],15,FALSE),VLOOKUP(all_lmics1819[[Setting]:[Setting]],all_cause_mort[],11,FALSE))*0.95</f>
        <v>1.5206064799999999E-3</v>
      </c>
      <c r="X38">
        <f>IF(VLOOKUP(all_lmics1819[[Setting]:[Setting]],all_cause_mort[],12,FALSE)="",VLOOKUP(all_lmics1819[[who_choice_region]:[who_choice_region]],missing[],16,FALSE),VLOOKUP(all_lmics1819[[Setting]:[Setting]],all_cause_mort[],12,FALSE))*0.95</f>
        <v>2.2679278749999999E-3</v>
      </c>
      <c r="Y38">
        <f>IF(VLOOKUP(all_lmics1819[[Setting]:[Setting]],all_cause_mort[],13,FALSE)="",VLOOKUP(all_lmics1819[[who_choice_region]:[who_choice_region]],missing[],17,FALSE),VLOOKUP(all_lmics1819[[Setting]:[Setting]],all_cause_mort[],13,FALSE))*0.95</f>
        <v>3.4516360449999995E-3</v>
      </c>
      <c r="Z38">
        <f>IF(VLOOKUP(all_lmics1819[[Setting]:[Setting]],all_cause_mort[],14,FALSE)="",VLOOKUP(all_lmics1819[[who_choice_region]:[who_choice_region]],missing[],18,FALSE),VLOOKUP(all_lmics1819[[Setting]:[Setting]],all_cause_mort[],14,FALSE))*0.95</f>
        <v>4.8204200800000003E-3</v>
      </c>
      <c r="AA38">
        <f>IF(VLOOKUP(all_lmics1819[[Setting]:[Setting]],all_cause_mort[],15,FALSE)="",VLOOKUP(all_lmics1819[[who_choice_region]:[who_choice_region]],missing[],19,FALSE),VLOOKUP(all_lmics1819[[Setting]:[Setting]],all_cause_mort[],15,FALSE))*0.95</f>
        <v>6.9850556900000003E-3</v>
      </c>
      <c r="AB38">
        <f>IF(VLOOKUP(all_lmics1819[[Setting]:[Setting]],all_cause_mort[],16,FALSE)="",VLOOKUP(all_lmics1819[[who_choice_region]:[who_choice_region]],missing[],20,FALSE),VLOOKUP(all_lmics1819[[Setting]:[Setting]],all_cause_mort[],16,FALSE))*0.95</f>
        <v>1.0314753249999999E-2</v>
      </c>
      <c r="AC38">
        <f>IF(VLOOKUP(all_lmics1819[[Setting]:[Setting]],all_cause_mort[],17,FALSE)="",VLOOKUP(all_lmics1819[[who_choice_region]:[who_choice_region]],missing[],21,FALSE),VLOOKUP(all_lmics1819[[Setting]:[Setting]],all_cause_mort[],17,FALSE))*0.95</f>
        <v>1.65137284E-2</v>
      </c>
      <c r="AD38">
        <f>IF(VLOOKUP(all_lmics1819[[Setting]:[Setting]],all_cause_mort[],18,FALSE)="",VLOOKUP(all_lmics1819[[who_choice_region]:[who_choice_region]],missing[],22,FALSE),VLOOKUP(all_lmics1819[[Setting]:[Setting]],all_cause_mort[],18,FALSE))*0.95</f>
        <v>2.4401558449999999E-2</v>
      </c>
      <c r="AE38">
        <f>IF(VLOOKUP(all_lmics1819[[Setting]:[Setting]],all_cause_mort[],19,FALSE)="",VLOOKUP(all_lmics1819[[who_choice_region]:[who_choice_region]],missing[],23,FALSE),VLOOKUP(all_lmics1819[[Setting]:[Setting]],all_cause_mort[],19,FALSE))*0.95</f>
        <v>5.2247613599999992E-2</v>
      </c>
      <c r="AF38">
        <f>IF(VLOOKUP(all_lmics1819[[Setting]:[Setting]],all_cause_mort[],20,FALSE)="",VLOOKUP(all_lmics1819[[who_choice_region]:[who_choice_region]],missing[],24,FALSE),VLOOKUP(all_lmics1819[[Setting]:[Setting]],all_cause_mort[],20,FALSE))*0.95</f>
        <v>9.8941587999999997E-2</v>
      </c>
      <c r="AG38">
        <f>IF(VLOOKUP(all_lmics1819[[Setting]:[Setting]],all_cause_mort[],21,FALSE)="",VLOOKUP(all_lmics1819[[who_choice_region]:[who_choice_region]],missing[],25,FALSE),VLOOKUP(all_lmics1819[[Setting]:[Setting]],all_cause_mort[],21,FALSE))*0.95</f>
        <v>0.14152231700000001</v>
      </c>
      <c r="AH38">
        <f>IF(VLOOKUP(all_lmics1819[[Setting]:[Setting]],all_cause_mort[],22,FALSE)="",VLOOKUP(all_lmics1819[[who_choice_region]:[who_choice_region]],missing[],26,FALSE),VLOOKUP(all_lmics1819[[Setting]:[Setting]],all_cause_mort[],22,FALSE))*0.95</f>
        <v>0.18481124249999997</v>
      </c>
      <c r="AI38">
        <f>IF(VLOOKUP(all_lmics1819[[Setting]:[Setting]],all_cause_mort[],23,FALSE)="",VLOOKUP(all_lmics1819[[who_choice_region]:[who_choice_region]],missing[],27,FALSE),VLOOKUP(all_lmics1819[[Setting]:[Setting]],all_cause_mort[],23,FALSE))*0.95</f>
        <v>0.22687109599999999</v>
      </c>
      <c r="AJ38">
        <f>IF(VLOOKUP(all_lmics1819[[Setting]:[Setting]],all_cause_mort[],24,FALSE)="",VLOOKUP(all_lmics1819[[who_choice_region]:[who_choice_region]],missing[],28,FALSE),VLOOKUP(all_lmics1819[[Setting]:[Setting]],all_cause_mort[],24,FALSE))*0.95</f>
        <v>0.28386137750000001</v>
      </c>
      <c r="AK38">
        <f>IF(VLOOKUP(all_lmics1819[[Setting]:[Setting]],all_cause_mort[],25,FALSE)="",VLOOKUP(all_lmics1819[[who_choice_region]:[who_choice_region]],missing[],29,FALSE),VLOOKUP(all_lmics1819[[Setting]:[Setting]],all_cause_mort[],25,FALSE))*0.95</f>
        <v>0.41767257978194738</v>
      </c>
      <c r="AL38">
        <f>VLOOKUP(all_lmics1819[[worldbank_region]:[worldbank_region]],Table13[],2,FALSE)*0.95</f>
        <v>42.29888489999999</v>
      </c>
      <c r="AM38">
        <f>VLOOKUP(all_lmics1819[[worldbank_region]:[worldbank_region]],Table13[],3,FALSE)*0.95</f>
        <v>42.29888489999999</v>
      </c>
      <c r="AN38">
        <f>VLOOKUP(all_lmics1819[[worldbank_region]:[worldbank_region]],Table13[],4,FALSE)*0.95</f>
        <v>87.641301899999988</v>
      </c>
      <c r="AO38">
        <f>VLOOKUP(all_lmics1819[[worldbank_region]:[worldbank_region]],Table13[],5,FALSE)*0.95</f>
        <v>87.641301899999988</v>
      </c>
      <c r="AP38">
        <f>VLOOKUP(all_lmics1819[[worldbank_region]:[worldbank_region]],Table13[],6,FALSE)*0.95</f>
        <v>87.641301899999988</v>
      </c>
      <c r="AQ38">
        <f>VLOOKUP(all_lmics1819[[worldbank_region]:[worldbank_region]],Table14[],2,FALSE)*0.95</f>
        <v>6.0973773999999992</v>
      </c>
      <c r="AR38">
        <f>VLOOKUP(all_lmics1819[[worldbank_region]:[worldbank_region]],Table14[],3,FALSE)*0.95</f>
        <v>6.6840023999999998</v>
      </c>
      <c r="AS38">
        <f>VLOOKUP(all_lmics1819[[worldbank_region]:[worldbank_region]],Table14[],4,FALSE)*0.95</f>
        <v>9.9587293499999969</v>
      </c>
      <c r="AT38">
        <f>VLOOKUP(all_lmics1819[[worldbank_region]:[worldbank_region]],Table14[],5,FALSE)*0.95</f>
        <v>10.545354349999998</v>
      </c>
      <c r="AU38">
        <f>VLOOKUP(all_lmics1819[[worldbank_region]:[worldbank_region]],Table14[],6,FALSE)*0.95</f>
        <v>11.087093749999999</v>
      </c>
      <c r="AV38">
        <f>IFERROR(VLOOKUP(all_lmics1819[[Setting]:[Setting]],nFacSBA[],4,FALSE),VLOOKUP(all_lmics1819[[who_choice_region]:[who_choice_region]],missing[],30,FALSE))*0.95</f>
        <v>0.50689921499704871</v>
      </c>
      <c r="AW38">
        <f>VLOOKUP(all_lmics1819[[worldbank_region]:[worldbank_region]],hbe[],3)</f>
        <v>0.2</v>
      </c>
      <c r="AX38">
        <f>VLOOKUP(all_lmics1819[[worldbank_region]:[worldbank_region]],hbe[],6)</f>
        <v>0.75</v>
      </c>
      <c r="AY38">
        <f>VLOOKUP(all_lmics1819[[worldbank_region]:[worldbank_region]],hbe[],9)</f>
        <v>0.05</v>
      </c>
    </row>
    <row r="39" spans="1:51" x14ac:dyDescent="0.35">
      <c r="A39" s="8" t="s">
        <v>123</v>
      </c>
      <c r="B39" s="10" t="s">
        <v>57</v>
      </c>
      <c r="C39" s="11" t="s">
        <v>58</v>
      </c>
      <c r="D39">
        <f>VLOOKUP(all_lmics1819[[Setting]:[Setting]],populations[],9,FALSE)</f>
        <v>6858160</v>
      </c>
      <c r="E39">
        <f>VLOOKUP(all_lmics1819[[Setting]:[Setting]],birthrate[],3,FALSE)</f>
        <v>2.3850000000000003E-2</v>
      </c>
      <c r="F39">
        <f>all_lmics1819[[#This Row],[2017_population]]*all_lmics1819[[#This Row],[2016_birthrate]]</f>
        <v>163567.11600000001</v>
      </c>
      <c r="G39">
        <f>VLOOKUP(all_lmics1819[[Setting]:[Setting]],birthdose[],4,FALSE)*0.95</f>
        <v>0.52249999999999996</v>
      </c>
      <c r="H39">
        <f>VLOOKUP(all_lmics1819[[Setting]:[Setting]],fullvax[],4,FALSE)*0.95</f>
        <v>0.8075</v>
      </c>
      <c r="I39">
        <f>IFERROR(VLOOKUP(all_lmics1819[[Setting]:[Setting]],prev[],3,FALSE),VLOOKUP(all_lmics1819[[who_choice_region]:[who_choice_region]],missing[],2,FALSE))</f>
        <v>3.6999999999999998E-2</v>
      </c>
      <c r="J39">
        <f>IFERROR(VLOOKUP(all_lmics1819[[Setting]:[Setting]],prev[],4,FALSE),VLOOKUP(all_lmics1819[[who_choice_region]:[who_choice_region]],missing[],3,FALSE))</f>
        <v>3.3000000000000002E-2</v>
      </c>
      <c r="K39">
        <f>IFERROR(VLOOKUP(all_lmics1819[[Setting]:[Setting]],prev[],5,FALSE),VLOOKUP(all_lmics1819[[who_choice_region]:[who_choice_region]],missing[],4,FALSE))</f>
        <v>4.5999999999999999E-2</v>
      </c>
      <c r="L39">
        <f>IFERROR(VLOOKUP(all_lmics1819[[Setting]:[Setting]],prev[],7,FALSE),VLOOKUP(all_lmics1819[[who_choice_region]:[who_choice_region]],missing[],5,FALSE))</f>
        <v>4.591836734693878E-3</v>
      </c>
      <c r="M39">
        <f>IFERROR(VLOOKUP(all_lmics1819[[Setting]:[Setting]],prev[],6,FALSE),0)</f>
        <v>6858160</v>
      </c>
      <c r="N39">
        <f>IFERROR(VLOOKUP(all_lmics1819[[Setting]:[Setting]],SBA[],4,FALSE),VLOOKUP(all_lmics1819[[who_choice_region]:[who_choice_region]],missing[],6,FALSE))*0.95</f>
        <v>0.38095000000000001</v>
      </c>
      <c r="O39">
        <f>IFERROR(VLOOKUP(all_lmics1819[[Setting]:[Setting]], facility[], 3,FALSE),VLOOKUP(all_lmics1819[[who_choice_region]:[who_choice_region]],missing[],7,FALSE))*0.95</f>
        <v>0.35624999999999996</v>
      </c>
      <c r="P39">
        <f>IF(VLOOKUP(all_lmics1819[[Setting]:[Setting]],all_cause_mort[],4,FALSE)="",VLOOKUP(all_lmics1819[[who_choice_region]:[who_choice_region]],missing[],8,FALSE),VLOOKUP(all_lmics1819[[Setting]:[Setting]],all_cause_mort[],4,FALSE))*0.95</f>
        <v>3.8080405149999996E-2</v>
      </c>
      <c r="Q39">
        <f>IF(VLOOKUP(all_lmics1819[[Setting]:[Setting]],all_cause_mort[],5,FALSE)="",VLOOKUP(all_lmics1819[[who_choice_region]:[who_choice_region]],missing[],9,FALSE),VLOOKUP(all_lmics1819[[Setting]:[Setting]],all_cause_mort[],5,FALSE))*0.95</f>
        <v>2.3775747849999998E-3</v>
      </c>
      <c r="R39">
        <f>IF(VLOOKUP(all_lmics1819[[Setting]:[Setting]],all_cause_mort[],6,FALSE)="",VLOOKUP(all_lmics1819[[who_choice_region]:[who_choice_region]],missing[],10,FALSE),VLOOKUP(all_lmics1819[[Setting]:[Setting]],all_cause_mort[],6,FALSE))*0.95</f>
        <v>8.5696055299999999E-4</v>
      </c>
      <c r="S39">
        <f>IF(VLOOKUP(all_lmics1819[[Setting]:[Setting]],all_cause_mort[],7,FALSE)="",VLOOKUP(all_lmics1819[[who_choice_region]:[who_choice_region]],missing[],11,FALSE),VLOOKUP(all_lmics1819[[Setting]:[Setting]],all_cause_mort[],7,FALSE))*0.95</f>
        <v>6.8584359849999999E-4</v>
      </c>
      <c r="T39">
        <f>IF(VLOOKUP(all_lmics1819[[Setting]:[Setting]],all_cause_mort[],8,FALSE)="",VLOOKUP(all_lmics1819[[who_choice_region]:[who_choice_region]],missing[],12,FALSE),VLOOKUP(all_lmics1819[[Setting]:[Setting]],all_cause_mort[],8,FALSE))*0.95</f>
        <v>1.1613819349999999E-3</v>
      </c>
      <c r="U39">
        <f>IF(VLOOKUP(all_lmics1819[[Setting]:[Setting]],all_cause_mort[],9,FALSE)="",VLOOKUP(all_lmics1819[[who_choice_region]:[who_choice_region]],missing[],13,FALSE),VLOOKUP(all_lmics1819[[Setting]:[Setting]],all_cause_mort[],9,FALSE))*0.95</f>
        <v>1.63445391E-3</v>
      </c>
      <c r="V39">
        <f>IF(VLOOKUP(all_lmics1819[[Setting]:[Setting]],all_cause_mort[],10,FALSE)="",VLOOKUP(all_lmics1819[[who_choice_region]:[who_choice_region]],missing[],14,FALSE),VLOOKUP(all_lmics1819[[Setting]:[Setting]],all_cause_mort[],10,FALSE))*0.95</f>
        <v>1.77367679E-3</v>
      </c>
      <c r="W39">
        <f>IF(VLOOKUP(all_lmics1819[[Setting]:[Setting]],all_cause_mort[],11,FALSE)="",VLOOKUP(all_lmics1819[[who_choice_region]:[who_choice_region]],missing[],15,FALSE),VLOOKUP(all_lmics1819[[Setting]:[Setting]],all_cause_mort[],11,FALSE))*0.95</f>
        <v>2.047360485E-3</v>
      </c>
      <c r="X39">
        <f>IF(VLOOKUP(all_lmics1819[[Setting]:[Setting]],all_cause_mort[],12,FALSE)="",VLOOKUP(all_lmics1819[[who_choice_region]:[who_choice_region]],missing[],16,FALSE),VLOOKUP(all_lmics1819[[Setting]:[Setting]],all_cause_mort[],12,FALSE))*0.95</f>
        <v>2.6132353949999999E-3</v>
      </c>
      <c r="Y39">
        <f>IF(VLOOKUP(all_lmics1819[[Setting]:[Setting]],all_cause_mort[],13,FALSE)="",VLOOKUP(all_lmics1819[[who_choice_region]:[who_choice_region]],missing[],17,FALSE),VLOOKUP(all_lmics1819[[Setting]:[Setting]],all_cause_mort[],13,FALSE))*0.95</f>
        <v>3.61202882E-3</v>
      </c>
      <c r="Z39">
        <f>IF(VLOOKUP(all_lmics1819[[Setting]:[Setting]],all_cause_mort[],14,FALSE)="",VLOOKUP(all_lmics1819[[who_choice_region]:[who_choice_region]],missing[],18,FALSE),VLOOKUP(all_lmics1819[[Setting]:[Setting]],all_cause_mort[],14,FALSE))*0.95</f>
        <v>5.3579580099999994E-3</v>
      </c>
      <c r="AA39">
        <f>IF(VLOOKUP(all_lmics1819[[Setting]:[Setting]],all_cause_mort[],15,FALSE)="",VLOOKUP(all_lmics1819[[who_choice_region]:[who_choice_region]],missing[],19,FALSE),VLOOKUP(all_lmics1819[[Setting]:[Setting]],all_cause_mort[],15,FALSE))*0.95</f>
        <v>8.1121278049999992E-3</v>
      </c>
      <c r="AB39">
        <f>IF(VLOOKUP(all_lmics1819[[Setting]:[Setting]],all_cause_mort[],16,FALSE)="",VLOOKUP(all_lmics1819[[who_choice_region]:[who_choice_region]],missing[],20,FALSE),VLOOKUP(all_lmics1819[[Setting]:[Setting]],all_cause_mort[],16,FALSE))*0.95</f>
        <v>1.2483197599999999E-2</v>
      </c>
      <c r="AC39">
        <f>IF(VLOOKUP(all_lmics1819[[Setting]:[Setting]],all_cause_mort[],17,FALSE)="",VLOOKUP(all_lmics1819[[who_choice_region]:[who_choice_region]],missing[],21,FALSE),VLOOKUP(all_lmics1819[[Setting]:[Setting]],all_cause_mort[],17,FALSE))*0.95</f>
        <v>1.9454987300000001E-2</v>
      </c>
      <c r="AD39">
        <f>IF(VLOOKUP(all_lmics1819[[Setting]:[Setting]],all_cause_mort[],18,FALSE)="",VLOOKUP(all_lmics1819[[who_choice_region]:[who_choice_region]],missing[],22,FALSE),VLOOKUP(all_lmics1819[[Setting]:[Setting]],all_cause_mort[],18,FALSE))*0.95</f>
        <v>3.0684910700000002E-2</v>
      </c>
      <c r="AE39">
        <f>IF(VLOOKUP(all_lmics1819[[Setting]:[Setting]],all_cause_mort[],19,FALSE)="",VLOOKUP(all_lmics1819[[who_choice_region]:[who_choice_region]],missing[],23,FALSE),VLOOKUP(all_lmics1819[[Setting]:[Setting]],all_cause_mort[],19,FALSE))*0.95</f>
        <v>4.9631832299999998E-2</v>
      </c>
      <c r="AF39">
        <f>IF(VLOOKUP(all_lmics1819[[Setting]:[Setting]],all_cause_mort[],20,FALSE)="",VLOOKUP(all_lmics1819[[who_choice_region]:[who_choice_region]],missing[],24,FALSE),VLOOKUP(all_lmics1819[[Setting]:[Setting]],all_cause_mort[],20,FALSE))*0.95</f>
        <v>8.0839061549999994E-2</v>
      </c>
      <c r="AG39">
        <f>IF(VLOOKUP(all_lmics1819[[Setting]:[Setting]],all_cause_mort[],21,FALSE)="",VLOOKUP(all_lmics1819[[who_choice_region]:[who_choice_region]],missing[],25,FALSE),VLOOKUP(all_lmics1819[[Setting]:[Setting]],all_cause_mort[],21,FALSE))*0.95</f>
        <v>0.13149262549999999</v>
      </c>
      <c r="AH39">
        <f>IF(VLOOKUP(all_lmics1819[[Setting]:[Setting]],all_cause_mort[],22,FALSE)="",VLOOKUP(all_lmics1819[[who_choice_region]:[who_choice_region]],missing[],26,FALSE),VLOOKUP(all_lmics1819[[Setting]:[Setting]],all_cause_mort[],22,FALSE))*0.95</f>
        <v>0.20573042299999997</v>
      </c>
      <c r="AI39">
        <f>IF(VLOOKUP(all_lmics1819[[Setting]:[Setting]],all_cause_mort[],23,FALSE)="",VLOOKUP(all_lmics1819[[who_choice_region]:[who_choice_region]],missing[],27,FALSE),VLOOKUP(all_lmics1819[[Setting]:[Setting]],all_cause_mort[],23,FALSE))*0.95</f>
        <v>0.30159583499999998</v>
      </c>
      <c r="AJ39">
        <f>IF(VLOOKUP(all_lmics1819[[Setting]:[Setting]],all_cause_mort[],24,FALSE)="",VLOOKUP(all_lmics1819[[who_choice_region]:[who_choice_region]],missing[],28,FALSE),VLOOKUP(all_lmics1819[[Setting]:[Setting]],all_cause_mort[],24,FALSE))*0.95</f>
        <v>0.41815658849999998</v>
      </c>
      <c r="AK39">
        <f>IF(VLOOKUP(all_lmics1819[[Setting]:[Setting]],all_cause_mort[],25,FALSE)="",VLOOKUP(all_lmics1819[[who_choice_region]:[who_choice_region]],missing[],29,FALSE),VLOOKUP(all_lmics1819[[Setting]:[Setting]],all_cause_mort[],25,FALSE))*0.95</f>
        <v>0.54918405701339823</v>
      </c>
      <c r="AL39">
        <f>VLOOKUP(all_lmics1819[[worldbank_region]:[worldbank_region]],Table13[],2,FALSE)*0.95</f>
        <v>69.411165749999981</v>
      </c>
      <c r="AM39">
        <f>VLOOKUP(all_lmics1819[[worldbank_region]:[worldbank_region]],Table13[],3,FALSE)*0.95</f>
        <v>69.411165749999981</v>
      </c>
      <c r="AN39">
        <f>VLOOKUP(all_lmics1819[[worldbank_region]:[worldbank_region]],Table13[],4,FALSE)*0.95</f>
        <v>114.75358274999998</v>
      </c>
      <c r="AO39">
        <f>VLOOKUP(all_lmics1819[[worldbank_region]:[worldbank_region]],Table13[],5,FALSE)*0.95</f>
        <v>114.75358274999998</v>
      </c>
      <c r="AP39">
        <f>VLOOKUP(all_lmics1819[[worldbank_region]:[worldbank_region]],Table13[],6,FALSE)*0.95</f>
        <v>114.75358274999998</v>
      </c>
      <c r="AQ39">
        <f>VLOOKUP(all_lmics1819[[worldbank_region]:[worldbank_region]],Table14[],2,FALSE)*0.95</f>
        <v>1.2732755</v>
      </c>
      <c r="AR39">
        <f>VLOOKUP(all_lmics1819[[worldbank_region]:[worldbank_region]],Table14[],3,FALSE)*0.95</f>
        <v>1.8599005</v>
      </c>
      <c r="AS39">
        <f>VLOOKUP(all_lmics1819[[worldbank_region]:[worldbank_region]],Table14[],4,FALSE)*0.95</f>
        <v>1.8737001999999996</v>
      </c>
      <c r="AT39">
        <f>VLOOKUP(all_lmics1819[[worldbank_region]:[worldbank_region]],Table14[],5,FALSE)*0.95</f>
        <v>2.4603251999999998</v>
      </c>
      <c r="AU39">
        <f>VLOOKUP(all_lmics1819[[worldbank_region]:[worldbank_region]],Table14[],6,FALSE)*0.95</f>
        <v>3.0020645999999997</v>
      </c>
      <c r="AV39">
        <f>IFERROR(VLOOKUP(all_lmics1819[[Setting]:[Setting]],nFacSBA[],4,FALSE),VLOOKUP(all_lmics1819[[who_choice_region]:[who_choice_region]],missing[],30,FALSE))*0.95</f>
        <v>6.8117627595281657E-2</v>
      </c>
      <c r="AW39">
        <f>VLOOKUP(all_lmics1819[[worldbank_region]:[worldbank_region]],hbe[],3)</f>
        <v>0.2</v>
      </c>
      <c r="AX39">
        <f>VLOOKUP(all_lmics1819[[worldbank_region]:[worldbank_region]],hbe[],6)</f>
        <v>0.75</v>
      </c>
      <c r="AY39">
        <f>VLOOKUP(all_lmics1819[[worldbank_region]:[worldbank_region]],hbe[],9)</f>
        <v>0.05</v>
      </c>
    </row>
    <row r="40" spans="1:51" x14ac:dyDescent="0.35">
      <c r="A40" s="8" t="s">
        <v>125</v>
      </c>
      <c r="B40" s="10" t="s">
        <v>33</v>
      </c>
      <c r="C40" s="11" t="s">
        <v>7</v>
      </c>
      <c r="D40">
        <f>VLOOKUP(all_lmics1819[[Setting]:[Setting]],populations[],9,FALSE)</f>
        <v>6082357</v>
      </c>
      <c r="E40">
        <f>VLOOKUP(all_lmics1819[[Setting]:[Setting]],birthrate[],3,FALSE)</f>
        <v>1.5470000000000001E-2</v>
      </c>
      <c r="F40">
        <f>all_lmics1819[[#This Row],[2017_population]]*all_lmics1819[[#This Row],[2016_birthrate]]</f>
        <v>94094.062790000011</v>
      </c>
      <c r="G40">
        <f>VLOOKUP(all_lmics1819[[Setting]:[Setting]],birthdose[],4,FALSE)*0.95</f>
        <v>0.76</v>
      </c>
      <c r="H40">
        <f>VLOOKUP(all_lmics1819[[Setting]:[Setting]],fullvax[],4,FALSE)*0.95</f>
        <v>0.74099999999999999</v>
      </c>
      <c r="I40">
        <f>IFERROR(VLOOKUP(all_lmics1819[[Setting]:[Setting]],prev[],3,FALSE),VLOOKUP(all_lmics1819[[who_choice_region]:[who_choice_region]],missing[],2,FALSE))</f>
        <v>1.2E-2</v>
      </c>
      <c r="J40">
        <f>IFERROR(VLOOKUP(all_lmics1819[[Setting]:[Setting]],prev[],4,FALSE),VLOOKUP(all_lmics1819[[who_choice_region]:[who_choice_region]],missing[],3,FALSE))</f>
        <v>1.0999999999999999E-2</v>
      </c>
      <c r="K40">
        <f>IFERROR(VLOOKUP(all_lmics1819[[Setting]:[Setting]],prev[],5,FALSE),VLOOKUP(all_lmics1819[[who_choice_region]:[who_choice_region]],missing[],4,FALSE))</f>
        <v>1.2999999999999999E-2</v>
      </c>
      <c r="L40">
        <f>IFERROR(VLOOKUP(all_lmics1819[[Setting]:[Setting]],prev[],7,FALSE),VLOOKUP(all_lmics1819[[who_choice_region]:[who_choice_region]],missing[],5,FALSE))</f>
        <v>5.1020408163265267E-4</v>
      </c>
      <c r="M40">
        <f>IFERROR(VLOOKUP(all_lmics1819[[Setting]:[Setting]],prev[],6,FALSE),0)</f>
        <v>6082357</v>
      </c>
      <c r="N40">
        <f>IFERROR(VLOOKUP(all_lmics1819[[Setting]:[Setting]],SBA[],4,FALSE),VLOOKUP(all_lmics1819[[who_choice_region]:[who_choice_region]],missing[],6,FALSE))*0.95</f>
        <v>0.92132692484923517</v>
      </c>
      <c r="O40">
        <f>IFERROR(VLOOKUP(all_lmics1819[[Setting]:[Setting]], facility[], 3,FALSE),VLOOKUP(all_lmics1819[[who_choice_region]:[who_choice_region]],missing[],7,FALSE))*0.95</f>
        <v>0.94905000000000006</v>
      </c>
      <c r="P40">
        <f>IF(VLOOKUP(all_lmics1819[[Setting]:[Setting]],all_cause_mort[],4,FALSE)="",VLOOKUP(all_lmics1819[[who_choice_region]:[who_choice_region]],missing[],8,FALSE),VLOOKUP(all_lmics1819[[Setting]:[Setting]],all_cause_mort[],4,FALSE))*0.95</f>
        <v>9.0225194550000009E-3</v>
      </c>
      <c r="Q40">
        <f>IF(VLOOKUP(all_lmics1819[[Setting]:[Setting]],all_cause_mort[],5,FALSE)="",VLOOKUP(all_lmics1819[[who_choice_region]:[who_choice_region]],missing[],9,FALSE),VLOOKUP(all_lmics1819[[Setting]:[Setting]],all_cause_mort[],5,FALSE))*0.95</f>
        <v>3.5804621249999996E-4</v>
      </c>
      <c r="R40">
        <f>IF(VLOOKUP(all_lmics1819[[Setting]:[Setting]],all_cause_mort[],6,FALSE)="",VLOOKUP(all_lmics1819[[who_choice_region]:[who_choice_region]],missing[],10,FALSE),VLOOKUP(all_lmics1819[[Setting]:[Setting]],all_cause_mort[],6,FALSE))*0.95</f>
        <v>1.7413970249999998E-4</v>
      </c>
      <c r="S40">
        <f>IF(VLOOKUP(all_lmics1819[[Setting]:[Setting]],all_cause_mort[],7,FALSE)="",VLOOKUP(all_lmics1819[[who_choice_region]:[who_choice_region]],missing[],11,FALSE),VLOOKUP(all_lmics1819[[Setting]:[Setting]],all_cause_mort[],7,FALSE))*0.95</f>
        <v>1.4584479799999999E-4</v>
      </c>
      <c r="T40">
        <f>IF(VLOOKUP(all_lmics1819[[Setting]:[Setting]],all_cause_mort[],8,FALSE)="",VLOOKUP(all_lmics1819[[who_choice_region]:[who_choice_region]],missing[],12,FALSE),VLOOKUP(all_lmics1819[[Setting]:[Setting]],all_cause_mort[],8,FALSE))*0.95</f>
        <v>2.7351629549999997E-4</v>
      </c>
      <c r="U40">
        <f>IF(VLOOKUP(all_lmics1819[[Setting]:[Setting]],all_cause_mort[],9,FALSE)="",VLOOKUP(all_lmics1819[[who_choice_region]:[who_choice_region]],missing[],13,FALSE),VLOOKUP(all_lmics1819[[Setting]:[Setting]],all_cause_mort[],9,FALSE))*0.95</f>
        <v>3.8142860999999996E-4</v>
      </c>
      <c r="V40">
        <f>IF(VLOOKUP(all_lmics1819[[Setting]:[Setting]],all_cause_mort[],10,FALSE)="",VLOOKUP(all_lmics1819[[who_choice_region]:[who_choice_region]],missing[],14,FALSE),VLOOKUP(all_lmics1819[[Setting]:[Setting]],all_cause_mort[],10,FALSE))*0.95</f>
        <v>4.0833720799999997E-4</v>
      </c>
      <c r="W40">
        <f>IF(VLOOKUP(all_lmics1819[[Setting]:[Setting]],all_cause_mort[],11,FALSE)="",VLOOKUP(all_lmics1819[[who_choice_region]:[who_choice_region]],missing[],15,FALSE),VLOOKUP(all_lmics1819[[Setting]:[Setting]],all_cause_mort[],11,FALSE))*0.95</f>
        <v>4.808748285E-4</v>
      </c>
      <c r="X40">
        <f>IF(VLOOKUP(all_lmics1819[[Setting]:[Setting]],all_cause_mort[],12,FALSE)="",VLOOKUP(all_lmics1819[[who_choice_region]:[who_choice_region]],missing[],16,FALSE),VLOOKUP(all_lmics1819[[Setting]:[Setting]],all_cause_mort[],12,FALSE))*0.95</f>
        <v>6.4756989399999997E-4</v>
      </c>
      <c r="Y40">
        <f>IF(VLOOKUP(all_lmics1819[[Setting]:[Setting]],all_cause_mort[],13,FALSE)="",VLOOKUP(all_lmics1819[[who_choice_region]:[who_choice_region]],missing[],17,FALSE),VLOOKUP(all_lmics1819[[Setting]:[Setting]],all_cause_mort[],13,FALSE))*0.95</f>
        <v>9.9669420999999982E-4</v>
      </c>
      <c r="Z40">
        <f>IF(VLOOKUP(all_lmics1819[[Setting]:[Setting]],all_cause_mort[],14,FALSE)="",VLOOKUP(all_lmics1819[[who_choice_region]:[who_choice_region]],missing[],18,FALSE),VLOOKUP(all_lmics1819[[Setting]:[Setting]],all_cause_mort[],14,FALSE))*0.95</f>
        <v>1.7414431949999999E-3</v>
      </c>
      <c r="AA40">
        <f>IF(VLOOKUP(all_lmics1819[[Setting]:[Setting]],all_cause_mort[],15,FALSE)="",VLOOKUP(all_lmics1819[[who_choice_region]:[who_choice_region]],missing[],19,FALSE),VLOOKUP(all_lmics1819[[Setting]:[Setting]],all_cause_mort[],15,FALSE))*0.95</f>
        <v>2.9847289049999997E-3</v>
      </c>
      <c r="AB40">
        <f>IF(VLOOKUP(all_lmics1819[[Setting]:[Setting]],all_cause_mort[],16,FALSE)="",VLOOKUP(all_lmics1819[[who_choice_region]:[who_choice_region]],missing[],20,FALSE),VLOOKUP(all_lmics1819[[Setting]:[Setting]],all_cause_mort[],16,FALSE))*0.95</f>
        <v>5.2337121649999995E-3</v>
      </c>
      <c r="AC40">
        <f>IF(VLOOKUP(all_lmics1819[[Setting]:[Setting]],all_cause_mort[],17,FALSE)="",VLOOKUP(all_lmics1819[[who_choice_region]:[who_choice_region]],missing[],21,FALSE),VLOOKUP(all_lmics1819[[Setting]:[Setting]],all_cause_mort[],17,FALSE))*0.95</f>
        <v>8.3767817499999994E-3</v>
      </c>
      <c r="AD40">
        <f>IF(VLOOKUP(all_lmics1819[[Setting]:[Setting]],all_cause_mort[],18,FALSE)="",VLOOKUP(all_lmics1819[[who_choice_region]:[who_choice_region]],missing[],22,FALSE),VLOOKUP(all_lmics1819[[Setting]:[Setting]],all_cause_mort[],18,FALSE))*0.95</f>
        <v>1.4487942700000001E-2</v>
      </c>
      <c r="AE40">
        <f>IF(VLOOKUP(all_lmics1819[[Setting]:[Setting]],all_cause_mort[],19,FALSE)="",VLOOKUP(all_lmics1819[[who_choice_region]:[who_choice_region]],missing[],23,FALSE),VLOOKUP(all_lmics1819[[Setting]:[Setting]],all_cause_mort[],19,FALSE))*0.95</f>
        <v>2.5754824899999997E-2</v>
      </c>
      <c r="AF40">
        <f>IF(VLOOKUP(all_lmics1819[[Setting]:[Setting]],all_cause_mort[],20,FALSE)="",VLOOKUP(all_lmics1819[[who_choice_region]:[who_choice_region]],missing[],24,FALSE),VLOOKUP(all_lmics1819[[Setting]:[Setting]],all_cause_mort[],20,FALSE))*0.95</f>
        <v>4.4504494200000001E-2</v>
      </c>
      <c r="AG40">
        <f>IF(VLOOKUP(all_lmics1819[[Setting]:[Setting]],all_cause_mort[],21,FALSE)="",VLOOKUP(all_lmics1819[[who_choice_region]:[who_choice_region]],missing[],25,FALSE),VLOOKUP(all_lmics1819[[Setting]:[Setting]],all_cause_mort[],21,FALSE))*0.95</f>
        <v>7.7655713200000004E-2</v>
      </c>
      <c r="AH40">
        <f>IF(VLOOKUP(all_lmics1819[[Setting]:[Setting]],all_cause_mort[],22,FALSE)="",VLOOKUP(all_lmics1819[[who_choice_region]:[who_choice_region]],missing[],26,FALSE),VLOOKUP(all_lmics1819[[Setting]:[Setting]],all_cause_mort[],22,FALSE))*0.95</f>
        <v>0.13146200699999999</v>
      </c>
      <c r="AI40">
        <f>IF(VLOOKUP(all_lmics1819[[Setting]:[Setting]],all_cause_mort[],23,FALSE)="",VLOOKUP(all_lmics1819[[who_choice_region]:[who_choice_region]],missing[],27,FALSE),VLOOKUP(all_lmics1819[[Setting]:[Setting]],all_cause_mort[],23,FALSE))*0.95</f>
        <v>0.20759478849999999</v>
      </c>
      <c r="AJ40">
        <f>IF(VLOOKUP(all_lmics1819[[Setting]:[Setting]],all_cause_mort[],24,FALSE)="",VLOOKUP(all_lmics1819[[who_choice_region]:[who_choice_region]],missing[],28,FALSE),VLOOKUP(all_lmics1819[[Setting]:[Setting]],all_cause_mort[],24,FALSE))*0.95</f>
        <v>0.30413845299999998</v>
      </c>
      <c r="AK40">
        <f>IF(VLOOKUP(all_lmics1819[[Setting]:[Setting]],all_cause_mort[],25,FALSE)="",VLOOKUP(all_lmics1819[[who_choice_region]:[who_choice_region]],missing[],29,FALSE),VLOOKUP(all_lmics1819[[Setting]:[Setting]],all_cause_mort[],25,FALSE))*0.95</f>
        <v>0.4332528790337894</v>
      </c>
      <c r="AL40">
        <f>VLOOKUP(all_lmics1819[[worldbank_region]:[worldbank_region]],Table13[],2,FALSE)*0.95</f>
        <v>55.011325099999993</v>
      </c>
      <c r="AM40">
        <f>VLOOKUP(all_lmics1819[[worldbank_region]:[worldbank_region]],Table13[],3,FALSE)*0.95</f>
        <v>55.011325099999993</v>
      </c>
      <c r="AN40">
        <f>VLOOKUP(all_lmics1819[[worldbank_region]:[worldbank_region]],Table13[],4,FALSE)*0.95</f>
        <v>100.35374209999999</v>
      </c>
      <c r="AO40">
        <f>VLOOKUP(all_lmics1819[[worldbank_region]:[worldbank_region]],Table13[],5,FALSE)*0.95</f>
        <v>100.35374209999999</v>
      </c>
      <c r="AP40">
        <f>VLOOKUP(all_lmics1819[[worldbank_region]:[worldbank_region]],Table13[],6,FALSE)*0.95</f>
        <v>100.35374209999999</v>
      </c>
      <c r="AQ40">
        <f>VLOOKUP(all_lmics1819[[worldbank_region]:[worldbank_region]],Table14[],2,FALSE)*0.95</f>
        <v>1.4285577499999997</v>
      </c>
      <c r="AR40">
        <f>VLOOKUP(all_lmics1819[[worldbank_region]:[worldbank_region]],Table14[],3,FALSE)*0.95</f>
        <v>2.0151827500000001</v>
      </c>
      <c r="AS40">
        <f>VLOOKUP(all_lmics1819[[worldbank_region]:[worldbank_region]],Table14[],4,FALSE)*0.95</f>
        <v>1.8840523499999997</v>
      </c>
      <c r="AT40">
        <f>VLOOKUP(all_lmics1819[[worldbank_region]:[worldbank_region]],Table14[],5,FALSE)*0.95</f>
        <v>2.4706773499999999</v>
      </c>
      <c r="AU40">
        <f>VLOOKUP(all_lmics1819[[worldbank_region]:[worldbank_region]],Table14[],6,FALSE)*0.95</f>
        <v>3.0124167499999999</v>
      </c>
      <c r="AV40">
        <f>IFERROR(VLOOKUP(all_lmics1819[[Setting]:[Setting]],nFacSBA[],4,FALSE),VLOOKUP(all_lmics1819[[who_choice_region]:[who_choice_region]],missing[],30,FALSE))*0.95</f>
        <v>0.368442657134743</v>
      </c>
      <c r="AW40">
        <f>VLOOKUP(all_lmics1819[[worldbank_region]:[worldbank_region]],hbe[],3)</f>
        <v>0.2</v>
      </c>
      <c r="AX40">
        <f>VLOOKUP(all_lmics1819[[worldbank_region]:[worldbank_region]],hbe[],6)</f>
        <v>0.75</v>
      </c>
      <c r="AY40">
        <f>VLOOKUP(all_lmics1819[[worldbank_region]:[worldbank_region]],hbe[],9)</f>
        <v>0.05</v>
      </c>
    </row>
    <row r="41" spans="1:51" x14ac:dyDescent="0.35">
      <c r="A41" s="8" t="s">
        <v>129</v>
      </c>
      <c r="B41" s="10" t="s">
        <v>40</v>
      </c>
      <c r="C41" s="11" t="s">
        <v>11</v>
      </c>
      <c r="D41">
        <f>VLOOKUP(all_lmics1819[[Setting]:[Setting]],populations[],9,FALSE)</f>
        <v>2827721</v>
      </c>
      <c r="E41">
        <f>VLOOKUP(all_lmics1819[[Setting]:[Setting]],birthrate[],3,FALSE)</f>
        <v>1.0699999999999999E-2</v>
      </c>
      <c r="F41">
        <f>all_lmics1819[[#This Row],[2017_population]]*all_lmics1819[[#This Row],[2016_birthrate]]</f>
        <v>30256.614699999998</v>
      </c>
      <c r="G41">
        <f>VLOOKUP(all_lmics1819[[Setting]:[Setting]],birthdose[],4,FALSE)*0.95</f>
        <v>0.92149999999999999</v>
      </c>
      <c r="H41">
        <f>VLOOKUP(all_lmics1819[[Setting]:[Setting]],fullvax[],4,FALSE)*0.95</f>
        <v>0.8929999999999999</v>
      </c>
      <c r="I41">
        <f>IFERROR(VLOOKUP(all_lmics1819[[Setting]:[Setting]],prev[],3,FALSE),VLOOKUP(all_lmics1819[[who_choice_region]:[who_choice_region]],missing[],2,FALSE))</f>
        <v>1.7000000000000001E-2</v>
      </c>
      <c r="J41">
        <f>IFERROR(VLOOKUP(all_lmics1819[[Setting]:[Setting]],prev[],4,FALSE),VLOOKUP(all_lmics1819[[who_choice_region]:[who_choice_region]],missing[],3,FALSE))</f>
        <v>1.55E-2</v>
      </c>
      <c r="K41">
        <f>IFERROR(VLOOKUP(all_lmics1819[[Setting]:[Setting]],prev[],5,FALSE),VLOOKUP(all_lmics1819[[who_choice_region]:[who_choice_region]],missing[],4,FALSE))</f>
        <v>1.8599999999999998E-2</v>
      </c>
      <c r="L41">
        <f>IFERROR(VLOOKUP(all_lmics1819[[Setting]:[Setting]],prev[],7,FALSE),VLOOKUP(all_lmics1819[[who_choice_region]:[who_choice_region]],missing[],5,FALSE))</f>
        <v>8.1632653061224352E-4</v>
      </c>
      <c r="M41">
        <f>IFERROR(VLOOKUP(all_lmics1819[[Setting]:[Setting]],prev[],6,FALSE),0)</f>
        <v>3097282</v>
      </c>
      <c r="N41">
        <f>IFERROR(VLOOKUP(all_lmics1819[[Setting]:[Setting]],SBA[],4,FALSE),VLOOKUP(all_lmics1819[[who_choice_region]:[who_choice_region]],missing[],6,FALSE))*0.95</f>
        <v>0.94990499999999989</v>
      </c>
      <c r="O41">
        <f>IFERROR(VLOOKUP(all_lmics1819[[Setting]:[Setting]], facility[], 3,FALSE),VLOOKUP(all_lmics1819[[who_choice_region]:[who_choice_region]],missing[],7,FALSE))*0.95</f>
        <v>0.93927547954274959</v>
      </c>
      <c r="P41">
        <f>IF(VLOOKUP(all_lmics1819[[Setting]:[Setting]],all_cause_mort[],4,FALSE)="",VLOOKUP(all_lmics1819[[who_choice_region]:[who_choice_region]],missing[],8,FALSE),VLOOKUP(all_lmics1819[[Setting]:[Setting]],all_cause_mort[],4,FALSE))*0.95</f>
        <v>3.8543655549999993E-3</v>
      </c>
      <c r="Q41">
        <f>IF(VLOOKUP(all_lmics1819[[Setting]:[Setting]],all_cause_mort[],5,FALSE)="",VLOOKUP(all_lmics1819[[who_choice_region]:[who_choice_region]],missing[],9,FALSE),VLOOKUP(all_lmics1819[[Setting]:[Setting]],all_cause_mort[],5,FALSE))*0.95</f>
        <v>1.99189274E-4</v>
      </c>
      <c r="R41">
        <f>IF(VLOOKUP(all_lmics1819[[Setting]:[Setting]],all_cause_mort[],6,FALSE)="",VLOOKUP(all_lmics1819[[who_choice_region]:[who_choice_region]],missing[],10,FALSE),VLOOKUP(all_lmics1819[[Setting]:[Setting]],all_cause_mort[],6,FALSE))*0.95</f>
        <v>8.8159193449999991E-5</v>
      </c>
      <c r="S41">
        <f>IF(VLOOKUP(all_lmics1819[[Setting]:[Setting]],all_cause_mort[],7,FALSE)="",VLOOKUP(all_lmics1819[[who_choice_region]:[who_choice_region]],missing[],11,FALSE),VLOOKUP(all_lmics1819[[Setting]:[Setting]],all_cause_mort[],7,FALSE))*0.95</f>
        <v>1.8679909849999998E-4</v>
      </c>
      <c r="T41">
        <f>IF(VLOOKUP(all_lmics1819[[Setting]:[Setting]],all_cause_mort[],8,FALSE)="",VLOOKUP(all_lmics1819[[who_choice_region]:[who_choice_region]],missing[],12,FALSE),VLOOKUP(all_lmics1819[[Setting]:[Setting]],all_cause_mort[],8,FALSE))*0.95</f>
        <v>3.9932691400000001E-4</v>
      </c>
      <c r="U41">
        <f>IF(VLOOKUP(all_lmics1819[[Setting]:[Setting]],all_cause_mort[],9,FALSE)="",VLOOKUP(all_lmics1819[[who_choice_region]:[who_choice_region]],missing[],13,FALSE),VLOOKUP(all_lmics1819[[Setting]:[Setting]],all_cause_mort[],9,FALSE))*0.95</f>
        <v>6.3374766949999997E-4</v>
      </c>
      <c r="V41">
        <f>IF(VLOOKUP(all_lmics1819[[Setting]:[Setting]],all_cause_mort[],10,FALSE)="",VLOOKUP(all_lmics1819[[who_choice_region]:[who_choice_region]],missing[],14,FALSE),VLOOKUP(all_lmics1819[[Setting]:[Setting]],all_cause_mort[],10,FALSE))*0.95</f>
        <v>1.06934641E-3</v>
      </c>
      <c r="W41">
        <f>IF(VLOOKUP(all_lmics1819[[Setting]:[Setting]],all_cause_mort[],11,FALSE)="",VLOOKUP(all_lmics1819[[who_choice_region]:[who_choice_region]],missing[],15,FALSE),VLOOKUP(all_lmics1819[[Setting]:[Setting]],all_cause_mort[],11,FALSE))*0.95</f>
        <v>1.7485243999999999E-3</v>
      </c>
      <c r="X41">
        <f>IF(VLOOKUP(all_lmics1819[[Setting]:[Setting]],all_cause_mort[],12,FALSE)="",VLOOKUP(all_lmics1819[[who_choice_region]:[who_choice_region]],missing[],16,FALSE),VLOOKUP(all_lmics1819[[Setting]:[Setting]],all_cause_mort[],12,FALSE))*0.95</f>
        <v>2.5373131999999999E-3</v>
      </c>
      <c r="Y41">
        <f>IF(VLOOKUP(all_lmics1819[[Setting]:[Setting]],all_cause_mort[],13,FALSE)="",VLOOKUP(all_lmics1819[[who_choice_region]:[who_choice_region]],missing[],17,FALSE),VLOOKUP(all_lmics1819[[Setting]:[Setting]],all_cause_mort[],13,FALSE))*0.95</f>
        <v>3.6075730350000001E-3</v>
      </c>
      <c r="Z41">
        <f>IF(VLOOKUP(all_lmics1819[[Setting]:[Setting]],all_cause_mort[],14,FALSE)="",VLOOKUP(all_lmics1819[[who_choice_region]:[who_choice_region]],missing[],18,FALSE),VLOOKUP(all_lmics1819[[Setting]:[Setting]],all_cause_mort[],14,FALSE))*0.95</f>
        <v>5.2465289949999994E-3</v>
      </c>
      <c r="AA41">
        <f>IF(VLOOKUP(all_lmics1819[[Setting]:[Setting]],all_cause_mort[],15,FALSE)="",VLOOKUP(all_lmics1819[[who_choice_region]:[who_choice_region]],missing[],19,FALSE),VLOOKUP(all_lmics1819[[Setting]:[Setting]],all_cause_mort[],15,FALSE))*0.95</f>
        <v>7.2813340899999992E-3</v>
      </c>
      <c r="AB41">
        <f>IF(VLOOKUP(all_lmics1819[[Setting]:[Setting]],all_cause_mort[],16,FALSE)="",VLOOKUP(all_lmics1819[[who_choice_region]:[who_choice_region]],missing[],20,FALSE),VLOOKUP(all_lmics1819[[Setting]:[Setting]],all_cause_mort[],16,FALSE))*0.95</f>
        <v>1.0493003649999999E-2</v>
      </c>
      <c r="AC41">
        <f>IF(VLOOKUP(all_lmics1819[[Setting]:[Setting]],all_cause_mort[],17,FALSE)="",VLOOKUP(all_lmics1819[[who_choice_region]:[who_choice_region]],missing[],21,FALSE),VLOOKUP(all_lmics1819[[Setting]:[Setting]],all_cause_mort[],17,FALSE))*0.95</f>
        <v>1.5685332199999999E-2</v>
      </c>
      <c r="AD41">
        <f>IF(VLOOKUP(all_lmics1819[[Setting]:[Setting]],all_cause_mort[],18,FALSE)="",VLOOKUP(all_lmics1819[[who_choice_region]:[who_choice_region]],missing[],22,FALSE),VLOOKUP(all_lmics1819[[Setting]:[Setting]],all_cause_mort[],18,FALSE))*0.95</f>
        <v>2.1413434150000001E-2</v>
      </c>
      <c r="AE41">
        <f>IF(VLOOKUP(all_lmics1819[[Setting]:[Setting]],all_cause_mort[],19,FALSE)="",VLOOKUP(all_lmics1819[[who_choice_region]:[who_choice_region]],missing[],23,FALSE),VLOOKUP(all_lmics1819[[Setting]:[Setting]],all_cause_mort[],19,FALSE))*0.95</f>
        <v>2.9507170999999999E-2</v>
      </c>
      <c r="AF41">
        <f>IF(VLOOKUP(all_lmics1819[[Setting]:[Setting]],all_cause_mort[],20,FALSE)="",VLOOKUP(all_lmics1819[[who_choice_region]:[who_choice_region]],missing[],24,FALSE),VLOOKUP(all_lmics1819[[Setting]:[Setting]],all_cause_mort[],20,FALSE))*0.95</f>
        <v>4.2425775449999995E-2</v>
      </c>
      <c r="AG41">
        <f>IF(VLOOKUP(all_lmics1819[[Setting]:[Setting]],all_cause_mort[],21,FALSE)="",VLOOKUP(all_lmics1819[[who_choice_region]:[who_choice_region]],missing[],25,FALSE),VLOOKUP(all_lmics1819[[Setting]:[Setting]],all_cause_mort[],21,FALSE))*0.95</f>
        <v>7.1521605000000002E-2</v>
      </c>
      <c r="AH41">
        <f>IF(VLOOKUP(all_lmics1819[[Setting]:[Setting]],all_cause_mort[],22,FALSE)="",VLOOKUP(all_lmics1819[[who_choice_region]:[who_choice_region]],missing[],26,FALSE),VLOOKUP(all_lmics1819[[Setting]:[Setting]],all_cause_mort[],22,FALSE))*0.95</f>
        <v>9.0565522549999999E-2</v>
      </c>
      <c r="AI41">
        <f>IF(VLOOKUP(all_lmics1819[[Setting]:[Setting]],all_cause_mort[],23,FALSE)="",VLOOKUP(all_lmics1819[[who_choice_region]:[who_choice_region]],missing[],27,FALSE),VLOOKUP(all_lmics1819[[Setting]:[Setting]],all_cause_mort[],23,FALSE))*0.95</f>
        <v>0.13275557449999997</v>
      </c>
      <c r="AJ41">
        <f>IF(VLOOKUP(all_lmics1819[[Setting]:[Setting]],all_cause_mort[],24,FALSE)="",VLOOKUP(all_lmics1819[[who_choice_region]:[who_choice_region]],missing[],28,FALSE),VLOOKUP(all_lmics1819[[Setting]:[Setting]],all_cause_mort[],24,FALSE))*0.95</f>
        <v>0.19319827000000001</v>
      </c>
      <c r="AK41">
        <f>IF(VLOOKUP(all_lmics1819[[Setting]:[Setting]],all_cause_mort[],25,FALSE)="",VLOOKUP(all_lmics1819[[who_choice_region]:[who_choice_region]],missing[],29,FALSE),VLOOKUP(all_lmics1819[[Setting]:[Setting]],all_cause_mort[],25,FALSE))*0.95</f>
        <v>0.29128443250280517</v>
      </c>
      <c r="AL41">
        <f>VLOOKUP(all_lmics1819[[worldbank_region]:[worldbank_region]],Table13[],2,FALSE)*0.95</f>
        <v>42.29888489999999</v>
      </c>
      <c r="AM41">
        <f>VLOOKUP(all_lmics1819[[worldbank_region]:[worldbank_region]],Table13[],3,FALSE)*0.95</f>
        <v>42.29888489999999</v>
      </c>
      <c r="AN41">
        <f>VLOOKUP(all_lmics1819[[worldbank_region]:[worldbank_region]],Table13[],4,FALSE)*0.95</f>
        <v>87.641301899999988</v>
      </c>
      <c r="AO41">
        <f>VLOOKUP(all_lmics1819[[worldbank_region]:[worldbank_region]],Table13[],5,FALSE)*0.95</f>
        <v>87.641301899999988</v>
      </c>
      <c r="AP41">
        <f>VLOOKUP(all_lmics1819[[worldbank_region]:[worldbank_region]],Table13[],6,FALSE)*0.95</f>
        <v>87.641301899999988</v>
      </c>
      <c r="AQ41">
        <f>VLOOKUP(all_lmics1819[[worldbank_region]:[worldbank_region]],Table14[],2,FALSE)*0.95</f>
        <v>6.0973773999999992</v>
      </c>
      <c r="AR41">
        <f>VLOOKUP(all_lmics1819[[worldbank_region]:[worldbank_region]],Table14[],3,FALSE)*0.95</f>
        <v>6.6840023999999998</v>
      </c>
      <c r="AS41">
        <f>VLOOKUP(all_lmics1819[[worldbank_region]:[worldbank_region]],Table14[],4,FALSE)*0.95</f>
        <v>9.9587293499999969</v>
      </c>
      <c r="AT41">
        <f>VLOOKUP(all_lmics1819[[worldbank_region]:[worldbank_region]],Table14[],5,FALSE)*0.95</f>
        <v>10.545354349999998</v>
      </c>
      <c r="AU41">
        <f>VLOOKUP(all_lmics1819[[worldbank_region]:[worldbank_region]],Table14[],6,FALSE)*0.95</f>
        <v>11.087093749999999</v>
      </c>
      <c r="AV41">
        <f>IFERROR(VLOOKUP(all_lmics1819[[Setting]:[Setting]],nFacSBA[],4,FALSE),VLOOKUP(all_lmics1819[[who_choice_region]:[who_choice_region]],missing[],30,FALSE))*0.95</f>
        <v>0.36490142620062399</v>
      </c>
      <c r="AW41">
        <f>VLOOKUP(all_lmics1819[[worldbank_region]:[worldbank_region]],hbe[],3)</f>
        <v>0.2</v>
      </c>
      <c r="AX41">
        <f>VLOOKUP(all_lmics1819[[worldbank_region]:[worldbank_region]],hbe[],6)</f>
        <v>0.75</v>
      </c>
      <c r="AY41">
        <f>VLOOKUP(all_lmics1819[[worldbank_region]:[worldbank_region]],hbe[],9)</f>
        <v>0.05</v>
      </c>
    </row>
    <row r="42" spans="1:51" x14ac:dyDescent="0.35">
      <c r="A42" s="8" t="s">
        <v>133</v>
      </c>
      <c r="B42" s="10" t="s">
        <v>57</v>
      </c>
      <c r="C42" s="11" t="s">
        <v>58</v>
      </c>
      <c r="D42">
        <f>VLOOKUP(all_lmics1819[[Setting]:[Setting]],populations[],9,FALSE)</f>
        <v>31624264</v>
      </c>
      <c r="E42">
        <f>VLOOKUP(all_lmics1819[[Setting]:[Setting]],birthrate[],3,FALSE)</f>
        <v>1.7052000000000001E-2</v>
      </c>
      <c r="F42">
        <f>all_lmics1819[[#This Row],[2017_population]]*all_lmics1819[[#This Row],[2016_birthrate]]</f>
        <v>539256.94972800009</v>
      </c>
      <c r="G42">
        <f>VLOOKUP(all_lmics1819[[Setting]:[Setting]],birthdose[],4,FALSE)*0.95</f>
        <v>0.85499999999999998</v>
      </c>
      <c r="H42">
        <f>VLOOKUP(all_lmics1819[[Setting]:[Setting]],fullvax[],4,FALSE)*0.95</f>
        <v>0.93099999999999994</v>
      </c>
      <c r="I42">
        <f>IFERROR(VLOOKUP(all_lmics1819[[Setting]:[Setting]],prev[],3,FALSE),VLOOKUP(all_lmics1819[[who_choice_region]:[who_choice_region]],missing[],2,FALSE))</f>
        <v>8.9999999999999993E-3</v>
      </c>
      <c r="J42">
        <f>IFERROR(VLOOKUP(all_lmics1819[[Setting]:[Setting]],prev[],4,FALSE),VLOOKUP(all_lmics1819[[who_choice_region]:[who_choice_region]],missing[],3,FALSE))</f>
        <v>5.0000000000000001E-3</v>
      </c>
      <c r="K42">
        <f>IFERROR(VLOOKUP(all_lmics1819[[Setting]:[Setting]],prev[],5,FALSE),VLOOKUP(all_lmics1819[[who_choice_region]:[who_choice_region]],missing[],4,FALSE))</f>
        <v>0.01</v>
      </c>
      <c r="L42">
        <f>IFERROR(VLOOKUP(all_lmics1819[[Setting]:[Setting]],prev[],7,FALSE),VLOOKUP(all_lmics1819[[who_choice_region]:[who_choice_region]],missing[],5,FALSE))</f>
        <v>5.1020408163265354E-4</v>
      </c>
      <c r="M42">
        <f>IFERROR(VLOOKUP(all_lmics1819[[Setting]:[Setting]],prev[],6,FALSE),0)</f>
        <v>31624264</v>
      </c>
      <c r="N42">
        <f>IFERROR(VLOOKUP(all_lmics1819[[Setting]:[Setting]],SBA[],4,FALSE),VLOOKUP(all_lmics1819[[who_choice_region]:[who_choice_region]],missing[],6,FALSE))*0.95</f>
        <v>0.94430000000000003</v>
      </c>
      <c r="O42">
        <f>IFERROR(VLOOKUP(all_lmics1819[[Setting]:[Setting]], facility[], 3,FALSE),VLOOKUP(all_lmics1819[[who_choice_region]:[who_choice_region]],missing[],7,FALSE))*0.95</f>
        <v>0.93955000000000011</v>
      </c>
      <c r="P42">
        <f>IF(VLOOKUP(all_lmics1819[[Setting]:[Setting]],all_cause_mort[],4,FALSE)="",VLOOKUP(all_lmics1819[[who_choice_region]:[who_choice_region]],missing[],8,FALSE),VLOOKUP(all_lmics1819[[Setting]:[Setting]],all_cause_mort[],4,FALSE))*0.95</f>
        <v>5.6341919799999998E-3</v>
      </c>
      <c r="Q42">
        <f>IF(VLOOKUP(all_lmics1819[[Setting]:[Setting]],all_cause_mort[],5,FALSE)="",VLOOKUP(all_lmics1819[[who_choice_region]:[who_choice_region]],missing[],9,FALSE),VLOOKUP(all_lmics1819[[Setting]:[Setting]],all_cause_mort[],5,FALSE))*0.95</f>
        <v>2.5580936900000001E-4</v>
      </c>
      <c r="R42">
        <f>IF(VLOOKUP(all_lmics1819[[Setting]:[Setting]],all_cause_mort[],6,FALSE)="",VLOOKUP(all_lmics1819[[who_choice_region]:[who_choice_region]],missing[],10,FALSE),VLOOKUP(all_lmics1819[[Setting]:[Setting]],all_cause_mort[],6,FALSE))*0.95</f>
        <v>1.6538015150000001E-4</v>
      </c>
      <c r="S42">
        <f>IF(VLOOKUP(all_lmics1819[[Setting]:[Setting]],all_cause_mort[],7,FALSE)="",VLOOKUP(all_lmics1819[[who_choice_region]:[who_choice_region]],missing[],11,FALSE),VLOOKUP(all_lmics1819[[Setting]:[Setting]],all_cause_mort[],7,FALSE))*0.95</f>
        <v>2.2958672799999998E-4</v>
      </c>
      <c r="T42">
        <f>IF(VLOOKUP(all_lmics1819[[Setting]:[Setting]],all_cause_mort[],8,FALSE)="",VLOOKUP(all_lmics1819[[who_choice_region]:[who_choice_region]],missing[],12,FALSE),VLOOKUP(all_lmics1819[[Setting]:[Setting]],all_cause_mort[],8,FALSE))*0.95</f>
        <v>5.3709191449999999E-4</v>
      </c>
      <c r="U42">
        <f>IF(VLOOKUP(all_lmics1819[[Setting]:[Setting]],all_cause_mort[],9,FALSE)="",VLOOKUP(all_lmics1819[[who_choice_region]:[who_choice_region]],missing[],13,FALSE),VLOOKUP(all_lmics1819[[Setting]:[Setting]],all_cause_mort[],9,FALSE))*0.95</f>
        <v>5.6325561750000005E-4</v>
      </c>
      <c r="V42">
        <f>IF(VLOOKUP(all_lmics1819[[Setting]:[Setting]],all_cause_mort[],10,FALSE)="",VLOOKUP(all_lmics1819[[who_choice_region]:[who_choice_region]],missing[],14,FALSE),VLOOKUP(all_lmics1819[[Setting]:[Setting]],all_cause_mort[],10,FALSE))*0.95</f>
        <v>5.9218030549999996E-4</v>
      </c>
      <c r="W42">
        <f>IF(VLOOKUP(all_lmics1819[[Setting]:[Setting]],all_cause_mort[],11,FALSE)="",VLOOKUP(all_lmics1819[[who_choice_region]:[who_choice_region]],missing[],15,FALSE),VLOOKUP(all_lmics1819[[Setting]:[Setting]],all_cause_mort[],11,FALSE))*0.95</f>
        <v>1.0249788449999998E-3</v>
      </c>
      <c r="X42">
        <f>IF(VLOOKUP(all_lmics1819[[Setting]:[Setting]],all_cause_mort[],12,FALSE)="",VLOOKUP(all_lmics1819[[who_choice_region]:[who_choice_region]],missing[],16,FALSE),VLOOKUP(all_lmics1819[[Setting]:[Setting]],all_cause_mort[],12,FALSE))*0.95</f>
        <v>1.5279459899999999E-3</v>
      </c>
      <c r="Y42">
        <f>IF(VLOOKUP(all_lmics1819[[Setting]:[Setting]],all_cause_mort[],13,FALSE)="",VLOOKUP(all_lmics1819[[who_choice_region]:[who_choice_region]],missing[],17,FALSE),VLOOKUP(all_lmics1819[[Setting]:[Setting]],all_cause_mort[],13,FALSE))*0.95</f>
        <v>2.2737737950000001E-3</v>
      </c>
      <c r="Z42">
        <f>IF(VLOOKUP(all_lmics1819[[Setting]:[Setting]],all_cause_mort[],14,FALSE)="",VLOOKUP(all_lmics1819[[who_choice_region]:[who_choice_region]],missing[],18,FALSE),VLOOKUP(all_lmics1819[[Setting]:[Setting]],all_cause_mort[],14,FALSE))*0.95</f>
        <v>3.9871548449999994E-3</v>
      </c>
      <c r="AA42">
        <f>IF(VLOOKUP(all_lmics1819[[Setting]:[Setting]],all_cause_mort[],15,FALSE)="",VLOOKUP(all_lmics1819[[who_choice_region]:[who_choice_region]],missing[],19,FALSE),VLOOKUP(all_lmics1819[[Setting]:[Setting]],all_cause_mort[],15,FALSE))*0.95</f>
        <v>6.0759884349999996E-3</v>
      </c>
      <c r="AB42">
        <f>IF(VLOOKUP(all_lmics1819[[Setting]:[Setting]],all_cause_mort[],16,FALSE)="",VLOOKUP(all_lmics1819[[who_choice_region]:[who_choice_region]],missing[],20,FALSE),VLOOKUP(all_lmics1819[[Setting]:[Setting]],all_cause_mort[],16,FALSE))*0.95</f>
        <v>8.9057526749999998E-3</v>
      </c>
      <c r="AC42">
        <f>IF(VLOOKUP(all_lmics1819[[Setting]:[Setting]],all_cause_mort[],17,FALSE)="",VLOOKUP(all_lmics1819[[who_choice_region]:[who_choice_region]],missing[],21,FALSE),VLOOKUP(all_lmics1819[[Setting]:[Setting]],all_cause_mort[],17,FALSE))*0.95</f>
        <v>1.236329525E-2</v>
      </c>
      <c r="AD42">
        <f>IF(VLOOKUP(all_lmics1819[[Setting]:[Setting]],all_cause_mort[],18,FALSE)="",VLOOKUP(all_lmics1819[[who_choice_region]:[who_choice_region]],missing[],22,FALSE),VLOOKUP(all_lmics1819[[Setting]:[Setting]],all_cause_mort[],18,FALSE))*0.95</f>
        <v>2.0216132049999998E-2</v>
      </c>
      <c r="AE42">
        <f>IF(VLOOKUP(all_lmics1819[[Setting]:[Setting]],all_cause_mort[],19,FALSE)="",VLOOKUP(all_lmics1819[[who_choice_region]:[who_choice_region]],missing[],23,FALSE),VLOOKUP(all_lmics1819[[Setting]:[Setting]],all_cause_mort[],19,FALSE))*0.95</f>
        <v>3.5225042399999996E-2</v>
      </c>
      <c r="AF42">
        <f>IF(VLOOKUP(all_lmics1819[[Setting]:[Setting]],all_cause_mort[],20,FALSE)="",VLOOKUP(all_lmics1819[[who_choice_region]:[who_choice_region]],missing[],24,FALSE),VLOOKUP(all_lmics1819[[Setting]:[Setting]],all_cause_mort[],20,FALSE))*0.95</f>
        <v>5.2109275549999994E-2</v>
      </c>
      <c r="AG42">
        <f>IF(VLOOKUP(all_lmics1819[[Setting]:[Setting]],all_cause_mort[],21,FALSE)="",VLOOKUP(all_lmics1819[[who_choice_region]:[who_choice_region]],missing[],25,FALSE),VLOOKUP(all_lmics1819[[Setting]:[Setting]],all_cause_mort[],21,FALSE))*0.95</f>
        <v>8.1090281449999996E-2</v>
      </c>
      <c r="AH42">
        <f>IF(VLOOKUP(all_lmics1819[[Setting]:[Setting]],all_cause_mort[],22,FALSE)="",VLOOKUP(all_lmics1819[[who_choice_region]:[who_choice_region]],missing[],26,FALSE),VLOOKUP(all_lmics1819[[Setting]:[Setting]],all_cause_mort[],22,FALSE))*0.95</f>
        <v>0.1217761205</v>
      </c>
      <c r="AI42">
        <f>IF(VLOOKUP(all_lmics1819[[Setting]:[Setting]],all_cause_mort[],23,FALSE)="",VLOOKUP(all_lmics1819[[who_choice_region]:[who_choice_region]],missing[],27,FALSE),VLOOKUP(all_lmics1819[[Setting]:[Setting]],all_cause_mort[],23,FALSE))*0.95</f>
        <v>0.17299423049999998</v>
      </c>
      <c r="AJ42">
        <f>IF(VLOOKUP(all_lmics1819[[Setting]:[Setting]],all_cause_mort[],24,FALSE)="",VLOOKUP(all_lmics1819[[who_choice_region]:[who_choice_region]],missing[],28,FALSE),VLOOKUP(all_lmics1819[[Setting]:[Setting]],all_cause_mort[],24,FALSE))*0.95</f>
        <v>0.22504285900000001</v>
      </c>
      <c r="AK42">
        <f>IF(VLOOKUP(all_lmics1819[[Setting]:[Setting]],all_cause_mort[],25,FALSE)="",VLOOKUP(all_lmics1819[[who_choice_region]:[who_choice_region]],missing[],29,FALSE),VLOOKUP(all_lmics1819[[Setting]:[Setting]],all_cause_mort[],25,FALSE))*0.95</f>
        <v>0.29162386574815991</v>
      </c>
      <c r="AL42">
        <f>VLOOKUP(all_lmics1819[[worldbank_region]:[worldbank_region]],Table13[],2,FALSE)*0.95</f>
        <v>69.411165749999981</v>
      </c>
      <c r="AM42">
        <f>VLOOKUP(all_lmics1819[[worldbank_region]:[worldbank_region]],Table13[],3,FALSE)*0.95</f>
        <v>69.411165749999981</v>
      </c>
      <c r="AN42">
        <f>VLOOKUP(all_lmics1819[[worldbank_region]:[worldbank_region]],Table13[],4,FALSE)*0.95</f>
        <v>114.75358274999998</v>
      </c>
      <c r="AO42">
        <f>VLOOKUP(all_lmics1819[[worldbank_region]:[worldbank_region]],Table13[],5,FALSE)*0.95</f>
        <v>114.75358274999998</v>
      </c>
      <c r="AP42">
        <f>VLOOKUP(all_lmics1819[[worldbank_region]:[worldbank_region]],Table13[],6,FALSE)*0.95</f>
        <v>114.75358274999998</v>
      </c>
      <c r="AQ42">
        <f>VLOOKUP(all_lmics1819[[worldbank_region]:[worldbank_region]],Table14[],2,FALSE)*0.95</f>
        <v>1.2732755</v>
      </c>
      <c r="AR42">
        <f>VLOOKUP(all_lmics1819[[worldbank_region]:[worldbank_region]],Table14[],3,FALSE)*0.95</f>
        <v>1.8599005</v>
      </c>
      <c r="AS42">
        <f>VLOOKUP(all_lmics1819[[worldbank_region]:[worldbank_region]],Table14[],4,FALSE)*0.95</f>
        <v>1.8737001999999996</v>
      </c>
      <c r="AT42">
        <f>VLOOKUP(all_lmics1819[[worldbank_region]:[worldbank_region]],Table14[],5,FALSE)*0.95</f>
        <v>2.4603251999999998</v>
      </c>
      <c r="AU42">
        <f>VLOOKUP(all_lmics1819[[worldbank_region]:[worldbank_region]],Table14[],6,FALSE)*0.95</f>
        <v>3.0020645999999997</v>
      </c>
      <c r="AV42">
        <f>IFERROR(VLOOKUP(all_lmics1819[[Setting]:[Setting]],nFacSBA[],4,FALSE),VLOOKUP(all_lmics1819[[who_choice_region]:[who_choice_region]],missing[],30,FALSE))*0.95</f>
        <v>0.1518638670270247</v>
      </c>
      <c r="AW42">
        <f>VLOOKUP(all_lmics1819[[worldbank_region]:[worldbank_region]],hbe[],3)</f>
        <v>0.2</v>
      </c>
      <c r="AX42">
        <f>VLOOKUP(all_lmics1819[[worldbank_region]:[worldbank_region]],hbe[],6)</f>
        <v>0.75</v>
      </c>
      <c r="AY42">
        <f>VLOOKUP(all_lmics1819[[worldbank_region]:[worldbank_region]],hbe[],9)</f>
        <v>0.05</v>
      </c>
    </row>
    <row r="43" spans="1:51" x14ac:dyDescent="0.35">
      <c r="A43" s="12" t="s">
        <v>134</v>
      </c>
      <c r="B43" s="13" t="s">
        <v>36</v>
      </c>
      <c r="C43" s="14" t="s">
        <v>37</v>
      </c>
      <c r="D43">
        <f>VLOOKUP(all_lmics1819[[Setting]:[Setting]],populations[],9,FALSE)</f>
        <v>436330</v>
      </c>
      <c r="E43">
        <f>VLOOKUP(all_lmics1819[[Setting]:[Setting]],birthrate[],3,FALSE)</f>
        <v>1.8269999999999998E-2</v>
      </c>
      <c r="F43">
        <f>all_lmics1819[[#This Row],[2017_population]]*all_lmics1819[[#This Row],[2016_birthrate]]</f>
        <v>7971.7490999999991</v>
      </c>
      <c r="G43">
        <f>VLOOKUP(all_lmics1819[[Setting]:[Setting]],birthdose[],4,FALSE)*0.95</f>
        <v>0.9405</v>
      </c>
      <c r="H43">
        <f>VLOOKUP(all_lmics1819[[Setting]:[Setting]],fullvax[],4,FALSE)*0.95</f>
        <v>0.9405</v>
      </c>
      <c r="I43">
        <f>IFERROR(VLOOKUP(all_lmics1819[[Setting]:[Setting]],prev[],3,FALSE),VLOOKUP(all_lmics1819[[who_choice_region]:[who_choice_region]],missing[],2,FALSE))</f>
        <v>2.9042976123168401E-2</v>
      </c>
      <c r="J43">
        <f>IFERROR(VLOOKUP(all_lmics1819[[Setting]:[Setting]],prev[],4,FALSE),VLOOKUP(all_lmics1819[[who_choice_region]:[who_choice_region]],missing[],3,FALSE))</f>
        <v>2.3703460291678725E-2</v>
      </c>
      <c r="K43">
        <f>IFERROR(VLOOKUP(all_lmics1819[[Setting]:[Setting]],prev[],5,FALSE),VLOOKUP(all_lmics1819[[who_choice_region]:[who_choice_region]],missing[],4,FALSE))</f>
        <v>3.2561757047722864E-2</v>
      </c>
      <c r="L43">
        <f>IFERROR(VLOOKUP(all_lmics1819[[Setting]:[Setting]],prev[],7,FALSE),VLOOKUP(all_lmics1819[[who_choice_region]:[who_choice_region]],missing[],5,FALSE))</f>
        <v>1.7952963900788081E-3</v>
      </c>
      <c r="M43">
        <f>IFERROR(VLOOKUP(all_lmics1819[[Setting]:[Setting]],prev[],6,FALSE),0)</f>
        <v>0</v>
      </c>
      <c r="N43">
        <f>IFERROR(VLOOKUP(all_lmics1819[[Setting]:[Setting]],SBA[],4,FALSE),VLOOKUP(all_lmics1819[[who_choice_region]:[who_choice_region]],missing[],6,FALSE))*0.95</f>
        <v>0.9081999999999999</v>
      </c>
      <c r="O43">
        <f>IFERROR(VLOOKUP(all_lmics1819[[Setting]:[Setting]], facility[], 3,FALSE),VLOOKUP(all_lmics1819[[who_choice_region]:[who_choice_region]],missing[],7,FALSE))*0.95</f>
        <v>0.90344999999999986</v>
      </c>
      <c r="P43">
        <f>IF(VLOOKUP(all_lmics1819[[Setting]:[Setting]],all_cause_mort[],4,FALSE)="",VLOOKUP(all_lmics1819[[who_choice_region]:[who_choice_region]],missing[],8,FALSE),VLOOKUP(all_lmics1819[[Setting]:[Setting]],all_cause_mort[],4,FALSE))*0.95</f>
        <v>6.4675377749999997E-3</v>
      </c>
      <c r="Q43">
        <f>IF(VLOOKUP(all_lmics1819[[Setting]:[Setting]],all_cause_mort[],5,FALSE)="",VLOOKUP(all_lmics1819[[who_choice_region]:[who_choice_region]],missing[],9,FALSE),VLOOKUP(all_lmics1819[[Setting]:[Setting]],all_cause_mort[],5,FALSE))*0.95</f>
        <v>2.7686553E-4</v>
      </c>
      <c r="R43">
        <f>IF(VLOOKUP(all_lmics1819[[Setting]:[Setting]],all_cause_mort[],6,FALSE)="",VLOOKUP(all_lmics1819[[who_choice_region]:[who_choice_region]],missing[],10,FALSE),VLOOKUP(all_lmics1819[[Setting]:[Setting]],all_cause_mort[],6,FALSE))*0.95</f>
        <v>2.4012510649999998E-4</v>
      </c>
      <c r="S43">
        <f>IF(VLOOKUP(all_lmics1819[[Setting]:[Setting]],all_cause_mort[],7,FALSE)="",VLOOKUP(all_lmics1819[[who_choice_region]:[who_choice_region]],missing[],11,FALSE),VLOOKUP(all_lmics1819[[Setting]:[Setting]],all_cause_mort[],7,FALSE))*0.95</f>
        <v>3.2248149950000001E-4</v>
      </c>
      <c r="T43">
        <f>IF(VLOOKUP(all_lmics1819[[Setting]:[Setting]],all_cause_mort[],8,FALSE)="",VLOOKUP(all_lmics1819[[who_choice_region]:[who_choice_region]],missing[],12,FALSE),VLOOKUP(all_lmics1819[[Setting]:[Setting]],all_cause_mort[],8,FALSE))*0.95</f>
        <v>3.2931198999999999E-4</v>
      </c>
      <c r="U43">
        <f>IF(VLOOKUP(all_lmics1819[[Setting]:[Setting]],all_cause_mort[],9,FALSE)="",VLOOKUP(all_lmics1819[[who_choice_region]:[who_choice_region]],missing[],13,FALSE),VLOOKUP(all_lmics1819[[Setting]:[Setting]],all_cause_mort[],9,FALSE))*0.95</f>
        <v>4.8206969099999996E-4</v>
      </c>
      <c r="V43">
        <f>IF(VLOOKUP(all_lmics1819[[Setting]:[Setting]],all_cause_mort[],10,FALSE)="",VLOOKUP(all_lmics1819[[who_choice_region]:[who_choice_region]],missing[],14,FALSE),VLOOKUP(all_lmics1819[[Setting]:[Setting]],all_cause_mort[],10,FALSE))*0.95</f>
        <v>4.4759233849999997E-4</v>
      </c>
      <c r="W43">
        <f>IF(VLOOKUP(all_lmics1819[[Setting]:[Setting]],all_cause_mort[],11,FALSE)="",VLOOKUP(all_lmics1819[[who_choice_region]:[who_choice_region]],missing[],15,FALSE),VLOOKUP(all_lmics1819[[Setting]:[Setting]],all_cause_mort[],11,FALSE))*0.95</f>
        <v>5.0047982650000002E-4</v>
      </c>
      <c r="X43">
        <f>IF(VLOOKUP(all_lmics1819[[Setting]:[Setting]],all_cause_mort[],12,FALSE)="",VLOOKUP(all_lmics1819[[who_choice_region]:[who_choice_region]],missing[],16,FALSE),VLOOKUP(all_lmics1819[[Setting]:[Setting]],all_cause_mort[],12,FALSE))*0.95</f>
        <v>5.5746487350000001E-4</v>
      </c>
      <c r="Y43">
        <f>IF(VLOOKUP(all_lmics1819[[Setting]:[Setting]],all_cause_mort[],13,FALSE)="",VLOOKUP(all_lmics1819[[who_choice_region]:[who_choice_region]],missing[],17,FALSE),VLOOKUP(all_lmics1819[[Setting]:[Setting]],all_cause_mort[],13,FALSE))*0.95</f>
        <v>8.891794705E-4</v>
      </c>
      <c r="Z43">
        <f>IF(VLOOKUP(all_lmics1819[[Setting]:[Setting]],all_cause_mort[],14,FALSE)="",VLOOKUP(all_lmics1819[[who_choice_region]:[who_choice_region]],missing[],18,FALSE),VLOOKUP(all_lmics1819[[Setting]:[Setting]],all_cause_mort[],14,FALSE))*0.95</f>
        <v>1.5688471E-3</v>
      </c>
      <c r="AA43">
        <f>IF(VLOOKUP(all_lmics1819[[Setting]:[Setting]],all_cause_mort[],15,FALSE)="",VLOOKUP(all_lmics1819[[who_choice_region]:[who_choice_region]],missing[],19,FALSE),VLOOKUP(all_lmics1819[[Setting]:[Setting]],all_cause_mort[],15,FALSE))*0.95</f>
        <v>2.2848982949999997E-3</v>
      </c>
      <c r="AB43">
        <f>IF(VLOOKUP(all_lmics1819[[Setting]:[Setting]],all_cause_mort[],16,FALSE)="",VLOOKUP(all_lmics1819[[who_choice_region]:[who_choice_region]],missing[],20,FALSE),VLOOKUP(all_lmics1819[[Setting]:[Setting]],all_cause_mort[],16,FALSE))*0.95</f>
        <v>4.4216063750000005E-3</v>
      </c>
      <c r="AC43">
        <f>IF(VLOOKUP(all_lmics1819[[Setting]:[Setting]],all_cause_mort[],17,FALSE)="",VLOOKUP(all_lmics1819[[who_choice_region]:[who_choice_region]],missing[],21,FALSE),VLOOKUP(all_lmics1819[[Setting]:[Setting]],all_cause_mort[],17,FALSE))*0.95</f>
        <v>8.3315669749999995E-3</v>
      </c>
      <c r="AD43">
        <f>IF(VLOOKUP(all_lmics1819[[Setting]:[Setting]],all_cause_mort[],18,FALSE)="",VLOOKUP(all_lmics1819[[who_choice_region]:[who_choice_region]],missing[],22,FALSE),VLOOKUP(all_lmics1819[[Setting]:[Setting]],all_cause_mort[],18,FALSE))*0.95</f>
        <v>1.5882302349999999E-2</v>
      </c>
      <c r="AE43">
        <f>IF(VLOOKUP(all_lmics1819[[Setting]:[Setting]],all_cause_mort[],19,FALSE)="",VLOOKUP(all_lmics1819[[who_choice_region]:[who_choice_region]],missing[],23,FALSE),VLOOKUP(all_lmics1819[[Setting]:[Setting]],all_cause_mort[],19,FALSE))*0.95</f>
        <v>3.0292714599999996E-2</v>
      </c>
      <c r="AF43">
        <f>IF(VLOOKUP(all_lmics1819[[Setting]:[Setting]],all_cause_mort[],20,FALSE)="",VLOOKUP(all_lmics1819[[who_choice_region]:[who_choice_region]],missing[],24,FALSE),VLOOKUP(all_lmics1819[[Setting]:[Setting]],all_cause_mort[],20,FALSE))*0.95</f>
        <v>5.7975030599999998E-2</v>
      </c>
      <c r="AG43">
        <f>IF(VLOOKUP(all_lmics1819[[Setting]:[Setting]],all_cause_mort[],21,FALSE)="",VLOOKUP(all_lmics1819[[who_choice_region]:[who_choice_region]],missing[],25,FALSE),VLOOKUP(all_lmics1819[[Setting]:[Setting]],all_cause_mort[],21,FALSE))*0.95</f>
        <v>8.4264733049999999E-2</v>
      </c>
      <c r="AH43">
        <f>IF(VLOOKUP(all_lmics1819[[Setting]:[Setting]],all_cause_mort[],22,FALSE)="",VLOOKUP(all_lmics1819[[who_choice_region]:[who_choice_region]],missing[],26,FALSE),VLOOKUP(all_lmics1819[[Setting]:[Setting]],all_cause_mort[],22,FALSE))*0.95</f>
        <v>0.1256421455</v>
      </c>
      <c r="AI43">
        <f>IF(VLOOKUP(all_lmics1819[[Setting]:[Setting]],all_cause_mort[],23,FALSE)="",VLOOKUP(all_lmics1819[[who_choice_region]:[who_choice_region]],missing[],27,FALSE),VLOOKUP(all_lmics1819[[Setting]:[Setting]],all_cause_mort[],23,FALSE))*0.95</f>
        <v>0.1796421785</v>
      </c>
      <c r="AJ43">
        <f>IF(VLOOKUP(all_lmics1819[[Setting]:[Setting]],all_cause_mort[],24,FALSE)="",VLOOKUP(all_lmics1819[[who_choice_region]:[who_choice_region]],missing[],28,FALSE),VLOOKUP(all_lmics1819[[Setting]:[Setting]],all_cause_mort[],24,FALSE))*0.95</f>
        <v>0.24471002500000003</v>
      </c>
      <c r="AK43">
        <f>IF(VLOOKUP(all_lmics1819[[Setting]:[Setting]],all_cause_mort[],25,FALSE)="",VLOOKUP(all_lmics1819[[who_choice_region]:[who_choice_region]],missing[],29,FALSE),VLOOKUP(all_lmics1819[[Setting]:[Setting]],all_cause_mort[],25,FALSE))*0.95</f>
        <v>0.34224074309039387</v>
      </c>
      <c r="AL43">
        <f>VLOOKUP(all_lmics1819[[worldbank_region]:[worldbank_region]],Table13[],2,FALSE)*0.95</f>
        <v>54.493717599999997</v>
      </c>
      <c r="AM43">
        <f>VLOOKUP(all_lmics1819[[worldbank_region]:[worldbank_region]],Table13[],3,FALSE)*0.95</f>
        <v>54.493717599999997</v>
      </c>
      <c r="AN43">
        <f>VLOOKUP(all_lmics1819[[worldbank_region]:[worldbank_region]],Table13[],4,FALSE)*0.95</f>
        <v>99.836134599999994</v>
      </c>
      <c r="AO43">
        <f>VLOOKUP(all_lmics1819[[worldbank_region]:[worldbank_region]],Table13[],5,FALSE)*0.95</f>
        <v>99.836134599999994</v>
      </c>
      <c r="AP43">
        <f>VLOOKUP(all_lmics1819[[worldbank_region]:[worldbank_region]],Table13[],6,FALSE)*0.95</f>
        <v>99.836134599999994</v>
      </c>
      <c r="AQ43">
        <f>VLOOKUP(all_lmics1819[[worldbank_region]:[worldbank_region]],Table14[],2,FALSE)*0.95</f>
        <v>0.91095024999999996</v>
      </c>
      <c r="AR43">
        <f>VLOOKUP(all_lmics1819[[worldbank_region]:[worldbank_region]],Table14[],3,FALSE)*0.95</f>
        <v>1.4975752500000001</v>
      </c>
      <c r="AS43">
        <f>VLOOKUP(all_lmics1819[[worldbank_region]:[worldbank_region]],Table14[],4,FALSE)*0.95</f>
        <v>31.377327699999995</v>
      </c>
      <c r="AT43">
        <f>VLOOKUP(all_lmics1819[[worldbank_region]:[worldbank_region]],Table14[],5,FALSE)*0.95</f>
        <v>31.963952699999997</v>
      </c>
      <c r="AU43">
        <f>VLOOKUP(all_lmics1819[[worldbank_region]:[worldbank_region]],Table14[],6,FALSE)*0.95</f>
        <v>32.505692099999997</v>
      </c>
      <c r="AV43">
        <f>IFERROR(VLOOKUP(all_lmics1819[[Setting]:[Setting]],nFacSBA[],4,FALSE),VLOOKUP(all_lmics1819[[who_choice_region]:[who_choice_region]],missing[],30,FALSE))*0.95</f>
        <v>0.37624909560723518</v>
      </c>
      <c r="AW43">
        <f>VLOOKUP(all_lmics1819[[worldbank_region]:[worldbank_region]],hbe[],3)</f>
        <v>0.2</v>
      </c>
      <c r="AX43">
        <f>VLOOKUP(all_lmics1819[[worldbank_region]:[worldbank_region]],hbe[],6)</f>
        <v>0.75</v>
      </c>
      <c r="AY43">
        <f>VLOOKUP(all_lmics1819[[worldbank_region]:[worldbank_region]],hbe[],9)</f>
        <v>0.05</v>
      </c>
    </row>
    <row r="44" spans="1:51" x14ac:dyDescent="0.35">
      <c r="A44" s="8" t="s">
        <v>137</v>
      </c>
      <c r="B44" s="10" t="s">
        <v>57</v>
      </c>
      <c r="C44" s="11" t="s">
        <v>58</v>
      </c>
      <c r="D44">
        <f>VLOOKUP(all_lmics1819[[Setting]:[Setting]],populations[],9,FALSE)</f>
        <v>53127</v>
      </c>
      <c r="E44">
        <f>VLOOKUP(all_lmics1819[[Setting]:[Setting]],birthrate[],3,FALSE)</f>
        <v>2.4399999999999998E-2</v>
      </c>
      <c r="F44">
        <f>all_lmics1819[[#This Row],[2017_population]]*all_lmics1819[[#This Row],[2016_birthrate]]</f>
        <v>1296.2987999999998</v>
      </c>
      <c r="G44">
        <f>VLOOKUP(all_lmics1819[[Setting]:[Setting]],birthdose[],4,FALSE)*0.95</f>
        <v>0.92149999999999999</v>
      </c>
      <c r="H44">
        <f>VLOOKUP(all_lmics1819[[Setting]:[Setting]],fullvax[],4,FALSE)*0.95</f>
        <v>0.77899999999999991</v>
      </c>
      <c r="I44">
        <f>IFERROR(VLOOKUP(all_lmics1819[[Setting]:[Setting]],prev[],3,FALSE),VLOOKUP(all_lmics1819[[who_choice_region]:[who_choice_region]],missing[],2,FALSE))</f>
        <v>7.8E-2</v>
      </c>
      <c r="J44">
        <f>IFERROR(VLOOKUP(all_lmics1819[[Setting]:[Setting]],prev[],4,FALSE),VLOOKUP(all_lmics1819[[who_choice_region]:[who_choice_region]],missing[],3,FALSE))</f>
        <v>6.1400000000000003E-2</v>
      </c>
      <c r="K44">
        <f>IFERROR(VLOOKUP(all_lmics1819[[Setting]:[Setting]],prev[],5,FALSE),VLOOKUP(all_lmics1819[[who_choice_region]:[who_choice_region]],missing[],4,FALSE))</f>
        <v>9.8599999999999993E-2</v>
      </c>
      <c r="L44">
        <f>IFERROR(VLOOKUP(all_lmics1819[[Setting]:[Setting]],prev[],7,FALSE),VLOOKUP(all_lmics1819[[who_choice_region]:[who_choice_region]],missing[],5,FALSE))</f>
        <v>1.0510204081632649E-2</v>
      </c>
      <c r="M44">
        <f>IFERROR(VLOOKUP(all_lmics1819[[Setting]:[Setting]],prev[],6,FALSE),0)</f>
        <v>52425</v>
      </c>
      <c r="N44">
        <f>IFERROR(VLOOKUP(all_lmics1819[[Setting]:[Setting]],SBA[],4,FALSE),VLOOKUP(all_lmics1819[[who_choice_region]:[who_choice_region]],missing[],6,FALSE))*0.95</f>
        <v>0.85594999999999988</v>
      </c>
      <c r="O44">
        <f>IFERROR(VLOOKUP(all_lmics1819[[Setting]:[Setting]], facility[], 3,FALSE),VLOOKUP(all_lmics1819[[who_choice_region]:[who_choice_region]],missing[],7,FALSE))*0.95</f>
        <v>0.80844999999999989</v>
      </c>
      <c r="P44">
        <f>IF(VLOOKUP(all_lmics1819[[Setting]:[Setting]],all_cause_mort[],4,FALSE)="",VLOOKUP(all_lmics1819[[who_choice_region]:[who_choice_region]],missing[],8,FALSE),VLOOKUP(all_lmics1819[[Setting]:[Setting]],all_cause_mort[],4,FALSE))*0.95</f>
        <v>1.1562956025774548E-2</v>
      </c>
      <c r="Q44">
        <f>IF(VLOOKUP(all_lmics1819[[Setting]:[Setting]],all_cause_mort[],5,FALSE)="",VLOOKUP(all_lmics1819[[who_choice_region]:[who_choice_region]],missing[],9,FALSE),VLOOKUP(all_lmics1819[[Setting]:[Setting]],all_cause_mort[],5,FALSE))*0.95</f>
        <v>6.4950026431617822E-4</v>
      </c>
      <c r="R44">
        <f>IF(VLOOKUP(all_lmics1819[[Setting]:[Setting]],all_cause_mort[],6,FALSE)="",VLOOKUP(all_lmics1819[[who_choice_region]:[who_choice_region]],missing[],10,FALSE),VLOOKUP(all_lmics1819[[Setting]:[Setting]],all_cause_mort[],6,FALSE))*0.95</f>
        <v>3.6885009439081341E-4</v>
      </c>
      <c r="S44">
        <f>IF(VLOOKUP(all_lmics1819[[Setting]:[Setting]],all_cause_mort[],7,FALSE)="",VLOOKUP(all_lmics1819[[who_choice_region]:[who_choice_region]],missing[],11,FALSE),VLOOKUP(all_lmics1819[[Setting]:[Setting]],all_cause_mort[],7,FALSE))*0.95</f>
        <v>2.9138577745129086E-4</v>
      </c>
      <c r="T44">
        <f>IF(VLOOKUP(all_lmics1819[[Setting]:[Setting]],all_cause_mort[],8,FALSE)="",VLOOKUP(all_lmics1819[[who_choice_region]:[who_choice_region]],missing[],12,FALSE),VLOOKUP(all_lmics1819[[Setting]:[Setting]],all_cause_mort[],8,FALSE))*0.95</f>
        <v>4.6792122755951615E-4</v>
      </c>
      <c r="U44">
        <f>IF(VLOOKUP(all_lmics1819[[Setting]:[Setting]],all_cause_mort[],9,FALSE)="",VLOOKUP(all_lmics1819[[who_choice_region]:[who_choice_region]],missing[],13,FALSE),VLOOKUP(all_lmics1819[[Setting]:[Setting]],all_cause_mort[],9,FALSE))*0.95</f>
        <v>6.5185388771970328E-4</v>
      </c>
      <c r="V44">
        <f>IF(VLOOKUP(all_lmics1819[[Setting]:[Setting]],all_cause_mort[],10,FALSE)="",VLOOKUP(all_lmics1819[[who_choice_region]:[who_choice_region]],missing[],14,FALSE),VLOOKUP(all_lmics1819[[Setting]:[Setting]],all_cause_mort[],10,FALSE))*0.95</f>
        <v>8.1223228398628943E-4</v>
      </c>
      <c r="W44">
        <f>IF(VLOOKUP(all_lmics1819[[Setting]:[Setting]],all_cause_mort[],11,FALSE)="",VLOOKUP(all_lmics1819[[who_choice_region]:[who_choice_region]],missing[],15,FALSE),VLOOKUP(all_lmics1819[[Setting]:[Setting]],all_cause_mort[],11,FALSE))*0.95</f>
        <v>1.0114628984301877E-3</v>
      </c>
      <c r="X44">
        <f>IF(VLOOKUP(all_lmics1819[[Setting]:[Setting]],all_cause_mort[],12,FALSE)="",VLOOKUP(all_lmics1819[[who_choice_region]:[who_choice_region]],missing[],16,FALSE),VLOOKUP(all_lmics1819[[Setting]:[Setting]],all_cause_mort[],12,FALSE))*0.95</f>
        <v>1.3020875789148841E-3</v>
      </c>
      <c r="Y44">
        <f>IF(VLOOKUP(all_lmics1819[[Setting]:[Setting]],all_cause_mort[],13,FALSE)="",VLOOKUP(all_lmics1819[[who_choice_region]:[who_choice_region]],missing[],17,FALSE),VLOOKUP(all_lmics1819[[Setting]:[Setting]],all_cause_mort[],13,FALSE))*0.95</f>
        <v>1.8371769175086101E-3</v>
      </c>
      <c r="Z44">
        <f>IF(VLOOKUP(all_lmics1819[[Setting]:[Setting]],all_cause_mort[],14,FALSE)="",VLOOKUP(all_lmics1819[[who_choice_region]:[who_choice_region]],missing[],18,FALSE),VLOOKUP(all_lmics1819[[Setting]:[Setting]],all_cause_mort[],14,FALSE))*0.95</f>
        <v>2.7026750008059541E-3</v>
      </c>
      <c r="AA44">
        <f>IF(VLOOKUP(all_lmics1819[[Setting]:[Setting]],all_cause_mort[],15,FALSE)="",VLOOKUP(all_lmics1819[[who_choice_region]:[who_choice_region]],missing[],19,FALSE),VLOOKUP(all_lmics1819[[Setting]:[Setting]],all_cause_mort[],15,FALSE))*0.95</f>
        <v>4.3127395551441853E-3</v>
      </c>
      <c r="AB44">
        <f>IF(VLOOKUP(all_lmics1819[[Setting]:[Setting]],all_cause_mort[],16,FALSE)="",VLOOKUP(all_lmics1819[[who_choice_region]:[who_choice_region]],missing[],20,FALSE),VLOOKUP(all_lmics1819[[Setting]:[Setting]],all_cause_mort[],16,FALSE))*0.95</f>
        <v>6.927875547491278E-3</v>
      </c>
      <c r="AC44">
        <f>IF(VLOOKUP(all_lmics1819[[Setting]:[Setting]],all_cause_mort[],17,FALSE)="",VLOOKUP(all_lmics1819[[who_choice_region]:[who_choice_region]],missing[],21,FALSE),VLOOKUP(all_lmics1819[[Setting]:[Setting]],all_cause_mort[],17,FALSE))*0.95</f>
        <v>1.1808510615671607E-2</v>
      </c>
      <c r="AD44">
        <f>IF(VLOOKUP(all_lmics1819[[Setting]:[Setting]],all_cause_mort[],18,FALSE)="",VLOOKUP(all_lmics1819[[who_choice_region]:[who_choice_region]],missing[],22,FALSE),VLOOKUP(all_lmics1819[[Setting]:[Setting]],all_cause_mort[],18,FALSE))*0.95</f>
        <v>2.0163962388090179E-2</v>
      </c>
      <c r="AE44">
        <f>IF(VLOOKUP(all_lmics1819[[Setting]:[Setting]],all_cause_mort[],19,FALSE)="",VLOOKUP(all_lmics1819[[who_choice_region]:[who_choice_region]],missing[],23,FALSE),VLOOKUP(all_lmics1819[[Setting]:[Setting]],all_cause_mort[],19,FALSE))*0.95</f>
        <v>3.5245853683149968E-2</v>
      </c>
      <c r="AF44">
        <f>IF(VLOOKUP(all_lmics1819[[Setting]:[Setting]],all_cause_mort[],20,FALSE)="",VLOOKUP(all_lmics1819[[who_choice_region]:[who_choice_region]],missing[],24,FALSE),VLOOKUP(all_lmics1819[[Setting]:[Setting]],all_cause_mort[],20,FALSE))*0.95</f>
        <v>5.8430569807008163E-2</v>
      </c>
      <c r="AG44">
        <f>IF(VLOOKUP(all_lmics1819[[Setting]:[Setting]],all_cause_mort[],21,FALSE)="",VLOOKUP(all_lmics1819[[who_choice_region]:[who_choice_region]],missing[],25,FALSE),VLOOKUP(all_lmics1819[[Setting]:[Setting]],all_cause_mort[],21,FALSE))*0.95</f>
        <v>9.0126824158744276E-2</v>
      </c>
      <c r="AH44">
        <f>IF(VLOOKUP(all_lmics1819[[Setting]:[Setting]],all_cause_mort[],22,FALSE)="",VLOOKUP(all_lmics1819[[who_choice_region]:[who_choice_region]],missing[],26,FALSE),VLOOKUP(all_lmics1819[[Setting]:[Setting]],all_cause_mort[],22,FALSE))*0.95</f>
        <v>0.13958952278882106</v>
      </c>
      <c r="AI44">
        <f>IF(VLOOKUP(all_lmics1819[[Setting]:[Setting]],all_cause_mort[],23,FALSE)="",VLOOKUP(all_lmics1819[[who_choice_region]:[who_choice_region]],missing[],27,FALSE),VLOOKUP(all_lmics1819[[Setting]:[Setting]],all_cause_mort[],23,FALSE))*0.95</f>
        <v>0.20001538191489329</v>
      </c>
      <c r="AJ44">
        <f>IF(VLOOKUP(all_lmics1819[[Setting]:[Setting]],all_cause_mort[],24,FALSE)="",VLOOKUP(all_lmics1819[[who_choice_region]:[who_choice_region]],missing[],28,FALSE),VLOOKUP(all_lmics1819[[Setting]:[Setting]],all_cause_mort[],24,FALSE))*0.95</f>
        <v>0.27322656913337529</v>
      </c>
      <c r="AK44">
        <f>IF(VLOOKUP(all_lmics1819[[Setting]:[Setting]],all_cause_mort[],25,FALSE)="",VLOOKUP(all_lmics1819[[who_choice_region]:[who_choice_region]],missing[],29,FALSE),VLOOKUP(all_lmics1819[[Setting]:[Setting]],all_cause_mort[],25,FALSE))*0.95</f>
        <v>0.34399302026491624</v>
      </c>
      <c r="AL44">
        <f>VLOOKUP(all_lmics1819[[worldbank_region]:[worldbank_region]],Table13[],2,FALSE)*0.95</f>
        <v>69.411165749999981</v>
      </c>
      <c r="AM44">
        <f>VLOOKUP(all_lmics1819[[worldbank_region]:[worldbank_region]],Table13[],3,FALSE)*0.95</f>
        <v>69.411165749999981</v>
      </c>
      <c r="AN44">
        <f>VLOOKUP(all_lmics1819[[worldbank_region]:[worldbank_region]],Table13[],4,FALSE)*0.95</f>
        <v>114.75358274999998</v>
      </c>
      <c r="AO44">
        <f>VLOOKUP(all_lmics1819[[worldbank_region]:[worldbank_region]],Table13[],5,FALSE)*0.95</f>
        <v>114.75358274999998</v>
      </c>
      <c r="AP44">
        <f>VLOOKUP(all_lmics1819[[worldbank_region]:[worldbank_region]],Table13[],6,FALSE)*0.95</f>
        <v>114.75358274999998</v>
      </c>
      <c r="AQ44">
        <f>VLOOKUP(all_lmics1819[[worldbank_region]:[worldbank_region]],Table14[],2,FALSE)*0.95</f>
        <v>1.2732755</v>
      </c>
      <c r="AR44">
        <f>VLOOKUP(all_lmics1819[[worldbank_region]:[worldbank_region]],Table14[],3,FALSE)*0.95</f>
        <v>1.8599005</v>
      </c>
      <c r="AS44">
        <f>VLOOKUP(all_lmics1819[[worldbank_region]:[worldbank_region]],Table14[],4,FALSE)*0.95</f>
        <v>1.8737001999999996</v>
      </c>
      <c r="AT44">
        <f>VLOOKUP(all_lmics1819[[worldbank_region]:[worldbank_region]],Table14[],5,FALSE)*0.95</f>
        <v>2.4603251999999998</v>
      </c>
      <c r="AU44">
        <f>VLOOKUP(all_lmics1819[[worldbank_region]:[worldbank_region]],Table14[],6,FALSE)*0.95</f>
        <v>3.0020645999999997</v>
      </c>
      <c r="AV44">
        <f>IFERROR(VLOOKUP(all_lmics1819[[Setting]:[Setting]],nFacSBA[],4,FALSE),VLOOKUP(all_lmics1819[[who_choice_region]:[who_choice_region]],missing[],30,FALSE))*0.95</f>
        <v>0.1518638670270247</v>
      </c>
      <c r="AW44">
        <f>VLOOKUP(all_lmics1819[[worldbank_region]:[worldbank_region]],hbe[],3)</f>
        <v>0.2</v>
      </c>
      <c r="AX44">
        <f>VLOOKUP(all_lmics1819[[worldbank_region]:[worldbank_region]],hbe[],6)</f>
        <v>0.75</v>
      </c>
      <c r="AY44">
        <f>VLOOKUP(all_lmics1819[[worldbank_region]:[worldbank_region]],hbe[],9)</f>
        <v>0.05</v>
      </c>
    </row>
    <row r="45" spans="1:51" x14ac:dyDescent="0.35">
      <c r="A45" s="12" t="s">
        <v>138</v>
      </c>
      <c r="B45" s="13" t="s">
        <v>14</v>
      </c>
      <c r="C45" s="14" t="s">
        <v>15</v>
      </c>
      <c r="D45">
        <f>VLOOKUP(all_lmics1819[[Setting]:[Setting]],populations[],9,FALSE)</f>
        <v>4420184</v>
      </c>
      <c r="E45">
        <f>VLOOKUP(all_lmics1819[[Setting]:[Setting]],birthrate[],3,FALSE)</f>
        <v>3.4154999999999998E-2</v>
      </c>
      <c r="F45">
        <f>all_lmics1819[[#This Row],[2017_population]]*all_lmics1819[[#This Row],[2016_birthrate]]</f>
        <v>150971.38451999999</v>
      </c>
      <c r="G45">
        <f>VLOOKUP(all_lmics1819[[Setting]:[Setting]],birthdose[],4,FALSE)*0.95</f>
        <v>0.55099999999999993</v>
      </c>
      <c r="H45">
        <f>VLOOKUP(all_lmics1819[[Setting]:[Setting]],fullvax[],4,FALSE)*0.95</f>
        <v>0.76949999999999996</v>
      </c>
      <c r="I45">
        <f>IFERROR(VLOOKUP(all_lmics1819[[Setting]:[Setting]],prev[],3,FALSE),VLOOKUP(all_lmics1819[[who_choice_region]:[who_choice_region]],missing[],2,FALSE))</f>
        <v>9.2999999999999999E-2</v>
      </c>
      <c r="J45">
        <f>IFERROR(VLOOKUP(all_lmics1819[[Setting]:[Setting]],prev[],4,FALSE),VLOOKUP(all_lmics1819[[who_choice_region]:[who_choice_region]],missing[],3,FALSE))</f>
        <v>8.6999999999999994E-2</v>
      </c>
      <c r="K45">
        <f>IFERROR(VLOOKUP(all_lmics1819[[Setting]:[Setting]],prev[],5,FALSE),VLOOKUP(all_lmics1819[[who_choice_region]:[who_choice_region]],missing[],4,FALSE))</f>
        <v>0.10199999999999999</v>
      </c>
      <c r="L45">
        <f>IFERROR(VLOOKUP(all_lmics1819[[Setting]:[Setting]],prev[],7,FALSE),VLOOKUP(all_lmics1819[[who_choice_region]:[who_choice_region]],missing[],5,FALSE))</f>
        <v>4.5918367346938745E-3</v>
      </c>
      <c r="M45">
        <f>IFERROR(VLOOKUP(all_lmics1819[[Setting]:[Setting]],prev[],6,FALSE),0)</f>
        <v>4420184</v>
      </c>
      <c r="N45">
        <f>IFERROR(VLOOKUP(all_lmics1819[[Setting]:[Setting]],SBA[],4,FALSE),VLOOKUP(all_lmics1819[[who_choice_region]:[who_choice_region]],missing[],6,FALSE))*0.95</f>
        <v>0.65834999999999988</v>
      </c>
      <c r="O45">
        <f>IFERROR(VLOOKUP(all_lmics1819[[Setting]:[Setting]], facility[], 3,FALSE),VLOOKUP(all_lmics1819[[who_choice_region]:[who_choice_region]],missing[],7,FALSE))*0.95</f>
        <v>0.65834999999999988</v>
      </c>
      <c r="P45">
        <f>IF(VLOOKUP(all_lmics1819[[Setting]:[Setting]],all_cause_mort[],4,FALSE)="",VLOOKUP(all_lmics1819[[who_choice_region]:[who_choice_region]],missing[],8,FALSE),VLOOKUP(all_lmics1819[[Setting]:[Setting]],all_cause_mort[],4,FALSE))*0.95</f>
        <v>5.3049681499999994E-2</v>
      </c>
      <c r="Q45">
        <f>IF(VLOOKUP(all_lmics1819[[Setting]:[Setting]],all_cause_mort[],5,FALSE)="",VLOOKUP(all_lmics1819[[who_choice_region]:[who_choice_region]],missing[],9,FALSE),VLOOKUP(all_lmics1819[[Setting]:[Setting]],all_cause_mort[],5,FALSE))*0.95</f>
        <v>6.4804854200000003E-3</v>
      </c>
      <c r="R45">
        <f>IF(VLOOKUP(all_lmics1819[[Setting]:[Setting]],all_cause_mort[],6,FALSE)="",VLOOKUP(all_lmics1819[[who_choice_region]:[who_choice_region]],missing[],10,FALSE),VLOOKUP(all_lmics1819[[Setting]:[Setting]],all_cause_mort[],6,FALSE))*0.95</f>
        <v>1.033800355E-3</v>
      </c>
      <c r="S45">
        <f>IF(VLOOKUP(all_lmics1819[[Setting]:[Setting]],all_cause_mort[],7,FALSE)="",VLOOKUP(all_lmics1819[[who_choice_region]:[who_choice_region]],missing[],11,FALSE),VLOOKUP(all_lmics1819[[Setting]:[Setting]],all_cause_mort[],7,FALSE))*0.95</f>
        <v>8.1520472800000006E-4</v>
      </c>
      <c r="T45">
        <f>IF(VLOOKUP(all_lmics1819[[Setting]:[Setting]],all_cause_mort[],8,FALSE)="",VLOOKUP(all_lmics1819[[who_choice_region]:[who_choice_region]],missing[],12,FALSE),VLOOKUP(all_lmics1819[[Setting]:[Setting]],all_cause_mort[],8,FALSE))*0.95</f>
        <v>1.34420288E-3</v>
      </c>
      <c r="U45">
        <f>IF(VLOOKUP(all_lmics1819[[Setting]:[Setting]],all_cause_mort[],9,FALSE)="",VLOOKUP(all_lmics1819[[who_choice_region]:[who_choice_region]],missing[],13,FALSE),VLOOKUP(all_lmics1819[[Setting]:[Setting]],all_cause_mort[],9,FALSE))*0.95</f>
        <v>1.8846900849999999E-3</v>
      </c>
      <c r="V45">
        <f>IF(VLOOKUP(all_lmics1819[[Setting]:[Setting]],all_cause_mort[],10,FALSE)="",VLOOKUP(all_lmics1819[[who_choice_region]:[who_choice_region]],missing[],14,FALSE),VLOOKUP(all_lmics1819[[Setting]:[Setting]],all_cause_mort[],10,FALSE))*0.95</f>
        <v>2.0460815000000001E-3</v>
      </c>
      <c r="W45">
        <f>IF(VLOOKUP(all_lmics1819[[Setting]:[Setting]],all_cause_mort[],11,FALSE)="",VLOOKUP(all_lmics1819[[who_choice_region]:[who_choice_region]],missing[],15,FALSE),VLOOKUP(all_lmics1819[[Setting]:[Setting]],all_cause_mort[],11,FALSE))*0.95</f>
        <v>2.3494117500000001E-3</v>
      </c>
      <c r="X45">
        <f>IF(VLOOKUP(all_lmics1819[[Setting]:[Setting]],all_cause_mort[],12,FALSE)="",VLOOKUP(all_lmics1819[[who_choice_region]:[who_choice_region]],missing[],16,FALSE),VLOOKUP(all_lmics1819[[Setting]:[Setting]],all_cause_mort[],12,FALSE))*0.95</f>
        <v>2.9578680350000001E-3</v>
      </c>
      <c r="Y45">
        <f>IF(VLOOKUP(all_lmics1819[[Setting]:[Setting]],all_cause_mort[],13,FALSE)="",VLOOKUP(all_lmics1819[[who_choice_region]:[who_choice_region]],missing[],17,FALSE),VLOOKUP(all_lmics1819[[Setting]:[Setting]],all_cause_mort[],13,FALSE))*0.95</f>
        <v>4.000322035E-3</v>
      </c>
      <c r="Z45">
        <f>IF(VLOOKUP(all_lmics1819[[Setting]:[Setting]],all_cause_mort[],14,FALSE)="",VLOOKUP(all_lmics1819[[who_choice_region]:[who_choice_region]],missing[],18,FALSE),VLOOKUP(all_lmics1819[[Setting]:[Setting]],all_cause_mort[],14,FALSE))*0.95</f>
        <v>5.7876728399999999E-3</v>
      </c>
      <c r="AA45">
        <f>IF(VLOOKUP(all_lmics1819[[Setting]:[Setting]],all_cause_mort[],15,FALSE)="",VLOOKUP(all_lmics1819[[who_choice_region]:[who_choice_region]],missing[],19,FALSE),VLOOKUP(all_lmics1819[[Setting]:[Setting]],all_cause_mort[],15,FALSE))*0.95</f>
        <v>8.6231317599999996E-3</v>
      </c>
      <c r="AB45">
        <f>IF(VLOOKUP(all_lmics1819[[Setting]:[Setting]],all_cause_mort[],16,FALSE)="",VLOOKUP(all_lmics1819[[who_choice_region]:[who_choice_region]],missing[],20,FALSE),VLOOKUP(all_lmics1819[[Setting]:[Setting]],all_cause_mort[],16,FALSE))*0.95</f>
        <v>1.305441265E-2</v>
      </c>
      <c r="AC45">
        <f>IF(VLOOKUP(all_lmics1819[[Setting]:[Setting]],all_cause_mort[],17,FALSE)="",VLOOKUP(all_lmics1819[[who_choice_region]:[who_choice_region]],missing[],21,FALSE),VLOOKUP(all_lmics1819[[Setting]:[Setting]],all_cause_mort[],17,FALSE))*0.95</f>
        <v>2.0214112349999997E-2</v>
      </c>
      <c r="AD45">
        <f>IF(VLOOKUP(all_lmics1819[[Setting]:[Setting]],all_cause_mort[],18,FALSE)="",VLOOKUP(all_lmics1819[[who_choice_region]:[who_choice_region]],missing[],22,FALSE),VLOOKUP(all_lmics1819[[Setting]:[Setting]],all_cause_mort[],18,FALSE))*0.95</f>
        <v>3.1729136450000001E-2</v>
      </c>
      <c r="AE45">
        <f>IF(VLOOKUP(all_lmics1819[[Setting]:[Setting]],all_cause_mort[],19,FALSE)="",VLOOKUP(all_lmics1819[[who_choice_region]:[who_choice_region]],missing[],23,FALSE),VLOOKUP(all_lmics1819[[Setting]:[Setting]],all_cause_mort[],19,FALSE))*0.95</f>
        <v>5.1067344049999998E-2</v>
      </c>
      <c r="AF45">
        <f>IF(VLOOKUP(all_lmics1819[[Setting]:[Setting]],all_cause_mort[],20,FALSE)="",VLOOKUP(all_lmics1819[[who_choice_region]:[who_choice_region]],missing[],24,FALSE),VLOOKUP(all_lmics1819[[Setting]:[Setting]],all_cause_mort[],20,FALSE))*0.95</f>
        <v>8.260685764999999E-2</v>
      </c>
      <c r="AG45">
        <f>IF(VLOOKUP(all_lmics1819[[Setting]:[Setting]],all_cause_mort[],21,FALSE)="",VLOOKUP(all_lmics1819[[who_choice_region]:[who_choice_region]],missing[],25,FALSE),VLOOKUP(all_lmics1819[[Setting]:[Setting]],all_cause_mort[],21,FALSE))*0.95</f>
        <v>0.13357245100000001</v>
      </c>
      <c r="AH45">
        <f>IF(VLOOKUP(all_lmics1819[[Setting]:[Setting]],all_cause_mort[],22,FALSE)="",VLOOKUP(all_lmics1819[[who_choice_region]:[who_choice_region]],missing[],26,FALSE),VLOOKUP(all_lmics1819[[Setting]:[Setting]],all_cause_mort[],22,FALSE))*0.95</f>
        <v>0.20788675199999998</v>
      </c>
      <c r="AI45">
        <f>IF(VLOOKUP(all_lmics1819[[Setting]:[Setting]],all_cause_mort[],23,FALSE)="",VLOOKUP(all_lmics1819[[who_choice_region]:[who_choice_region]],missing[],27,FALSE),VLOOKUP(all_lmics1819[[Setting]:[Setting]],all_cause_mort[],23,FALSE))*0.95</f>
        <v>0.30383405400000002</v>
      </c>
      <c r="AJ45">
        <f>IF(VLOOKUP(all_lmics1819[[Setting]:[Setting]],all_cause_mort[],24,FALSE)="",VLOOKUP(all_lmics1819[[who_choice_region]:[who_choice_region]],missing[],28,FALSE),VLOOKUP(all_lmics1819[[Setting]:[Setting]],all_cause_mort[],24,FALSE))*0.95</f>
        <v>0.41249627949999995</v>
      </c>
      <c r="AK45">
        <f>IF(VLOOKUP(all_lmics1819[[Setting]:[Setting]],all_cause_mort[],25,FALSE)="",VLOOKUP(all_lmics1819[[who_choice_region]:[who_choice_region]],missing[],29,FALSE),VLOOKUP(all_lmics1819[[Setting]:[Setting]],all_cause_mort[],25,FALSE))*0.95</f>
        <v>0.5469015580074017</v>
      </c>
      <c r="AL45">
        <f>VLOOKUP(all_lmics1819[[worldbank_region]:[worldbank_region]],Table13[],2,FALSE)*0.95</f>
        <v>28.416651749999996</v>
      </c>
      <c r="AM45">
        <f>VLOOKUP(all_lmics1819[[worldbank_region]:[worldbank_region]],Table13[],3,FALSE)*0.95</f>
        <v>28.416651749999996</v>
      </c>
      <c r="AN45">
        <f>VLOOKUP(all_lmics1819[[worldbank_region]:[worldbank_region]],Table13[],4,FALSE)*0.95</f>
        <v>73.759068749999983</v>
      </c>
      <c r="AO45">
        <f>VLOOKUP(all_lmics1819[[worldbank_region]:[worldbank_region]],Table13[],5,FALSE)*0.95</f>
        <v>73.759068749999983</v>
      </c>
      <c r="AP45">
        <f>VLOOKUP(all_lmics1819[[worldbank_region]:[worldbank_region]],Table13[],6,FALSE)*0.95</f>
        <v>73.759068749999983</v>
      </c>
      <c r="AQ45">
        <f>VLOOKUP(all_lmics1819[[worldbank_region]:[worldbank_region]],Table14[],2,FALSE)*0.95</f>
        <v>0.92130239999999997</v>
      </c>
      <c r="AR45">
        <f>VLOOKUP(all_lmics1819[[worldbank_region]:[worldbank_region]],Table14[],3,FALSE)*0.95</f>
        <v>1.5079274</v>
      </c>
      <c r="AS45">
        <f>VLOOKUP(all_lmics1819[[worldbank_region]:[worldbank_region]],Table14[],4,FALSE)*0.95</f>
        <v>5.5073048499999988</v>
      </c>
      <c r="AT45">
        <f>VLOOKUP(all_lmics1819[[worldbank_region]:[worldbank_region]],Table14[],5,FALSE)*0.95</f>
        <v>6.0939298499999985</v>
      </c>
      <c r="AU45">
        <f>VLOOKUP(all_lmics1819[[worldbank_region]:[worldbank_region]],Table14[],6,FALSE)*0.95</f>
        <v>6.6356692499999985</v>
      </c>
      <c r="AV45">
        <f>IFERROR(VLOOKUP(all_lmics1819[[Setting]:[Setting]],nFacSBA[],4,FALSE),VLOOKUP(all_lmics1819[[who_choice_region]:[who_choice_region]],missing[],30,FALSE))*0.95</f>
        <v>6.5722973400299922E-2</v>
      </c>
      <c r="AW45">
        <f>VLOOKUP(all_lmics1819[[worldbank_region]:[worldbank_region]],hbe[],3)</f>
        <v>0.2</v>
      </c>
      <c r="AX45">
        <f>VLOOKUP(all_lmics1819[[worldbank_region]:[worldbank_region]],hbe[],6)</f>
        <v>0.75</v>
      </c>
      <c r="AY45">
        <f>VLOOKUP(all_lmics1819[[worldbank_region]:[worldbank_region]],hbe[],9)</f>
        <v>0.05</v>
      </c>
    </row>
    <row r="46" spans="1:51" x14ac:dyDescent="0.35">
      <c r="A46" s="12" t="s">
        <v>140</v>
      </c>
      <c r="B46" s="13" t="s">
        <v>22</v>
      </c>
      <c r="C46" s="14" t="s">
        <v>383</v>
      </c>
      <c r="D46">
        <f>VLOOKUP(all_lmics1819[[Setting]:[Setting]],populations[],9,FALSE)</f>
        <v>129163276</v>
      </c>
      <c r="E46">
        <f>VLOOKUP(all_lmics1819[[Setting]:[Setting]],birthrate[],3,FALSE)</f>
        <v>1.8172999999999998E-2</v>
      </c>
      <c r="F46">
        <f>all_lmics1819[[#This Row],[2017_population]]*all_lmics1819[[#This Row],[2016_birthrate]]</f>
        <v>2347284.2147479998</v>
      </c>
      <c r="G46">
        <f>VLOOKUP(all_lmics1819[[Setting]:[Setting]],birthdose[],4,FALSE)*0.95</f>
        <v>0.93099999999999994</v>
      </c>
      <c r="H46">
        <f>VLOOKUP(all_lmics1819[[Setting]:[Setting]],fullvax[],4,FALSE)*0.95</f>
        <v>0.88349999999999995</v>
      </c>
      <c r="I46">
        <f>IFERROR(VLOOKUP(all_lmics1819[[Setting]:[Setting]],prev[],3,FALSE),VLOOKUP(all_lmics1819[[who_choice_region]:[who_choice_region]],missing[],2,FALSE))</f>
        <v>1E-3</v>
      </c>
      <c r="J46">
        <f>IFERROR(VLOOKUP(all_lmics1819[[Setting]:[Setting]],prev[],4,FALSE),VLOOKUP(all_lmics1819[[who_choice_region]:[who_choice_region]],missing[],3,FALSE))</f>
        <v>1E-3</v>
      </c>
      <c r="K46">
        <f>IFERROR(VLOOKUP(all_lmics1819[[Setting]:[Setting]],prev[],5,FALSE),VLOOKUP(all_lmics1819[[who_choice_region]:[who_choice_region]],missing[],4,FALSE))</f>
        <v>2E-3</v>
      </c>
      <c r="L46">
        <f>IFERROR(VLOOKUP(all_lmics1819[[Setting]:[Setting]],prev[],7,FALSE),VLOOKUP(all_lmics1819[[who_choice_region]:[who_choice_region]],missing[],5,FALSE))</f>
        <v>5.1020408163265311E-4</v>
      </c>
      <c r="M46">
        <f>IFERROR(VLOOKUP(all_lmics1819[[Setting]:[Setting]],prev[],6,FALSE),0)</f>
        <v>129163276</v>
      </c>
      <c r="N46">
        <f>IFERROR(VLOOKUP(all_lmics1819[[Setting]:[Setting]],SBA[],4,FALSE),VLOOKUP(all_lmics1819[[who_choice_region]:[who_choice_region]],missing[],6,FALSE))*0.95</f>
        <v>0.92814999999999992</v>
      </c>
      <c r="O46">
        <f>IFERROR(VLOOKUP(all_lmics1819[[Setting]:[Setting]], facility[], 3,FALSE),VLOOKUP(all_lmics1819[[who_choice_region]:[who_choice_region]],missing[],7,FALSE))*0.95</f>
        <v>0.92055000000000009</v>
      </c>
      <c r="P46">
        <f>IF(VLOOKUP(all_lmics1819[[Setting]:[Setting]],all_cause_mort[],4,FALSE)="",VLOOKUP(all_lmics1819[[who_choice_region]:[who_choice_region]],missing[],8,FALSE),VLOOKUP(all_lmics1819[[Setting]:[Setting]],all_cause_mort[],4,FALSE))*0.95</f>
        <v>1.299156445E-2</v>
      </c>
      <c r="Q46">
        <f>IF(VLOOKUP(all_lmics1819[[Setting]:[Setting]],all_cause_mort[],5,FALSE)="",VLOOKUP(all_lmics1819[[who_choice_region]:[who_choice_region]],missing[],9,FALSE),VLOOKUP(all_lmics1819[[Setting]:[Setting]],all_cause_mort[],5,FALSE))*0.95</f>
        <v>4.9510919149999997E-4</v>
      </c>
      <c r="R46">
        <f>IF(VLOOKUP(all_lmics1819[[Setting]:[Setting]],all_cause_mort[],6,FALSE)="",VLOOKUP(all_lmics1819[[who_choice_region]:[who_choice_region]],missing[],10,FALSE),VLOOKUP(all_lmics1819[[Setting]:[Setting]],all_cause_mort[],6,FALSE))*0.95</f>
        <v>2.4252235549999997E-4</v>
      </c>
      <c r="S46">
        <f>IF(VLOOKUP(all_lmics1819[[Setting]:[Setting]],all_cause_mort[],7,FALSE)="",VLOOKUP(all_lmics1819[[who_choice_region]:[who_choice_region]],missing[],11,FALSE),VLOOKUP(all_lmics1819[[Setting]:[Setting]],all_cause_mort[],7,FALSE))*0.95</f>
        <v>3.4454891649999994E-4</v>
      </c>
      <c r="T46">
        <f>IF(VLOOKUP(all_lmics1819[[Setting]:[Setting]],all_cause_mort[],8,FALSE)="",VLOOKUP(all_lmics1819[[who_choice_region]:[who_choice_region]],missing[],12,FALSE),VLOOKUP(all_lmics1819[[Setting]:[Setting]],all_cause_mort[],8,FALSE))*0.95</f>
        <v>7.2947802000000001E-4</v>
      </c>
      <c r="U46">
        <f>IF(VLOOKUP(all_lmics1819[[Setting]:[Setting]],all_cause_mort[],9,FALSE)="",VLOOKUP(all_lmics1819[[who_choice_region]:[who_choice_region]],missing[],13,FALSE),VLOOKUP(all_lmics1819[[Setting]:[Setting]],all_cause_mort[],9,FALSE))*0.95</f>
        <v>1.1893275150000001E-3</v>
      </c>
      <c r="V46">
        <f>IF(VLOOKUP(all_lmics1819[[Setting]:[Setting]],all_cause_mort[],10,FALSE)="",VLOOKUP(all_lmics1819[[who_choice_region]:[who_choice_region]],missing[],14,FALSE),VLOOKUP(all_lmics1819[[Setting]:[Setting]],all_cause_mort[],10,FALSE))*0.95</f>
        <v>1.4948156899999999E-3</v>
      </c>
      <c r="W46">
        <f>IF(VLOOKUP(all_lmics1819[[Setting]:[Setting]],all_cause_mort[],11,FALSE)="",VLOOKUP(all_lmics1819[[who_choice_region]:[who_choice_region]],missing[],15,FALSE),VLOOKUP(all_lmics1819[[Setting]:[Setting]],all_cause_mort[],11,FALSE))*0.95</f>
        <v>1.72316567E-3</v>
      </c>
      <c r="X46">
        <f>IF(VLOOKUP(all_lmics1819[[Setting]:[Setting]],all_cause_mort[],12,FALSE)="",VLOOKUP(all_lmics1819[[who_choice_region]:[who_choice_region]],missing[],16,FALSE),VLOOKUP(all_lmics1819[[Setting]:[Setting]],all_cause_mort[],12,FALSE))*0.95</f>
        <v>2.0884375349999999E-3</v>
      </c>
      <c r="Y46">
        <f>IF(VLOOKUP(all_lmics1819[[Setting]:[Setting]],all_cause_mort[],13,FALSE)="",VLOOKUP(all_lmics1819[[who_choice_region]:[who_choice_region]],missing[],17,FALSE),VLOOKUP(all_lmics1819[[Setting]:[Setting]],all_cause_mort[],13,FALSE))*0.95</f>
        <v>2.7749695699999999E-3</v>
      </c>
      <c r="Z46">
        <f>IF(VLOOKUP(all_lmics1819[[Setting]:[Setting]],all_cause_mort[],14,FALSE)="",VLOOKUP(all_lmics1819[[who_choice_region]:[who_choice_region]],missing[],18,FALSE),VLOOKUP(all_lmics1819[[Setting]:[Setting]],all_cause_mort[],14,FALSE))*0.95</f>
        <v>3.9548274850000004E-3</v>
      </c>
      <c r="AA46">
        <f>IF(VLOOKUP(all_lmics1819[[Setting]:[Setting]],all_cause_mort[],15,FALSE)="",VLOOKUP(all_lmics1819[[who_choice_region]:[who_choice_region]],missing[],19,FALSE),VLOOKUP(all_lmics1819[[Setting]:[Setting]],all_cause_mort[],15,FALSE))*0.95</f>
        <v>5.85808779E-3</v>
      </c>
      <c r="AB46">
        <f>IF(VLOOKUP(all_lmics1819[[Setting]:[Setting]],all_cause_mort[],16,FALSE)="",VLOOKUP(all_lmics1819[[who_choice_region]:[who_choice_region]],missing[],20,FALSE),VLOOKUP(all_lmics1819[[Setting]:[Setting]],all_cause_mort[],16,FALSE))*0.95</f>
        <v>8.822594139999999E-3</v>
      </c>
      <c r="AC46">
        <f>IF(VLOOKUP(all_lmics1819[[Setting]:[Setting]],all_cause_mort[],17,FALSE)="",VLOOKUP(all_lmics1819[[who_choice_region]:[who_choice_region]],missing[],21,FALSE),VLOOKUP(all_lmics1819[[Setting]:[Setting]],all_cause_mort[],17,FALSE))*0.95</f>
        <v>1.3350281599999998E-2</v>
      </c>
      <c r="AD46">
        <f>IF(VLOOKUP(all_lmics1819[[Setting]:[Setting]],all_cause_mort[],18,FALSE)="",VLOOKUP(all_lmics1819[[who_choice_region]:[who_choice_region]],missing[],22,FALSE),VLOOKUP(all_lmics1819[[Setting]:[Setting]],all_cause_mort[],18,FALSE))*0.95</f>
        <v>2.02493963E-2</v>
      </c>
      <c r="AE46">
        <f>IF(VLOOKUP(all_lmics1819[[Setting]:[Setting]],all_cause_mort[],19,FALSE)="",VLOOKUP(all_lmics1819[[who_choice_region]:[who_choice_region]],missing[],23,FALSE),VLOOKUP(all_lmics1819[[Setting]:[Setting]],all_cause_mort[],19,FALSE))*0.95</f>
        <v>3.069565615E-2</v>
      </c>
      <c r="AF46">
        <f>IF(VLOOKUP(all_lmics1819[[Setting]:[Setting]],all_cause_mort[],20,FALSE)="",VLOOKUP(all_lmics1819[[who_choice_region]:[who_choice_region]],missing[],24,FALSE),VLOOKUP(all_lmics1819[[Setting]:[Setting]],all_cause_mort[],20,FALSE))*0.95</f>
        <v>4.6368477799999995E-2</v>
      </c>
      <c r="AG46">
        <f>IF(VLOOKUP(all_lmics1819[[Setting]:[Setting]],all_cause_mort[],21,FALSE)="",VLOOKUP(all_lmics1819[[who_choice_region]:[who_choice_region]],missing[],25,FALSE),VLOOKUP(all_lmics1819[[Setting]:[Setting]],all_cause_mort[],21,FALSE))*0.95</f>
        <v>6.9727692449999989E-2</v>
      </c>
      <c r="AH46">
        <f>IF(VLOOKUP(all_lmics1819[[Setting]:[Setting]],all_cause_mort[],22,FALSE)="",VLOOKUP(all_lmics1819[[who_choice_region]:[who_choice_region]],missing[],26,FALSE),VLOOKUP(all_lmics1819[[Setting]:[Setting]],all_cause_mort[],22,FALSE))*0.95</f>
        <v>0.10518514949999999</v>
      </c>
      <c r="AI46">
        <f>IF(VLOOKUP(all_lmics1819[[Setting]:[Setting]],all_cause_mort[],23,FALSE)="",VLOOKUP(all_lmics1819[[who_choice_region]:[who_choice_region]],missing[],27,FALSE),VLOOKUP(all_lmics1819[[Setting]:[Setting]],all_cause_mort[],23,FALSE))*0.95</f>
        <v>0.161355106</v>
      </c>
      <c r="AJ46">
        <f>IF(VLOOKUP(all_lmics1819[[Setting]:[Setting]],all_cause_mort[],24,FALSE)="",VLOOKUP(all_lmics1819[[who_choice_region]:[who_choice_region]],missing[],28,FALSE),VLOOKUP(all_lmics1819[[Setting]:[Setting]],all_cause_mort[],24,FALSE))*0.95</f>
        <v>0.250970468</v>
      </c>
      <c r="AK46">
        <f>IF(VLOOKUP(all_lmics1819[[Setting]:[Setting]],all_cause_mort[],25,FALSE)="",VLOOKUP(all_lmics1819[[who_choice_region]:[who_choice_region]],missing[],29,FALSE),VLOOKUP(all_lmics1819[[Setting]:[Setting]],all_cause_mort[],25,FALSE))*0.95</f>
        <v>0.41015451038496065</v>
      </c>
      <c r="AL46">
        <f>VLOOKUP(all_lmics1819[[worldbank_region]:[worldbank_region]],Table13[],2,FALSE)*0.95</f>
        <v>82.51698764999999</v>
      </c>
      <c r="AM46">
        <f>VLOOKUP(all_lmics1819[[worldbank_region]:[worldbank_region]],Table13[],3,FALSE)*0.95</f>
        <v>82.51698764999999</v>
      </c>
      <c r="AN46">
        <f>VLOOKUP(all_lmics1819[[worldbank_region]:[worldbank_region]],Table13[],4,FALSE)*0.95</f>
        <v>127.85940464999999</v>
      </c>
      <c r="AO46">
        <f>VLOOKUP(all_lmics1819[[worldbank_region]:[worldbank_region]],Table13[],5,FALSE)*0.95</f>
        <v>127.85940464999999</v>
      </c>
      <c r="AP46">
        <f>VLOOKUP(all_lmics1819[[worldbank_region]:[worldbank_region]],Table13[],6,FALSE)*0.95</f>
        <v>127.85940464999999</v>
      </c>
      <c r="AQ46">
        <f>VLOOKUP(all_lmics1819[[worldbank_region]:[worldbank_region]],Table14[],2,FALSE)*0.95</f>
        <v>1.4389099000000001</v>
      </c>
      <c r="AR46">
        <f>VLOOKUP(all_lmics1819[[worldbank_region]:[worldbank_region]],Table14[],3,FALSE)*0.95</f>
        <v>2.0255348999999998</v>
      </c>
      <c r="AS46">
        <f>VLOOKUP(all_lmics1819[[worldbank_region]:[worldbank_region]],Table14[],4,FALSE)*0.95</f>
        <v>1.4596142000000001</v>
      </c>
      <c r="AT46">
        <f>VLOOKUP(all_lmics1819[[worldbank_region]:[worldbank_region]],Table14[],5,FALSE)*0.95</f>
        <v>2.0462391999999996</v>
      </c>
      <c r="AU46">
        <f>VLOOKUP(all_lmics1819[[worldbank_region]:[worldbank_region]],Table14[],6,FALSE)*0.95</f>
        <v>2.5879785999999996</v>
      </c>
      <c r="AV46">
        <f>IFERROR(VLOOKUP(all_lmics1819[[Setting]:[Setting]],nFacSBA[],4,FALSE),VLOOKUP(all_lmics1819[[who_choice_region]:[who_choice_region]],missing[],30,FALSE))*0.95</f>
        <v>0.19387920306497206</v>
      </c>
      <c r="AW46">
        <f>VLOOKUP(all_lmics1819[[worldbank_region]:[worldbank_region]],hbe[],3)</f>
        <v>0.2</v>
      </c>
      <c r="AX46">
        <f>VLOOKUP(all_lmics1819[[worldbank_region]:[worldbank_region]],hbe[],6)</f>
        <v>0.75</v>
      </c>
      <c r="AY46">
        <f>VLOOKUP(all_lmics1819[[worldbank_region]:[worldbank_region]],hbe[],9)</f>
        <v>0.05</v>
      </c>
    </row>
    <row r="47" spans="1:51" x14ac:dyDescent="0.35">
      <c r="A47" s="8" t="s">
        <v>141</v>
      </c>
      <c r="B47" s="10" t="s">
        <v>57</v>
      </c>
      <c r="C47" s="11" t="s">
        <v>58</v>
      </c>
      <c r="D47">
        <f>VLOOKUP(all_lmics1819[[Setting]:[Setting]],populations[],9,FALSE)</f>
        <v>105544</v>
      </c>
      <c r="E47">
        <f>VLOOKUP(all_lmics1819[[Setting]:[Setting]],birthrate[],3,FALSE)</f>
        <v>2.3708E-2</v>
      </c>
      <c r="F47">
        <f>all_lmics1819[[#This Row],[2017_population]]*all_lmics1819[[#This Row],[2016_birthrate]]</f>
        <v>2502.2371520000002</v>
      </c>
      <c r="G47">
        <f>VLOOKUP(all_lmics1819[[Setting]:[Setting]],birthdose[],4,FALSE)*0.95</f>
        <v>0.71249999999999991</v>
      </c>
      <c r="H47">
        <f>VLOOKUP(all_lmics1819[[Setting]:[Setting]],fullvax[],4,FALSE)*0.95</f>
        <v>0.76</v>
      </c>
      <c r="I47">
        <f>IFERROR(VLOOKUP(all_lmics1819[[Setting]:[Setting]],prev[],3,FALSE),VLOOKUP(all_lmics1819[[who_choice_region]:[who_choice_region]],missing[],2,FALSE))</f>
        <v>3.5000000000000003E-2</v>
      </c>
      <c r="J47">
        <f>IFERROR(VLOOKUP(all_lmics1819[[Setting]:[Setting]],prev[],4,FALSE),VLOOKUP(all_lmics1819[[who_choice_region]:[who_choice_region]],missing[],3,FALSE))</f>
        <v>2.6599999999999999E-2</v>
      </c>
      <c r="K47">
        <f>IFERROR(VLOOKUP(all_lmics1819[[Setting]:[Setting]],prev[],5,FALSE),VLOOKUP(all_lmics1819[[who_choice_region]:[who_choice_region]],missing[],4,FALSE))</f>
        <v>4.5900000000000003E-2</v>
      </c>
      <c r="L47">
        <f>IFERROR(VLOOKUP(all_lmics1819[[Setting]:[Setting]],prev[],7,FALSE),VLOOKUP(all_lmics1819[[who_choice_region]:[who_choice_region]],missing[],5,FALSE))</f>
        <v>5.5612244897959183E-3</v>
      </c>
      <c r="M47">
        <f>IFERROR(VLOOKUP(all_lmics1819[[Setting]:[Setting]],prev[],6,FALSE),0)</f>
        <v>103616</v>
      </c>
      <c r="N47">
        <f>IFERROR(VLOOKUP(all_lmics1819[[Setting]:[Setting]],SBA[],4,FALSE),VLOOKUP(all_lmics1819[[who_choice_region]:[who_choice_region]],missing[],6,FALSE))*0.95</f>
        <v>0.94990499999999989</v>
      </c>
      <c r="O47">
        <f>IFERROR(VLOOKUP(all_lmics1819[[Setting]:[Setting]], facility[], 3,FALSE),VLOOKUP(all_lmics1819[[who_choice_region]:[who_choice_region]],missing[],7,FALSE))*0.95</f>
        <v>0.82650000000000001</v>
      </c>
      <c r="P47">
        <f>IF(VLOOKUP(all_lmics1819[[Setting]:[Setting]],all_cause_mort[],4,FALSE)="",VLOOKUP(all_lmics1819[[who_choice_region]:[who_choice_region]],missing[],8,FALSE),VLOOKUP(all_lmics1819[[Setting]:[Setting]],all_cause_mort[],4,FALSE))*0.95</f>
        <v>2.2740727599999996E-2</v>
      </c>
      <c r="Q47">
        <f>IF(VLOOKUP(all_lmics1819[[Setting]:[Setting]],all_cause_mort[],5,FALSE)="",VLOOKUP(all_lmics1819[[who_choice_region]:[who_choice_region]],missing[],9,FALSE),VLOOKUP(all_lmics1819[[Setting]:[Setting]],all_cause_mort[],5,FALSE))*0.95</f>
        <v>2.067683075E-3</v>
      </c>
      <c r="R47">
        <f>IF(VLOOKUP(all_lmics1819[[Setting]:[Setting]],all_cause_mort[],6,FALSE)="",VLOOKUP(all_lmics1819[[who_choice_region]:[who_choice_region]],missing[],10,FALSE),VLOOKUP(all_lmics1819[[Setting]:[Setting]],all_cause_mort[],6,FALSE))*0.95</f>
        <v>6.0915057349999991E-4</v>
      </c>
      <c r="S47">
        <f>IF(VLOOKUP(all_lmics1819[[Setting]:[Setting]],all_cause_mort[],7,FALSE)="",VLOOKUP(all_lmics1819[[who_choice_region]:[who_choice_region]],missing[],11,FALSE),VLOOKUP(all_lmics1819[[Setting]:[Setting]],all_cause_mort[],7,FALSE))*0.95</f>
        <v>5.2074519799999994E-4</v>
      </c>
      <c r="T47">
        <f>IF(VLOOKUP(all_lmics1819[[Setting]:[Setting]],all_cause_mort[],8,FALSE)="",VLOOKUP(all_lmics1819[[who_choice_region]:[who_choice_region]],missing[],12,FALSE),VLOOKUP(all_lmics1819[[Setting]:[Setting]],all_cause_mort[],8,FALSE))*0.95</f>
        <v>1.0235245850000001E-3</v>
      </c>
      <c r="U47">
        <f>IF(VLOOKUP(all_lmics1819[[Setting]:[Setting]],all_cause_mort[],9,FALSE)="",VLOOKUP(all_lmics1819[[who_choice_region]:[who_choice_region]],missing[],13,FALSE),VLOOKUP(all_lmics1819[[Setting]:[Setting]],all_cause_mort[],9,FALSE))*0.95</f>
        <v>1.3256854799999999E-3</v>
      </c>
      <c r="V47">
        <f>IF(VLOOKUP(all_lmics1819[[Setting]:[Setting]],all_cause_mort[],10,FALSE)="",VLOOKUP(all_lmics1819[[who_choice_region]:[who_choice_region]],missing[],14,FALSE),VLOOKUP(all_lmics1819[[Setting]:[Setting]],all_cause_mort[],10,FALSE))*0.95</f>
        <v>1.407959185E-3</v>
      </c>
      <c r="W47">
        <f>IF(VLOOKUP(all_lmics1819[[Setting]:[Setting]],all_cause_mort[],11,FALSE)="",VLOOKUP(all_lmics1819[[who_choice_region]:[who_choice_region]],missing[],15,FALSE),VLOOKUP(all_lmics1819[[Setting]:[Setting]],all_cause_mort[],11,FALSE))*0.95</f>
        <v>1.658385075E-3</v>
      </c>
      <c r="X47">
        <f>IF(VLOOKUP(all_lmics1819[[Setting]:[Setting]],all_cause_mort[],12,FALSE)="",VLOOKUP(all_lmics1819[[who_choice_region]:[who_choice_region]],missing[],16,FALSE),VLOOKUP(all_lmics1819[[Setting]:[Setting]],all_cause_mort[],12,FALSE))*0.95</f>
        <v>2.1984052599999999E-3</v>
      </c>
      <c r="Y47">
        <f>IF(VLOOKUP(all_lmics1819[[Setting]:[Setting]],all_cause_mort[],13,FALSE)="",VLOOKUP(all_lmics1819[[who_choice_region]:[who_choice_region]],missing[],17,FALSE),VLOOKUP(all_lmics1819[[Setting]:[Setting]],all_cause_mort[],13,FALSE))*0.95</f>
        <v>3.0943441799999995E-3</v>
      </c>
      <c r="Z47">
        <f>IF(VLOOKUP(all_lmics1819[[Setting]:[Setting]],all_cause_mort[],14,FALSE)="",VLOOKUP(all_lmics1819[[who_choice_region]:[who_choice_region]],missing[],18,FALSE),VLOOKUP(all_lmics1819[[Setting]:[Setting]],all_cause_mort[],14,FALSE))*0.95</f>
        <v>4.6679636049999996E-3</v>
      </c>
      <c r="AA47">
        <f>IF(VLOOKUP(all_lmics1819[[Setting]:[Setting]],all_cause_mort[],15,FALSE)="",VLOOKUP(all_lmics1819[[who_choice_region]:[who_choice_region]],missing[],19,FALSE),VLOOKUP(all_lmics1819[[Setting]:[Setting]],all_cause_mort[],15,FALSE))*0.95</f>
        <v>7.201031824999999E-3</v>
      </c>
      <c r="AB47">
        <f>IF(VLOOKUP(all_lmics1819[[Setting]:[Setting]],all_cause_mort[],16,FALSE)="",VLOOKUP(all_lmics1819[[who_choice_region]:[who_choice_region]],missing[],20,FALSE),VLOOKUP(all_lmics1819[[Setting]:[Setting]],all_cause_mort[],16,FALSE))*0.95</f>
        <v>1.1267855E-2</v>
      </c>
      <c r="AC47">
        <f>IF(VLOOKUP(all_lmics1819[[Setting]:[Setting]],all_cause_mort[],17,FALSE)="",VLOOKUP(all_lmics1819[[who_choice_region]:[who_choice_region]],missing[],21,FALSE),VLOOKUP(all_lmics1819[[Setting]:[Setting]],all_cause_mort[],17,FALSE))*0.95</f>
        <v>2.1893917549999999E-2</v>
      </c>
      <c r="AD47">
        <f>IF(VLOOKUP(all_lmics1819[[Setting]:[Setting]],all_cause_mort[],18,FALSE)="",VLOOKUP(all_lmics1819[[who_choice_region]:[who_choice_region]],missing[],22,FALSE),VLOOKUP(all_lmics1819[[Setting]:[Setting]],all_cause_mort[],18,FALSE))*0.95</f>
        <v>4.2497650550000002E-2</v>
      </c>
      <c r="AE47">
        <f>IF(VLOOKUP(all_lmics1819[[Setting]:[Setting]],all_cause_mort[],19,FALSE)="",VLOOKUP(all_lmics1819[[who_choice_region]:[who_choice_region]],missing[],23,FALSE),VLOOKUP(all_lmics1819[[Setting]:[Setting]],all_cause_mort[],19,FALSE))*0.95</f>
        <v>7.2175366500000004E-2</v>
      </c>
      <c r="AF47">
        <f>IF(VLOOKUP(all_lmics1819[[Setting]:[Setting]],all_cause_mort[],20,FALSE)="",VLOOKUP(all_lmics1819[[who_choice_region]:[who_choice_region]],missing[],24,FALSE),VLOOKUP(all_lmics1819[[Setting]:[Setting]],all_cause_mort[],20,FALSE))*0.95</f>
        <v>0.1133073835</v>
      </c>
      <c r="AG47">
        <f>IF(VLOOKUP(all_lmics1819[[Setting]:[Setting]],all_cause_mort[],21,FALSE)="",VLOOKUP(all_lmics1819[[who_choice_region]:[who_choice_region]],missing[],25,FALSE),VLOOKUP(all_lmics1819[[Setting]:[Setting]],all_cause_mort[],21,FALSE))*0.95</f>
        <v>0.17826184749999999</v>
      </c>
      <c r="AH47">
        <f>IF(VLOOKUP(all_lmics1819[[Setting]:[Setting]],all_cause_mort[],22,FALSE)="",VLOOKUP(all_lmics1819[[who_choice_region]:[who_choice_region]],missing[],26,FALSE),VLOOKUP(all_lmics1819[[Setting]:[Setting]],all_cause_mort[],22,FALSE))*0.95</f>
        <v>0.27836940849999997</v>
      </c>
      <c r="AI47">
        <f>IF(VLOOKUP(all_lmics1819[[Setting]:[Setting]],all_cause_mort[],23,FALSE)="",VLOOKUP(all_lmics1819[[who_choice_region]:[who_choice_region]],missing[],27,FALSE),VLOOKUP(all_lmics1819[[Setting]:[Setting]],all_cause_mort[],23,FALSE))*0.95</f>
        <v>0.40568017199999995</v>
      </c>
      <c r="AJ47">
        <f>IF(VLOOKUP(all_lmics1819[[Setting]:[Setting]],all_cause_mort[],24,FALSE)="",VLOOKUP(all_lmics1819[[who_choice_region]:[who_choice_region]],missing[],28,FALSE),VLOOKUP(all_lmics1819[[Setting]:[Setting]],all_cause_mort[],24,FALSE))*0.95</f>
        <v>0.57028818250000002</v>
      </c>
      <c r="AK47">
        <f>IF(VLOOKUP(all_lmics1819[[Setting]:[Setting]],all_cause_mort[],25,FALSE)="",VLOOKUP(all_lmics1819[[who_choice_region]:[who_choice_region]],missing[],29,FALSE),VLOOKUP(all_lmics1819[[Setting]:[Setting]],all_cause_mort[],25,FALSE))*0.95</f>
        <v>0.75840758675823572</v>
      </c>
      <c r="AL47">
        <f>VLOOKUP(all_lmics1819[[worldbank_region]:[worldbank_region]],Table13[],2,FALSE)*0.95</f>
        <v>69.411165749999981</v>
      </c>
      <c r="AM47">
        <f>VLOOKUP(all_lmics1819[[worldbank_region]:[worldbank_region]],Table13[],3,FALSE)*0.95</f>
        <v>69.411165749999981</v>
      </c>
      <c r="AN47">
        <f>VLOOKUP(all_lmics1819[[worldbank_region]:[worldbank_region]],Table13[],4,FALSE)*0.95</f>
        <v>114.75358274999998</v>
      </c>
      <c r="AO47">
        <f>VLOOKUP(all_lmics1819[[worldbank_region]:[worldbank_region]],Table13[],5,FALSE)*0.95</f>
        <v>114.75358274999998</v>
      </c>
      <c r="AP47">
        <f>VLOOKUP(all_lmics1819[[worldbank_region]:[worldbank_region]],Table13[],6,FALSE)*0.95</f>
        <v>114.75358274999998</v>
      </c>
      <c r="AQ47">
        <f>VLOOKUP(all_lmics1819[[worldbank_region]:[worldbank_region]],Table14[],2,FALSE)*0.95</f>
        <v>1.2732755</v>
      </c>
      <c r="AR47">
        <f>VLOOKUP(all_lmics1819[[worldbank_region]:[worldbank_region]],Table14[],3,FALSE)*0.95</f>
        <v>1.8599005</v>
      </c>
      <c r="AS47">
        <f>VLOOKUP(all_lmics1819[[worldbank_region]:[worldbank_region]],Table14[],4,FALSE)*0.95</f>
        <v>1.8737001999999996</v>
      </c>
      <c r="AT47">
        <f>VLOOKUP(all_lmics1819[[worldbank_region]:[worldbank_region]],Table14[],5,FALSE)*0.95</f>
        <v>2.4603251999999998</v>
      </c>
      <c r="AU47">
        <f>VLOOKUP(all_lmics1819[[worldbank_region]:[worldbank_region]],Table14[],6,FALSE)*0.95</f>
        <v>3.0020645999999997</v>
      </c>
      <c r="AV47">
        <f>IFERROR(VLOOKUP(all_lmics1819[[Setting]:[Setting]],nFacSBA[],4,FALSE),VLOOKUP(all_lmics1819[[who_choice_region]:[who_choice_region]],missing[],30,FALSE))*0.95</f>
        <v>0.1518638670270247</v>
      </c>
      <c r="AW47">
        <f>VLOOKUP(all_lmics1819[[worldbank_region]:[worldbank_region]],hbe[],3)</f>
        <v>0.2</v>
      </c>
      <c r="AX47">
        <f>VLOOKUP(all_lmics1819[[worldbank_region]:[worldbank_region]],hbe[],6)</f>
        <v>0.75</v>
      </c>
      <c r="AY47">
        <f>VLOOKUP(all_lmics1819[[worldbank_region]:[worldbank_region]],hbe[],9)</f>
        <v>0.05</v>
      </c>
    </row>
    <row r="48" spans="1:51" x14ac:dyDescent="0.35">
      <c r="A48" s="8" t="s">
        <v>143</v>
      </c>
      <c r="B48" s="10" t="s">
        <v>57</v>
      </c>
      <c r="C48" s="11" t="s">
        <v>58</v>
      </c>
      <c r="D48">
        <f>VLOOKUP(all_lmics1819[[Setting]:[Setting]],populations[],9,FALSE)</f>
        <v>3075647</v>
      </c>
      <c r="E48">
        <f>VLOOKUP(all_lmics1819[[Setting]:[Setting]],birthrate[],3,FALSE)</f>
        <v>2.3958E-2</v>
      </c>
      <c r="F48">
        <f>all_lmics1819[[#This Row],[2017_population]]*all_lmics1819[[#This Row],[2016_birthrate]]</f>
        <v>73686.350825999994</v>
      </c>
      <c r="G48">
        <f>VLOOKUP(all_lmics1819[[Setting]:[Setting]],birthdose[],4,FALSE)*0.95</f>
        <v>0.93099999999999994</v>
      </c>
      <c r="H48">
        <f>VLOOKUP(all_lmics1819[[Setting]:[Setting]],fullvax[],4,FALSE)*0.95</f>
        <v>0.9405</v>
      </c>
      <c r="I48">
        <f>IFERROR(VLOOKUP(all_lmics1819[[Setting]:[Setting]],prev[],3,FALSE),VLOOKUP(all_lmics1819[[who_choice_region]:[who_choice_region]],missing[],2,FALSE))</f>
        <v>4.1000000000000002E-2</v>
      </c>
      <c r="J48">
        <f>IFERROR(VLOOKUP(all_lmics1819[[Setting]:[Setting]],prev[],4,FALSE),VLOOKUP(all_lmics1819[[who_choice_region]:[who_choice_region]],missing[],3,FALSE))</f>
        <v>3.1E-2</v>
      </c>
      <c r="K48">
        <f>IFERROR(VLOOKUP(all_lmics1819[[Setting]:[Setting]],prev[],5,FALSE),VLOOKUP(all_lmics1819[[who_choice_region]:[who_choice_region]],missing[],4,FALSE))</f>
        <v>4.8000000000000001E-2</v>
      </c>
      <c r="L48">
        <f>IFERROR(VLOOKUP(all_lmics1819[[Setting]:[Setting]],prev[],7,FALSE),VLOOKUP(all_lmics1819[[who_choice_region]:[who_choice_region]],missing[],5,FALSE))</f>
        <v>3.5714285714285713E-3</v>
      </c>
      <c r="M48">
        <f>IFERROR(VLOOKUP(all_lmics1819[[Setting]:[Setting]],prev[],6,FALSE),0)</f>
        <v>3075647</v>
      </c>
      <c r="N48">
        <f>IFERROR(VLOOKUP(all_lmics1819[[Setting]:[Setting]],SBA[],4,FALSE),VLOOKUP(all_lmics1819[[who_choice_region]:[who_choice_region]],missing[],6,FALSE))*0.95</f>
        <v>0.93955000000000011</v>
      </c>
      <c r="O48">
        <f>IFERROR(VLOOKUP(all_lmics1819[[Setting]:[Setting]], facility[], 3,FALSE),VLOOKUP(all_lmics1819[[who_choice_region]:[who_choice_region]],missing[],7,FALSE))*0.95</f>
        <v>0.93480000000000008</v>
      </c>
      <c r="P48">
        <f>IF(VLOOKUP(all_lmics1819[[Setting]:[Setting]],all_cause_mort[],4,FALSE)="",VLOOKUP(all_lmics1819[[who_choice_region]:[who_choice_region]],missing[],8,FALSE),VLOOKUP(all_lmics1819[[Setting]:[Setting]],all_cause_mort[],4,FALSE))*0.95</f>
        <v>1.7471879399999998E-2</v>
      </c>
      <c r="Q48">
        <f>IF(VLOOKUP(all_lmics1819[[Setting]:[Setting]],all_cause_mort[],5,FALSE)="",VLOOKUP(all_lmics1819[[who_choice_region]:[who_choice_region]],missing[],9,FALSE),VLOOKUP(all_lmics1819[[Setting]:[Setting]],all_cause_mort[],5,FALSE))*0.95</f>
        <v>1.037452345E-3</v>
      </c>
      <c r="R48">
        <f>IF(VLOOKUP(all_lmics1819[[Setting]:[Setting]],all_cause_mort[],6,FALSE)="",VLOOKUP(all_lmics1819[[who_choice_region]:[who_choice_region]],missing[],10,FALSE),VLOOKUP(all_lmics1819[[Setting]:[Setting]],all_cause_mort[],6,FALSE))*0.95</f>
        <v>3.4300164199999999E-4</v>
      </c>
      <c r="S48">
        <f>IF(VLOOKUP(all_lmics1819[[Setting]:[Setting]],all_cause_mort[],7,FALSE)="",VLOOKUP(all_lmics1819[[who_choice_region]:[who_choice_region]],missing[],11,FALSE),VLOOKUP(all_lmics1819[[Setting]:[Setting]],all_cause_mort[],7,FALSE))*0.95</f>
        <v>3.1936295349999999E-4</v>
      </c>
      <c r="T48">
        <f>IF(VLOOKUP(all_lmics1819[[Setting]:[Setting]],all_cause_mort[],8,FALSE)="",VLOOKUP(all_lmics1819[[who_choice_region]:[who_choice_region]],missing[],12,FALSE),VLOOKUP(all_lmics1819[[Setting]:[Setting]],all_cause_mort[],8,FALSE))*0.95</f>
        <v>4.9553259700000003E-4</v>
      </c>
      <c r="U48">
        <f>IF(VLOOKUP(all_lmics1819[[Setting]:[Setting]],all_cause_mort[],9,FALSE)="",VLOOKUP(all_lmics1819[[who_choice_region]:[who_choice_region]],missing[],13,FALSE),VLOOKUP(all_lmics1819[[Setting]:[Setting]],all_cause_mort[],9,FALSE))*0.95</f>
        <v>8.57983513E-4</v>
      </c>
      <c r="V48">
        <f>IF(VLOOKUP(all_lmics1819[[Setting]:[Setting]],all_cause_mort[],10,FALSE)="",VLOOKUP(all_lmics1819[[who_choice_region]:[who_choice_region]],missing[],14,FALSE),VLOOKUP(all_lmics1819[[Setting]:[Setting]],all_cause_mort[],10,FALSE))*0.95</f>
        <v>1.22780413E-3</v>
      </c>
      <c r="W48">
        <f>IF(VLOOKUP(all_lmics1819[[Setting]:[Setting]],all_cause_mort[],11,FALSE)="",VLOOKUP(all_lmics1819[[who_choice_region]:[who_choice_region]],missing[],15,FALSE),VLOOKUP(all_lmics1819[[Setting]:[Setting]],all_cause_mort[],11,FALSE))*0.95</f>
        <v>1.85827885E-3</v>
      </c>
      <c r="X48">
        <f>IF(VLOOKUP(all_lmics1819[[Setting]:[Setting]],all_cause_mort[],12,FALSE)="",VLOOKUP(all_lmics1819[[who_choice_region]:[who_choice_region]],missing[],16,FALSE),VLOOKUP(all_lmics1819[[Setting]:[Setting]],all_cause_mort[],12,FALSE))*0.95</f>
        <v>2.7111759299999999E-3</v>
      </c>
      <c r="Y48">
        <f>IF(VLOOKUP(all_lmics1819[[Setting]:[Setting]],all_cause_mort[],13,FALSE)="",VLOOKUP(all_lmics1819[[who_choice_region]:[who_choice_region]],missing[],17,FALSE),VLOOKUP(all_lmics1819[[Setting]:[Setting]],all_cause_mort[],13,FALSE))*0.95</f>
        <v>4.1700047649999997E-3</v>
      </c>
      <c r="Z48">
        <f>IF(VLOOKUP(all_lmics1819[[Setting]:[Setting]],all_cause_mort[],14,FALSE)="",VLOOKUP(all_lmics1819[[who_choice_region]:[who_choice_region]],missing[],18,FALSE),VLOOKUP(all_lmics1819[[Setting]:[Setting]],all_cause_mort[],14,FALSE))*0.95</f>
        <v>7.2263816250000001E-3</v>
      </c>
      <c r="AA48">
        <f>IF(VLOOKUP(all_lmics1819[[Setting]:[Setting]],all_cause_mort[],15,FALSE)="",VLOOKUP(all_lmics1819[[who_choice_region]:[who_choice_region]],missing[],19,FALSE),VLOOKUP(all_lmics1819[[Setting]:[Setting]],all_cause_mort[],15,FALSE))*0.95</f>
        <v>1.0907257799999999E-2</v>
      </c>
      <c r="AB48">
        <f>IF(VLOOKUP(all_lmics1819[[Setting]:[Setting]],all_cause_mort[],16,FALSE)="",VLOOKUP(all_lmics1819[[who_choice_region]:[who_choice_region]],missing[],20,FALSE),VLOOKUP(all_lmics1819[[Setting]:[Setting]],all_cause_mort[],16,FALSE))*0.95</f>
        <v>1.4939411200000001E-2</v>
      </c>
      <c r="AC48">
        <f>IF(VLOOKUP(all_lmics1819[[Setting]:[Setting]],all_cause_mort[],17,FALSE)="",VLOOKUP(all_lmics1819[[who_choice_region]:[who_choice_region]],missing[],21,FALSE),VLOOKUP(all_lmics1819[[Setting]:[Setting]],all_cause_mort[],17,FALSE))*0.95</f>
        <v>2.1306635149999999E-2</v>
      </c>
      <c r="AD48">
        <f>IF(VLOOKUP(all_lmics1819[[Setting]:[Setting]],all_cause_mort[],18,FALSE)="",VLOOKUP(all_lmics1819[[who_choice_region]:[who_choice_region]],missing[],22,FALSE),VLOOKUP(all_lmics1819[[Setting]:[Setting]],all_cause_mort[],18,FALSE))*0.95</f>
        <v>2.96191133E-2</v>
      </c>
      <c r="AE48">
        <f>IF(VLOOKUP(all_lmics1819[[Setting]:[Setting]],all_cause_mort[],19,FALSE)="",VLOOKUP(all_lmics1819[[who_choice_region]:[who_choice_region]],missing[],23,FALSE),VLOOKUP(all_lmics1819[[Setting]:[Setting]],all_cause_mort[],19,FALSE))*0.95</f>
        <v>4.9345178349999998E-2</v>
      </c>
      <c r="AF48">
        <f>IF(VLOOKUP(all_lmics1819[[Setting]:[Setting]],all_cause_mort[],20,FALSE)="",VLOOKUP(all_lmics1819[[who_choice_region]:[who_choice_region]],missing[],24,FALSE),VLOOKUP(all_lmics1819[[Setting]:[Setting]],all_cause_mort[],20,FALSE))*0.95</f>
        <v>7.4898581399999997E-2</v>
      </c>
      <c r="AG48">
        <f>IF(VLOOKUP(all_lmics1819[[Setting]:[Setting]],all_cause_mort[],21,FALSE)="",VLOOKUP(all_lmics1819[[who_choice_region]:[who_choice_region]],missing[],25,FALSE),VLOOKUP(all_lmics1819[[Setting]:[Setting]],all_cause_mort[],21,FALSE))*0.95</f>
        <v>0.11142138649999998</v>
      </c>
      <c r="AH48">
        <f>IF(VLOOKUP(all_lmics1819[[Setting]:[Setting]],all_cause_mort[],22,FALSE)="",VLOOKUP(all_lmics1819[[who_choice_region]:[who_choice_region]],missing[],26,FALSE),VLOOKUP(all_lmics1819[[Setting]:[Setting]],all_cause_mort[],22,FALSE))*0.95</f>
        <v>0.163117128</v>
      </c>
      <c r="AI48">
        <f>IF(VLOOKUP(all_lmics1819[[Setting]:[Setting]],all_cause_mort[],23,FALSE)="",VLOOKUP(all_lmics1819[[who_choice_region]:[who_choice_region]],missing[],27,FALSE),VLOOKUP(all_lmics1819[[Setting]:[Setting]],all_cause_mort[],23,FALSE))*0.95</f>
        <v>0.23179905949999999</v>
      </c>
      <c r="AJ48">
        <f>IF(VLOOKUP(all_lmics1819[[Setting]:[Setting]],all_cause_mort[],24,FALSE)="",VLOOKUP(all_lmics1819[[who_choice_region]:[who_choice_region]],missing[],28,FALSE),VLOOKUP(all_lmics1819[[Setting]:[Setting]],all_cause_mort[],24,FALSE))*0.95</f>
        <v>0.31589589999999995</v>
      </c>
      <c r="AK48">
        <f>IF(VLOOKUP(all_lmics1819[[Setting]:[Setting]],all_cause_mort[],25,FALSE)="",VLOOKUP(all_lmics1819[[who_choice_region]:[who_choice_region]],missing[],29,FALSE),VLOOKUP(all_lmics1819[[Setting]:[Setting]],all_cause_mort[],25,FALSE))*0.95</f>
        <v>0.43215736642027164</v>
      </c>
      <c r="AL48">
        <f>VLOOKUP(all_lmics1819[[worldbank_region]:[worldbank_region]],Table13[],2,FALSE)*0.95</f>
        <v>69.411165749999981</v>
      </c>
      <c r="AM48">
        <f>VLOOKUP(all_lmics1819[[worldbank_region]:[worldbank_region]],Table13[],3,FALSE)*0.95</f>
        <v>69.411165749999981</v>
      </c>
      <c r="AN48">
        <f>VLOOKUP(all_lmics1819[[worldbank_region]:[worldbank_region]],Table13[],4,FALSE)*0.95</f>
        <v>114.75358274999998</v>
      </c>
      <c r="AO48">
        <f>VLOOKUP(all_lmics1819[[worldbank_region]:[worldbank_region]],Table13[],5,FALSE)*0.95</f>
        <v>114.75358274999998</v>
      </c>
      <c r="AP48">
        <f>VLOOKUP(all_lmics1819[[worldbank_region]:[worldbank_region]],Table13[],6,FALSE)*0.95</f>
        <v>114.75358274999998</v>
      </c>
      <c r="AQ48">
        <f>VLOOKUP(all_lmics1819[[worldbank_region]:[worldbank_region]],Table14[],2,FALSE)*0.95</f>
        <v>1.2732755</v>
      </c>
      <c r="AR48">
        <f>VLOOKUP(all_lmics1819[[worldbank_region]:[worldbank_region]],Table14[],3,FALSE)*0.95</f>
        <v>1.8599005</v>
      </c>
      <c r="AS48">
        <f>VLOOKUP(all_lmics1819[[worldbank_region]:[worldbank_region]],Table14[],4,FALSE)*0.95</f>
        <v>1.8737001999999996</v>
      </c>
      <c r="AT48">
        <f>VLOOKUP(all_lmics1819[[worldbank_region]:[worldbank_region]],Table14[],5,FALSE)*0.95</f>
        <v>2.4603251999999998</v>
      </c>
      <c r="AU48">
        <f>VLOOKUP(all_lmics1819[[worldbank_region]:[worldbank_region]],Table14[],6,FALSE)*0.95</f>
        <v>3.0020645999999997</v>
      </c>
      <c r="AV48">
        <f>IFERROR(VLOOKUP(all_lmics1819[[Setting]:[Setting]],nFacSBA[],4,FALSE),VLOOKUP(all_lmics1819[[who_choice_region]:[who_choice_region]],missing[],30,FALSE))*0.95</f>
        <v>0.28444400445655532</v>
      </c>
      <c r="AW48">
        <f>VLOOKUP(all_lmics1819[[worldbank_region]:[worldbank_region]],hbe[],3)</f>
        <v>0.2</v>
      </c>
      <c r="AX48">
        <f>VLOOKUP(all_lmics1819[[worldbank_region]:[worldbank_region]],hbe[],6)</f>
        <v>0.75</v>
      </c>
      <c r="AY48">
        <f>VLOOKUP(all_lmics1819[[worldbank_region]:[worldbank_region]],hbe[],9)</f>
        <v>0.05</v>
      </c>
    </row>
    <row r="49" spans="1:51" x14ac:dyDescent="0.35">
      <c r="A49" s="8" t="s">
        <v>145</v>
      </c>
      <c r="B49" s="10" t="s">
        <v>6</v>
      </c>
      <c r="C49" s="11" t="s">
        <v>7</v>
      </c>
      <c r="D49">
        <f>VLOOKUP(all_lmics1819[[Setting]:[Setting]],populations[],9,FALSE)</f>
        <v>35739580</v>
      </c>
      <c r="E49">
        <f>VLOOKUP(all_lmics1819[[Setting]:[Setting]],birthrate[],3,FALSE)</f>
        <v>1.9965E-2</v>
      </c>
      <c r="F49">
        <f>all_lmics1819[[#This Row],[2017_population]]*all_lmics1819[[#This Row],[2016_birthrate]]</f>
        <v>713540.71470000001</v>
      </c>
      <c r="G49">
        <f>VLOOKUP(all_lmics1819[[Setting]:[Setting]],birthdose[],4,FALSE)*0.95</f>
        <v>0.3135</v>
      </c>
      <c r="H49">
        <f>VLOOKUP(all_lmics1819[[Setting]:[Setting]],fullvax[],4,FALSE)*0.95</f>
        <v>0.9405</v>
      </c>
      <c r="I49">
        <f>IFERROR(VLOOKUP(all_lmics1819[[Setting]:[Setting]],prev[],3,FALSE),VLOOKUP(all_lmics1819[[who_choice_region]:[who_choice_region]],missing[],2,FALSE))</f>
        <v>1.0999999999999999E-2</v>
      </c>
      <c r="J49">
        <f>IFERROR(VLOOKUP(all_lmics1819[[Setting]:[Setting]],prev[],4,FALSE),VLOOKUP(all_lmics1819[[who_choice_region]:[who_choice_region]],missing[],3,FALSE))</f>
        <v>8.0000000000000002E-3</v>
      </c>
      <c r="K49">
        <f>IFERROR(VLOOKUP(all_lmics1819[[Setting]:[Setting]],prev[],5,FALSE),VLOOKUP(all_lmics1819[[who_choice_region]:[who_choice_region]],missing[],4,FALSE))</f>
        <v>1.2E-2</v>
      </c>
      <c r="L49">
        <f>IFERROR(VLOOKUP(all_lmics1819[[Setting]:[Setting]],prev[],7,FALSE),VLOOKUP(all_lmics1819[[who_choice_region]:[who_choice_region]],missing[],5,FALSE))</f>
        <v>5.1020408163265354E-4</v>
      </c>
      <c r="M49">
        <f>IFERROR(VLOOKUP(all_lmics1819[[Setting]:[Setting]],prev[],6,FALSE),0)</f>
        <v>35739580</v>
      </c>
      <c r="N49">
        <f>IFERROR(VLOOKUP(all_lmics1819[[Setting]:[Setting]],SBA[],4,FALSE),VLOOKUP(all_lmics1819[[who_choice_region]:[who_choice_region]],missing[],6,FALSE))*0.95</f>
        <v>0.69919999999999993</v>
      </c>
      <c r="O49">
        <f>IFERROR(VLOOKUP(all_lmics1819[[Setting]:[Setting]], facility[], 3,FALSE),VLOOKUP(all_lmics1819[[who_choice_region]:[who_choice_region]],missing[],7,FALSE))*0.95</f>
        <v>0.69064999999999999</v>
      </c>
      <c r="P49">
        <f>IF(VLOOKUP(all_lmics1819[[Setting]:[Setting]],all_cause_mort[],4,FALSE)="",VLOOKUP(all_lmics1819[[who_choice_region]:[who_choice_region]],missing[],8,FALSE),VLOOKUP(all_lmics1819[[Setting]:[Setting]],all_cause_mort[],4,FALSE))*0.95</f>
        <v>1.9217274499999999E-2</v>
      </c>
      <c r="Q49">
        <f>IF(VLOOKUP(all_lmics1819[[Setting]:[Setting]],all_cause_mort[],5,FALSE)="",VLOOKUP(all_lmics1819[[who_choice_region]:[who_choice_region]],missing[],9,FALSE),VLOOKUP(all_lmics1819[[Setting]:[Setting]],all_cause_mort[],5,FALSE))*0.95</f>
        <v>8.5840743149999995E-4</v>
      </c>
      <c r="R49">
        <f>IF(VLOOKUP(all_lmics1819[[Setting]:[Setting]],all_cause_mort[],6,FALSE)="",VLOOKUP(all_lmics1819[[who_choice_region]:[who_choice_region]],missing[],10,FALSE),VLOOKUP(all_lmics1819[[Setting]:[Setting]],all_cause_mort[],6,FALSE))*0.95</f>
        <v>4.0026820249999996E-4</v>
      </c>
      <c r="S49">
        <f>IF(VLOOKUP(all_lmics1819[[Setting]:[Setting]],all_cause_mort[],7,FALSE)="",VLOOKUP(all_lmics1819[[who_choice_region]:[who_choice_region]],missing[],11,FALSE),VLOOKUP(all_lmics1819[[Setting]:[Setting]],all_cause_mort[],7,FALSE))*0.95</f>
        <v>2.43118642E-4</v>
      </c>
      <c r="T49">
        <f>IF(VLOOKUP(all_lmics1819[[Setting]:[Setting]],all_cause_mort[],8,FALSE)="",VLOOKUP(all_lmics1819[[who_choice_region]:[who_choice_region]],missing[],12,FALSE),VLOOKUP(all_lmics1819[[Setting]:[Setting]],all_cause_mort[],8,FALSE))*0.95</f>
        <v>3.945860245E-4</v>
      </c>
      <c r="U49">
        <f>IF(VLOOKUP(all_lmics1819[[Setting]:[Setting]],all_cause_mort[],9,FALSE)="",VLOOKUP(all_lmics1819[[who_choice_region]:[who_choice_region]],missing[],13,FALSE),VLOOKUP(all_lmics1819[[Setting]:[Setting]],all_cause_mort[],9,FALSE))*0.95</f>
        <v>5.7516380100000001E-4</v>
      </c>
      <c r="V49">
        <f>IF(VLOOKUP(all_lmics1819[[Setting]:[Setting]],all_cause_mort[],10,FALSE)="",VLOOKUP(all_lmics1819[[who_choice_region]:[who_choice_region]],missing[],14,FALSE),VLOOKUP(all_lmics1819[[Setting]:[Setting]],all_cause_mort[],10,FALSE))*0.95</f>
        <v>6.3657036649999998E-4</v>
      </c>
      <c r="W49">
        <f>IF(VLOOKUP(all_lmics1819[[Setting]:[Setting]],all_cause_mort[],11,FALSE)="",VLOOKUP(all_lmics1819[[who_choice_region]:[who_choice_region]],missing[],15,FALSE),VLOOKUP(all_lmics1819[[Setting]:[Setting]],all_cause_mort[],11,FALSE))*0.95</f>
        <v>7.0701553599999999E-4</v>
      </c>
      <c r="X49">
        <f>IF(VLOOKUP(all_lmics1819[[Setting]:[Setting]],all_cause_mort[],12,FALSE)="",VLOOKUP(all_lmics1819[[who_choice_region]:[who_choice_region]],missing[],16,FALSE),VLOOKUP(all_lmics1819[[Setting]:[Setting]],all_cause_mort[],12,FALSE))*0.95</f>
        <v>9.5364591000000009E-4</v>
      </c>
      <c r="Y49">
        <f>IF(VLOOKUP(all_lmics1819[[Setting]:[Setting]],all_cause_mort[],13,FALSE)="",VLOOKUP(all_lmics1819[[who_choice_region]:[who_choice_region]],missing[],17,FALSE),VLOOKUP(all_lmics1819[[Setting]:[Setting]],all_cause_mort[],13,FALSE))*0.95</f>
        <v>1.2682561750000001E-3</v>
      </c>
      <c r="Z49">
        <f>IF(VLOOKUP(all_lmics1819[[Setting]:[Setting]],all_cause_mort[],14,FALSE)="",VLOOKUP(all_lmics1819[[who_choice_region]:[who_choice_region]],missing[],18,FALSE),VLOOKUP(all_lmics1819[[Setting]:[Setting]],all_cause_mort[],14,FALSE))*0.95</f>
        <v>1.8134749499999999E-3</v>
      </c>
      <c r="AA49">
        <f>IF(VLOOKUP(all_lmics1819[[Setting]:[Setting]],all_cause_mort[],15,FALSE)="",VLOOKUP(all_lmics1819[[who_choice_region]:[who_choice_region]],missing[],19,FALSE),VLOOKUP(all_lmics1819[[Setting]:[Setting]],all_cause_mort[],15,FALSE))*0.95</f>
        <v>2.7765268099999999E-3</v>
      </c>
      <c r="AB49">
        <f>IF(VLOOKUP(all_lmics1819[[Setting]:[Setting]],all_cause_mort[],16,FALSE)="",VLOOKUP(all_lmics1819[[who_choice_region]:[who_choice_region]],missing[],20,FALSE),VLOOKUP(all_lmics1819[[Setting]:[Setting]],all_cause_mort[],16,FALSE))*0.95</f>
        <v>4.328763825E-3</v>
      </c>
      <c r="AC49">
        <f>IF(VLOOKUP(all_lmics1819[[Setting]:[Setting]],all_cause_mort[],17,FALSE)="",VLOOKUP(all_lmics1819[[who_choice_region]:[who_choice_region]],missing[],21,FALSE),VLOOKUP(all_lmics1819[[Setting]:[Setting]],all_cause_mort[],17,FALSE))*0.95</f>
        <v>7.566893544999999E-3</v>
      </c>
      <c r="AD49">
        <f>IF(VLOOKUP(all_lmics1819[[Setting]:[Setting]],all_cause_mort[],18,FALSE)="",VLOOKUP(all_lmics1819[[who_choice_region]:[who_choice_region]],missing[],22,FALSE),VLOOKUP(all_lmics1819[[Setting]:[Setting]],all_cause_mort[],18,FALSE))*0.95</f>
        <v>1.36415155E-2</v>
      </c>
      <c r="AE49">
        <f>IF(VLOOKUP(all_lmics1819[[Setting]:[Setting]],all_cause_mort[],19,FALSE)="",VLOOKUP(all_lmics1819[[who_choice_region]:[who_choice_region]],missing[],23,FALSE),VLOOKUP(all_lmics1819[[Setting]:[Setting]],all_cause_mort[],19,FALSE))*0.95</f>
        <v>2.8130259999999997E-2</v>
      </c>
      <c r="AF49">
        <f>IF(VLOOKUP(all_lmics1819[[Setting]:[Setting]],all_cause_mort[],20,FALSE)="",VLOOKUP(all_lmics1819[[who_choice_region]:[who_choice_region]],missing[],24,FALSE),VLOOKUP(all_lmics1819[[Setting]:[Setting]],all_cause_mort[],20,FALSE))*0.95</f>
        <v>5.0142543749999997E-2</v>
      </c>
      <c r="AG49">
        <f>IF(VLOOKUP(all_lmics1819[[Setting]:[Setting]],all_cause_mort[],21,FALSE)="",VLOOKUP(all_lmics1819[[who_choice_region]:[who_choice_region]],missing[],25,FALSE),VLOOKUP(all_lmics1819[[Setting]:[Setting]],all_cause_mort[],21,FALSE))*0.95</f>
        <v>0.112773664</v>
      </c>
      <c r="AH49">
        <f>IF(VLOOKUP(all_lmics1819[[Setting]:[Setting]],all_cause_mort[],22,FALSE)="",VLOOKUP(all_lmics1819[[who_choice_region]:[who_choice_region]],missing[],26,FALSE),VLOOKUP(all_lmics1819[[Setting]:[Setting]],all_cause_mort[],22,FALSE))*0.95</f>
        <v>0.2132579285</v>
      </c>
      <c r="AI49">
        <f>IF(VLOOKUP(all_lmics1819[[Setting]:[Setting]],all_cause_mort[],23,FALSE)="",VLOOKUP(all_lmics1819[[who_choice_region]:[who_choice_region]],missing[],27,FALSE),VLOOKUP(all_lmics1819[[Setting]:[Setting]],all_cause_mort[],23,FALSE))*0.95</f>
        <v>0.3588802935</v>
      </c>
      <c r="AJ49">
        <f>IF(VLOOKUP(all_lmics1819[[Setting]:[Setting]],all_cause_mort[],24,FALSE)="",VLOOKUP(all_lmics1819[[who_choice_region]:[who_choice_region]],missing[],28,FALSE),VLOOKUP(all_lmics1819[[Setting]:[Setting]],all_cause_mort[],24,FALSE))*0.95</f>
        <v>0.455278399</v>
      </c>
      <c r="AK49">
        <f>IF(VLOOKUP(all_lmics1819[[Setting]:[Setting]],all_cause_mort[],25,FALSE)="",VLOOKUP(all_lmics1819[[who_choice_region]:[who_choice_region]],missing[],29,FALSE),VLOOKUP(all_lmics1819[[Setting]:[Setting]],all_cause_mort[],25,FALSE))*0.95</f>
        <v>0.56994674417622437</v>
      </c>
      <c r="AL49">
        <f>VLOOKUP(all_lmics1819[[worldbank_region]:[worldbank_region]],Table13[],2,FALSE)*0.95</f>
        <v>55.011325099999993</v>
      </c>
      <c r="AM49">
        <f>VLOOKUP(all_lmics1819[[worldbank_region]:[worldbank_region]],Table13[],3,FALSE)*0.95</f>
        <v>55.011325099999993</v>
      </c>
      <c r="AN49">
        <f>VLOOKUP(all_lmics1819[[worldbank_region]:[worldbank_region]],Table13[],4,FALSE)*0.95</f>
        <v>100.35374209999999</v>
      </c>
      <c r="AO49">
        <f>VLOOKUP(all_lmics1819[[worldbank_region]:[worldbank_region]],Table13[],5,FALSE)*0.95</f>
        <v>100.35374209999999</v>
      </c>
      <c r="AP49">
        <f>VLOOKUP(all_lmics1819[[worldbank_region]:[worldbank_region]],Table13[],6,FALSE)*0.95</f>
        <v>100.35374209999999</v>
      </c>
      <c r="AQ49">
        <f>VLOOKUP(all_lmics1819[[worldbank_region]:[worldbank_region]],Table14[],2,FALSE)*0.95</f>
        <v>1.4285577499999997</v>
      </c>
      <c r="AR49">
        <f>VLOOKUP(all_lmics1819[[worldbank_region]:[worldbank_region]],Table14[],3,FALSE)*0.95</f>
        <v>2.0151827500000001</v>
      </c>
      <c r="AS49">
        <f>VLOOKUP(all_lmics1819[[worldbank_region]:[worldbank_region]],Table14[],4,FALSE)*0.95</f>
        <v>1.8840523499999997</v>
      </c>
      <c r="AT49">
        <f>VLOOKUP(all_lmics1819[[worldbank_region]:[worldbank_region]],Table14[],5,FALSE)*0.95</f>
        <v>2.4706773499999999</v>
      </c>
      <c r="AU49">
        <f>VLOOKUP(all_lmics1819[[worldbank_region]:[worldbank_region]],Table14[],6,FALSE)*0.95</f>
        <v>3.0124167499999999</v>
      </c>
      <c r="AV49">
        <f>IFERROR(VLOOKUP(all_lmics1819[[Setting]:[Setting]],nFacSBA[],4,FALSE),VLOOKUP(all_lmics1819[[who_choice_region]:[who_choice_region]],missing[],30,FALSE))*0.95</f>
        <v>0.18855226997320604</v>
      </c>
      <c r="AW49">
        <f>VLOOKUP(all_lmics1819[[worldbank_region]:[worldbank_region]],hbe[],3)</f>
        <v>0.2</v>
      </c>
      <c r="AX49">
        <f>VLOOKUP(all_lmics1819[[worldbank_region]:[worldbank_region]],hbe[],6)</f>
        <v>0.75</v>
      </c>
      <c r="AY49">
        <f>VLOOKUP(all_lmics1819[[worldbank_region]:[worldbank_region]],hbe[],9)</f>
        <v>0.05</v>
      </c>
    </row>
    <row r="50" spans="1:51" x14ac:dyDescent="0.35">
      <c r="A50" s="8" t="s">
        <v>147</v>
      </c>
      <c r="B50" s="10" t="s">
        <v>36</v>
      </c>
      <c r="C50" s="11" t="s">
        <v>37</v>
      </c>
      <c r="D50">
        <f>VLOOKUP(all_lmics1819[[Setting]:[Setting]],populations[],9,FALSE)</f>
        <v>53370609</v>
      </c>
      <c r="E50">
        <f>VLOOKUP(all_lmics1819[[Setting]:[Setting]],birthrate[],3,FALSE)</f>
        <v>1.7794000000000001E-2</v>
      </c>
      <c r="F50">
        <f>all_lmics1819[[#This Row],[2017_population]]*all_lmics1819[[#This Row],[2016_birthrate]]</f>
        <v>949676.616546</v>
      </c>
      <c r="G50">
        <f>VLOOKUP(all_lmics1819[[Setting]:[Setting]],birthdose[],4,FALSE)*0.95</f>
        <v>9.4999999999999998E-3</v>
      </c>
      <c r="H50">
        <f>VLOOKUP(all_lmics1819[[Setting]:[Setting]],fullvax[],4,FALSE)*0.95</f>
        <v>0.84549999999999992</v>
      </c>
      <c r="I50">
        <f>IFERROR(VLOOKUP(all_lmics1819[[Setting]:[Setting]],prev[],3,FALSE),VLOOKUP(all_lmics1819[[who_choice_region]:[who_choice_region]],missing[],2,FALSE))</f>
        <v>8.3000000000000004E-2</v>
      </c>
      <c r="J50">
        <f>IFERROR(VLOOKUP(all_lmics1819[[Setting]:[Setting]],prev[],4,FALSE),VLOOKUP(all_lmics1819[[who_choice_region]:[who_choice_region]],missing[],3,FALSE))</f>
        <v>4.5999999999999999E-2</v>
      </c>
      <c r="K50">
        <f>IFERROR(VLOOKUP(all_lmics1819[[Setting]:[Setting]],prev[],5,FALSE),VLOOKUP(all_lmics1819[[who_choice_region]:[who_choice_region]],missing[],4,FALSE))</f>
        <v>9.4E-2</v>
      </c>
      <c r="L50">
        <f>IFERROR(VLOOKUP(all_lmics1819[[Setting]:[Setting]],prev[],7,FALSE),VLOOKUP(all_lmics1819[[who_choice_region]:[who_choice_region]],missing[],5,FALSE))</f>
        <v>5.6122448979591816E-3</v>
      </c>
      <c r="M50">
        <f>IFERROR(VLOOKUP(all_lmics1819[[Setting]:[Setting]],prev[],6,FALSE),0)</f>
        <v>53370609</v>
      </c>
      <c r="N50">
        <f>IFERROR(VLOOKUP(all_lmics1819[[Setting]:[Setting]],SBA[],4,FALSE),VLOOKUP(all_lmics1819[[who_choice_region]:[who_choice_region]],missing[],6,FALSE))*0.95</f>
        <v>0.57189999999999996</v>
      </c>
      <c r="O50">
        <f>IFERROR(VLOOKUP(all_lmics1819[[Setting]:[Setting]], facility[], 3,FALSE),VLOOKUP(all_lmics1819[[who_choice_region]:[who_choice_region]],missing[],7,FALSE))*0.95</f>
        <v>0.35244999999999999</v>
      </c>
      <c r="P50">
        <f>IF(VLOOKUP(all_lmics1819[[Setting]:[Setting]],all_cause_mort[],4,FALSE)="",VLOOKUP(all_lmics1819[[who_choice_region]:[who_choice_region]],missing[],8,FALSE),VLOOKUP(all_lmics1819[[Setting]:[Setting]],all_cause_mort[],4,FALSE))*0.95</f>
        <v>3.7718695499999996E-2</v>
      </c>
      <c r="Q50">
        <f>IF(VLOOKUP(all_lmics1819[[Setting]:[Setting]],all_cause_mort[],5,FALSE)="",VLOOKUP(all_lmics1819[[who_choice_region]:[who_choice_region]],missing[],9,FALSE),VLOOKUP(all_lmics1819[[Setting]:[Setting]],all_cause_mort[],5,FALSE))*0.95</f>
        <v>2.4016080750000001E-3</v>
      </c>
      <c r="R50">
        <f>IF(VLOOKUP(all_lmics1819[[Setting]:[Setting]],all_cause_mort[],6,FALSE)="",VLOOKUP(all_lmics1819[[who_choice_region]:[who_choice_region]],missing[],10,FALSE),VLOOKUP(all_lmics1819[[Setting]:[Setting]],all_cause_mort[],6,FALSE))*0.95</f>
        <v>1.0220371699999999E-3</v>
      </c>
      <c r="S50">
        <f>IF(VLOOKUP(all_lmics1819[[Setting]:[Setting]],all_cause_mort[],7,FALSE)="",VLOOKUP(all_lmics1819[[who_choice_region]:[who_choice_region]],missing[],11,FALSE),VLOOKUP(all_lmics1819[[Setting]:[Setting]],all_cause_mort[],7,FALSE))*0.95</f>
        <v>8.2933340349999993E-4</v>
      </c>
      <c r="T50">
        <f>IF(VLOOKUP(all_lmics1819[[Setting]:[Setting]],all_cause_mort[],8,FALSE)="",VLOOKUP(all_lmics1819[[who_choice_region]:[who_choice_region]],missing[],12,FALSE),VLOOKUP(all_lmics1819[[Setting]:[Setting]],all_cause_mort[],8,FALSE))*0.95</f>
        <v>1.3457431149999999E-3</v>
      </c>
      <c r="U50">
        <f>IF(VLOOKUP(all_lmics1819[[Setting]:[Setting]],all_cause_mort[],9,FALSE)="",VLOOKUP(all_lmics1819[[who_choice_region]:[who_choice_region]],missing[],13,FALSE),VLOOKUP(all_lmics1819[[Setting]:[Setting]],all_cause_mort[],9,FALSE))*0.95</f>
        <v>1.9046615550000002E-3</v>
      </c>
      <c r="V50">
        <f>IF(VLOOKUP(all_lmics1819[[Setting]:[Setting]],all_cause_mort[],10,FALSE)="",VLOOKUP(all_lmics1819[[who_choice_region]:[who_choice_region]],missing[],14,FALSE),VLOOKUP(all_lmics1819[[Setting]:[Setting]],all_cause_mort[],10,FALSE))*0.95</f>
        <v>2.0646210349999999E-3</v>
      </c>
      <c r="W50">
        <f>IF(VLOOKUP(all_lmics1819[[Setting]:[Setting]],all_cause_mort[],11,FALSE)="",VLOOKUP(all_lmics1819[[who_choice_region]:[who_choice_region]],missing[],15,FALSE),VLOOKUP(all_lmics1819[[Setting]:[Setting]],all_cause_mort[],11,FALSE))*0.95</f>
        <v>2.3782278149999999E-3</v>
      </c>
      <c r="X50">
        <f>IF(VLOOKUP(all_lmics1819[[Setting]:[Setting]],all_cause_mort[],12,FALSE)="",VLOOKUP(all_lmics1819[[who_choice_region]:[who_choice_region]],missing[],16,FALSE),VLOOKUP(all_lmics1819[[Setting]:[Setting]],all_cause_mort[],12,FALSE))*0.95</f>
        <v>3.0109404500000001E-3</v>
      </c>
      <c r="Y50">
        <f>IF(VLOOKUP(all_lmics1819[[Setting]:[Setting]],all_cause_mort[],13,FALSE)="",VLOOKUP(all_lmics1819[[who_choice_region]:[who_choice_region]],missing[],17,FALSE),VLOOKUP(all_lmics1819[[Setting]:[Setting]],all_cause_mort[],13,FALSE))*0.95</f>
        <v>4.0746643799999998E-3</v>
      </c>
      <c r="Z50">
        <f>IF(VLOOKUP(all_lmics1819[[Setting]:[Setting]],all_cause_mort[],14,FALSE)="",VLOOKUP(all_lmics1819[[who_choice_region]:[who_choice_region]],missing[],18,FALSE),VLOOKUP(all_lmics1819[[Setting]:[Setting]],all_cause_mort[],14,FALSE))*0.95</f>
        <v>5.8495756000000003E-3</v>
      </c>
      <c r="AA50">
        <f>IF(VLOOKUP(all_lmics1819[[Setting]:[Setting]],all_cause_mort[],15,FALSE)="",VLOOKUP(all_lmics1819[[who_choice_region]:[who_choice_region]],missing[],19,FALSE),VLOOKUP(all_lmics1819[[Setting]:[Setting]],all_cause_mort[],15,FALSE))*0.95</f>
        <v>8.6327337899999995E-3</v>
      </c>
      <c r="AB50">
        <f>IF(VLOOKUP(all_lmics1819[[Setting]:[Setting]],all_cause_mort[],16,FALSE)="",VLOOKUP(all_lmics1819[[who_choice_region]:[who_choice_region]],missing[],20,FALSE),VLOOKUP(all_lmics1819[[Setting]:[Setting]],all_cause_mort[],16,FALSE))*0.95</f>
        <v>1.292199975E-2</v>
      </c>
      <c r="AC50">
        <f>IF(VLOOKUP(all_lmics1819[[Setting]:[Setting]],all_cause_mort[],17,FALSE)="",VLOOKUP(all_lmics1819[[who_choice_region]:[who_choice_region]],missing[],21,FALSE),VLOOKUP(all_lmics1819[[Setting]:[Setting]],all_cause_mort[],17,FALSE))*0.95</f>
        <v>1.9847164399999999E-2</v>
      </c>
      <c r="AD50">
        <f>IF(VLOOKUP(all_lmics1819[[Setting]:[Setting]],all_cause_mort[],18,FALSE)="",VLOOKUP(all_lmics1819[[who_choice_region]:[who_choice_region]],missing[],22,FALSE),VLOOKUP(all_lmics1819[[Setting]:[Setting]],all_cause_mort[],18,FALSE))*0.95</f>
        <v>3.1253810599999994E-2</v>
      </c>
      <c r="AE50">
        <f>IF(VLOOKUP(all_lmics1819[[Setting]:[Setting]],all_cause_mort[],19,FALSE)="",VLOOKUP(all_lmics1819[[who_choice_region]:[who_choice_region]],missing[],23,FALSE),VLOOKUP(all_lmics1819[[Setting]:[Setting]],all_cause_mort[],19,FALSE))*0.95</f>
        <v>5.0573023899999993E-2</v>
      </c>
      <c r="AF50">
        <f>IF(VLOOKUP(all_lmics1819[[Setting]:[Setting]],all_cause_mort[],20,FALSE)="",VLOOKUP(all_lmics1819[[who_choice_region]:[who_choice_region]],missing[],24,FALSE),VLOOKUP(all_lmics1819[[Setting]:[Setting]],all_cause_mort[],20,FALSE))*0.95</f>
        <v>8.1754653499999996E-2</v>
      </c>
      <c r="AG50">
        <f>IF(VLOOKUP(all_lmics1819[[Setting]:[Setting]],all_cause_mort[],21,FALSE)="",VLOOKUP(all_lmics1819[[who_choice_region]:[who_choice_region]],missing[],25,FALSE),VLOOKUP(all_lmics1819[[Setting]:[Setting]],all_cause_mort[],21,FALSE))*0.95</f>
        <v>0.13207837649999998</v>
      </c>
      <c r="AH50">
        <f>IF(VLOOKUP(all_lmics1819[[Setting]:[Setting]],all_cause_mort[],22,FALSE)="",VLOOKUP(all_lmics1819[[who_choice_region]:[who_choice_region]],missing[],26,FALSE),VLOOKUP(all_lmics1819[[Setting]:[Setting]],all_cause_mort[],22,FALSE))*0.95</f>
        <v>0.2056466425</v>
      </c>
      <c r="AI50">
        <f>IF(VLOOKUP(all_lmics1819[[Setting]:[Setting]],all_cause_mort[],23,FALSE)="",VLOOKUP(all_lmics1819[[who_choice_region]:[who_choice_region]],missing[],27,FALSE),VLOOKUP(all_lmics1819[[Setting]:[Setting]],all_cause_mort[],23,FALSE))*0.95</f>
        <v>0.3010988235</v>
      </c>
      <c r="AJ50">
        <f>IF(VLOOKUP(all_lmics1819[[Setting]:[Setting]],all_cause_mort[],24,FALSE)="",VLOOKUP(all_lmics1819[[who_choice_region]:[who_choice_region]],missing[],28,FALSE),VLOOKUP(all_lmics1819[[Setting]:[Setting]],all_cause_mort[],24,FALSE))*0.95</f>
        <v>0.40964172900000001</v>
      </c>
      <c r="AK50">
        <f>IF(VLOOKUP(all_lmics1819[[Setting]:[Setting]],all_cause_mort[],25,FALSE)="",VLOOKUP(all_lmics1819[[who_choice_region]:[who_choice_region]],missing[],29,FALSE),VLOOKUP(all_lmics1819[[Setting]:[Setting]],all_cause_mort[],25,FALSE))*0.95</f>
        <v>0.55778313262632695</v>
      </c>
      <c r="AL50">
        <f>VLOOKUP(all_lmics1819[[worldbank_region]:[worldbank_region]],Table13[],2,FALSE)*0.95</f>
        <v>54.493717599999997</v>
      </c>
      <c r="AM50">
        <f>VLOOKUP(all_lmics1819[[worldbank_region]:[worldbank_region]],Table13[],3,FALSE)*0.95</f>
        <v>54.493717599999997</v>
      </c>
      <c r="AN50">
        <f>VLOOKUP(all_lmics1819[[worldbank_region]:[worldbank_region]],Table13[],4,FALSE)*0.95</f>
        <v>99.836134599999994</v>
      </c>
      <c r="AO50">
        <f>VLOOKUP(all_lmics1819[[worldbank_region]:[worldbank_region]],Table13[],5,FALSE)*0.95</f>
        <v>99.836134599999994</v>
      </c>
      <c r="AP50">
        <f>VLOOKUP(all_lmics1819[[worldbank_region]:[worldbank_region]],Table13[],6,FALSE)*0.95</f>
        <v>99.836134599999994</v>
      </c>
      <c r="AQ50">
        <f>VLOOKUP(all_lmics1819[[worldbank_region]:[worldbank_region]],Table14[],2,FALSE)*0.95</f>
        <v>0.91095024999999996</v>
      </c>
      <c r="AR50">
        <f>VLOOKUP(all_lmics1819[[worldbank_region]:[worldbank_region]],Table14[],3,FALSE)*0.95</f>
        <v>1.4975752500000001</v>
      </c>
      <c r="AS50">
        <f>VLOOKUP(all_lmics1819[[worldbank_region]:[worldbank_region]],Table14[],4,FALSE)*0.95</f>
        <v>31.377327699999995</v>
      </c>
      <c r="AT50">
        <f>VLOOKUP(all_lmics1819[[worldbank_region]:[worldbank_region]],Table14[],5,FALSE)*0.95</f>
        <v>31.963952699999997</v>
      </c>
      <c r="AU50">
        <f>VLOOKUP(all_lmics1819[[worldbank_region]:[worldbank_region]],Table14[],6,FALSE)*0.95</f>
        <v>32.505692099999997</v>
      </c>
      <c r="AV50">
        <f>IFERROR(VLOOKUP(all_lmics1819[[Setting]:[Setting]],nFacSBA[],4,FALSE),VLOOKUP(all_lmics1819[[who_choice_region]:[who_choice_region]],missing[],30,FALSE))*0.95</f>
        <v>0.12224145355001162</v>
      </c>
      <c r="AW50">
        <f>VLOOKUP(all_lmics1819[[worldbank_region]:[worldbank_region]],hbe[],3)</f>
        <v>0.2</v>
      </c>
      <c r="AX50">
        <f>VLOOKUP(all_lmics1819[[worldbank_region]:[worldbank_region]],hbe[],6)</f>
        <v>0.75</v>
      </c>
      <c r="AY50">
        <f>VLOOKUP(all_lmics1819[[worldbank_region]:[worldbank_region]],hbe[],9)</f>
        <v>0.05</v>
      </c>
    </row>
    <row r="51" spans="1:51" x14ac:dyDescent="0.35">
      <c r="A51" s="12" t="s">
        <v>148</v>
      </c>
      <c r="B51" s="13" t="s">
        <v>49</v>
      </c>
      <c r="C51" s="14" t="s">
        <v>15</v>
      </c>
      <c r="D51">
        <f>VLOOKUP(all_lmics1819[[Setting]:[Setting]],populations[],9,FALSE)</f>
        <v>2533794</v>
      </c>
      <c r="E51">
        <f>VLOOKUP(all_lmics1819[[Setting]:[Setting]],birthrate[],3,FALSE)</f>
        <v>2.9181000000000002E-2</v>
      </c>
      <c r="F51">
        <f>all_lmics1819[[#This Row],[2017_population]]*all_lmics1819[[#This Row],[2016_birthrate]]</f>
        <v>73938.642714000001</v>
      </c>
      <c r="G51">
        <f>VLOOKUP(all_lmics1819[[Setting]:[Setting]],birthdose[],4,FALSE)*0.95</f>
        <v>0.8075</v>
      </c>
      <c r="H51">
        <f>VLOOKUP(all_lmics1819[[Setting]:[Setting]],fullvax[],4,FALSE)*0.95</f>
        <v>0.83599999999999997</v>
      </c>
      <c r="I51">
        <f>IFERROR(VLOOKUP(all_lmics1819[[Setting]:[Setting]],prev[],3,FALSE),VLOOKUP(all_lmics1819[[who_choice_region]:[who_choice_region]],missing[],2,FALSE))</f>
        <v>8.6099999999999996E-2</v>
      </c>
      <c r="J51">
        <f>IFERROR(VLOOKUP(all_lmics1819[[Setting]:[Setting]],prev[],4,FALSE),VLOOKUP(all_lmics1819[[who_choice_region]:[who_choice_region]],missing[],3,FALSE))</f>
        <v>8.1000000000000003E-2</v>
      </c>
      <c r="K51">
        <f>IFERROR(VLOOKUP(all_lmics1819[[Setting]:[Setting]],prev[],5,FALSE),VLOOKUP(all_lmics1819[[who_choice_region]:[who_choice_region]],missing[],4,FALSE))</f>
        <v>9.1600000000000001E-2</v>
      </c>
      <c r="L51">
        <f>IFERROR(VLOOKUP(all_lmics1819[[Setting]:[Setting]],prev[],7,FALSE),VLOOKUP(all_lmics1819[[who_choice_region]:[who_choice_region]],missing[],5,FALSE))</f>
        <v>2.8061224489795943E-3</v>
      </c>
      <c r="M51">
        <f>IFERROR(VLOOKUP(all_lmics1819[[Setting]:[Setting]],prev[],6,FALSE),0)</f>
        <v>2173170</v>
      </c>
      <c r="N51">
        <f>IFERROR(VLOOKUP(all_lmics1819[[Setting]:[Setting]],SBA[],4,FALSE),VLOOKUP(all_lmics1819[[who_choice_region]:[who_choice_region]],missing[],6,FALSE))*0.95</f>
        <v>0.83789999999999998</v>
      </c>
      <c r="O51">
        <f>IFERROR(VLOOKUP(all_lmics1819[[Setting]:[Setting]], facility[], 3,FALSE),VLOOKUP(all_lmics1819[[who_choice_region]:[who_choice_region]],missing[],7,FALSE))*0.95</f>
        <v>0.83030000000000004</v>
      </c>
      <c r="P51">
        <f>IF(VLOOKUP(all_lmics1819[[Setting]:[Setting]],all_cause_mort[],4,FALSE)="",VLOOKUP(all_lmics1819[[who_choice_region]:[who_choice_region]],missing[],8,FALSE),VLOOKUP(all_lmics1819[[Setting]:[Setting]],all_cause_mort[],4,FALSE))*0.95</f>
        <v>3.2658796949999999E-2</v>
      </c>
      <c r="Q51">
        <f>IF(VLOOKUP(all_lmics1819[[Setting]:[Setting]],all_cause_mort[],5,FALSE)="",VLOOKUP(all_lmics1819[[who_choice_region]:[who_choice_region]],missing[],9,FALSE),VLOOKUP(all_lmics1819[[Setting]:[Setting]],all_cause_mort[],5,FALSE))*0.95</f>
        <v>2.764406235E-3</v>
      </c>
      <c r="R51">
        <f>IF(VLOOKUP(all_lmics1819[[Setting]:[Setting]],all_cause_mort[],6,FALSE)="",VLOOKUP(all_lmics1819[[who_choice_region]:[who_choice_region]],missing[],10,FALSE),VLOOKUP(all_lmics1819[[Setting]:[Setting]],all_cause_mort[],6,FALSE))*0.95</f>
        <v>1.167085545E-3</v>
      </c>
      <c r="S51">
        <f>IF(VLOOKUP(all_lmics1819[[Setting]:[Setting]],all_cause_mort[],7,FALSE)="",VLOOKUP(all_lmics1819[[who_choice_region]:[who_choice_region]],missing[],11,FALSE),VLOOKUP(all_lmics1819[[Setting]:[Setting]],all_cause_mort[],7,FALSE))*0.95</f>
        <v>9.4129609999999992E-4</v>
      </c>
      <c r="T51">
        <f>IF(VLOOKUP(all_lmics1819[[Setting]:[Setting]],all_cause_mort[],8,FALSE)="",VLOOKUP(all_lmics1819[[who_choice_region]:[who_choice_region]],missing[],12,FALSE),VLOOKUP(all_lmics1819[[Setting]:[Setting]],all_cause_mort[],8,FALSE))*0.95</f>
        <v>1.5880241800000001E-3</v>
      </c>
      <c r="U51">
        <f>IF(VLOOKUP(all_lmics1819[[Setting]:[Setting]],all_cause_mort[],9,FALSE)="",VLOOKUP(all_lmics1819[[who_choice_region]:[who_choice_region]],missing[],13,FALSE),VLOOKUP(all_lmics1819[[Setting]:[Setting]],all_cause_mort[],9,FALSE))*0.95</f>
        <v>2.6023962749999996E-3</v>
      </c>
      <c r="V51">
        <f>IF(VLOOKUP(all_lmics1819[[Setting]:[Setting]],all_cause_mort[],10,FALSE)="",VLOOKUP(all_lmics1819[[who_choice_region]:[who_choice_region]],missing[],14,FALSE),VLOOKUP(all_lmics1819[[Setting]:[Setting]],all_cause_mort[],10,FALSE))*0.95</f>
        <v>3.7609188999999993E-3</v>
      </c>
      <c r="W51">
        <f>IF(VLOOKUP(all_lmics1819[[Setting]:[Setting]],all_cause_mort[],11,FALSE)="",VLOOKUP(all_lmics1819[[who_choice_region]:[who_choice_region]],missing[],15,FALSE),VLOOKUP(all_lmics1819[[Setting]:[Setting]],all_cause_mort[],11,FALSE))*0.95</f>
        <v>5.0223836199999993E-3</v>
      </c>
      <c r="X51">
        <f>IF(VLOOKUP(all_lmics1819[[Setting]:[Setting]],all_cause_mort[],12,FALSE)="",VLOOKUP(all_lmics1819[[who_choice_region]:[who_choice_region]],missing[],16,FALSE),VLOOKUP(all_lmics1819[[Setting]:[Setting]],all_cause_mort[],12,FALSE))*0.95</f>
        <v>6.8103974299999993E-3</v>
      </c>
      <c r="Y51">
        <f>IF(VLOOKUP(all_lmics1819[[Setting]:[Setting]],all_cause_mort[],13,FALSE)="",VLOOKUP(all_lmics1819[[who_choice_region]:[who_choice_region]],missing[],17,FALSE),VLOOKUP(all_lmics1819[[Setting]:[Setting]],all_cause_mort[],13,FALSE))*0.95</f>
        <v>8.3695684950000002E-3</v>
      </c>
      <c r="Z51">
        <f>IF(VLOOKUP(all_lmics1819[[Setting]:[Setting]],all_cause_mort[],14,FALSE)="",VLOOKUP(all_lmics1819[[who_choice_region]:[who_choice_region]],missing[],18,FALSE),VLOOKUP(all_lmics1819[[Setting]:[Setting]],all_cause_mort[],14,FALSE))*0.95</f>
        <v>1.0253669200000001E-2</v>
      </c>
      <c r="AA51">
        <f>IF(VLOOKUP(all_lmics1819[[Setting]:[Setting]],all_cause_mort[],15,FALSE)="",VLOOKUP(all_lmics1819[[who_choice_region]:[who_choice_region]],missing[],19,FALSE),VLOOKUP(all_lmics1819[[Setting]:[Setting]],all_cause_mort[],15,FALSE))*0.95</f>
        <v>1.3218068199999999E-2</v>
      </c>
      <c r="AB51">
        <f>IF(VLOOKUP(all_lmics1819[[Setting]:[Setting]],all_cause_mort[],16,FALSE)="",VLOOKUP(all_lmics1819[[who_choice_region]:[who_choice_region]],missing[],20,FALSE),VLOOKUP(all_lmics1819[[Setting]:[Setting]],all_cause_mort[],16,FALSE))*0.95</f>
        <v>1.6671352399999999E-2</v>
      </c>
      <c r="AC51">
        <f>IF(VLOOKUP(all_lmics1819[[Setting]:[Setting]],all_cause_mort[],17,FALSE)="",VLOOKUP(all_lmics1819[[who_choice_region]:[who_choice_region]],missing[],21,FALSE),VLOOKUP(all_lmics1819[[Setting]:[Setting]],all_cause_mort[],17,FALSE))*0.95</f>
        <v>2.319836825E-2</v>
      </c>
      <c r="AD51">
        <f>IF(VLOOKUP(all_lmics1819[[Setting]:[Setting]],all_cause_mort[],18,FALSE)="",VLOOKUP(all_lmics1819[[who_choice_region]:[who_choice_region]],missing[],22,FALSE),VLOOKUP(all_lmics1819[[Setting]:[Setting]],all_cause_mort[],18,FALSE))*0.95</f>
        <v>3.4548819099999996E-2</v>
      </c>
      <c r="AE51">
        <f>IF(VLOOKUP(all_lmics1819[[Setting]:[Setting]],all_cause_mort[],19,FALSE)="",VLOOKUP(all_lmics1819[[who_choice_region]:[who_choice_region]],missing[],23,FALSE),VLOOKUP(all_lmics1819[[Setting]:[Setting]],all_cause_mort[],19,FALSE))*0.95</f>
        <v>5.37559913E-2</v>
      </c>
      <c r="AF51">
        <f>IF(VLOOKUP(all_lmics1819[[Setting]:[Setting]],all_cause_mort[],20,FALSE)="",VLOOKUP(all_lmics1819[[who_choice_region]:[who_choice_region]],missing[],24,FALSE),VLOOKUP(all_lmics1819[[Setting]:[Setting]],all_cause_mort[],20,FALSE))*0.95</f>
        <v>8.5019571700000005E-2</v>
      </c>
      <c r="AG51">
        <f>IF(VLOOKUP(all_lmics1819[[Setting]:[Setting]],all_cause_mort[],21,FALSE)="",VLOOKUP(all_lmics1819[[who_choice_region]:[who_choice_region]],missing[],25,FALSE),VLOOKUP(all_lmics1819[[Setting]:[Setting]],all_cause_mort[],21,FALSE))*0.95</f>
        <v>0.14137422149999998</v>
      </c>
      <c r="AH51">
        <f>IF(VLOOKUP(all_lmics1819[[Setting]:[Setting]],all_cause_mort[],22,FALSE)="",VLOOKUP(all_lmics1819[[who_choice_region]:[who_choice_region]],missing[],26,FALSE),VLOOKUP(all_lmics1819[[Setting]:[Setting]],all_cause_mort[],22,FALSE))*0.95</f>
        <v>0.237118461</v>
      </c>
      <c r="AI51">
        <f>IF(VLOOKUP(all_lmics1819[[Setting]:[Setting]],all_cause_mort[],23,FALSE)="",VLOOKUP(all_lmics1819[[who_choice_region]:[who_choice_region]],missing[],27,FALSE),VLOOKUP(all_lmics1819[[Setting]:[Setting]],all_cause_mort[],23,FALSE))*0.95</f>
        <v>0.38873062349999998</v>
      </c>
      <c r="AJ51">
        <f>IF(VLOOKUP(all_lmics1819[[Setting]:[Setting]],all_cause_mort[],24,FALSE)="",VLOOKUP(all_lmics1819[[who_choice_region]:[who_choice_region]],missing[],28,FALSE),VLOOKUP(all_lmics1819[[Setting]:[Setting]],all_cause_mort[],24,FALSE))*0.95</f>
        <v>0.5497680399999999</v>
      </c>
      <c r="AK51">
        <f>IF(VLOOKUP(all_lmics1819[[Setting]:[Setting]],all_cause_mort[],25,FALSE)="",VLOOKUP(all_lmics1819[[who_choice_region]:[who_choice_region]],missing[],29,FALSE),VLOOKUP(all_lmics1819[[Setting]:[Setting]],all_cause_mort[],25,FALSE))*0.95</f>
        <v>0.71786863442267723</v>
      </c>
      <c r="AL51">
        <f>VLOOKUP(all_lmics1819[[worldbank_region]:[worldbank_region]],Table13[],2,FALSE)*0.95</f>
        <v>28.416651749999996</v>
      </c>
      <c r="AM51">
        <f>VLOOKUP(all_lmics1819[[worldbank_region]:[worldbank_region]],Table13[],3,FALSE)*0.95</f>
        <v>28.416651749999996</v>
      </c>
      <c r="AN51">
        <f>VLOOKUP(all_lmics1819[[worldbank_region]:[worldbank_region]],Table13[],4,FALSE)*0.95</f>
        <v>73.759068749999983</v>
      </c>
      <c r="AO51">
        <f>VLOOKUP(all_lmics1819[[worldbank_region]:[worldbank_region]],Table13[],5,FALSE)*0.95</f>
        <v>73.759068749999983</v>
      </c>
      <c r="AP51">
        <f>VLOOKUP(all_lmics1819[[worldbank_region]:[worldbank_region]],Table13[],6,FALSE)*0.95</f>
        <v>73.759068749999983</v>
      </c>
      <c r="AQ51">
        <f>VLOOKUP(all_lmics1819[[worldbank_region]:[worldbank_region]],Table14[],2,FALSE)*0.95</f>
        <v>0.92130239999999997</v>
      </c>
      <c r="AR51">
        <f>VLOOKUP(all_lmics1819[[worldbank_region]:[worldbank_region]],Table14[],3,FALSE)*0.95</f>
        <v>1.5079274</v>
      </c>
      <c r="AS51">
        <f>VLOOKUP(all_lmics1819[[worldbank_region]:[worldbank_region]],Table14[],4,FALSE)*0.95</f>
        <v>5.5073048499999988</v>
      </c>
      <c r="AT51">
        <f>VLOOKUP(all_lmics1819[[worldbank_region]:[worldbank_region]],Table14[],5,FALSE)*0.95</f>
        <v>6.0939298499999985</v>
      </c>
      <c r="AU51">
        <f>VLOOKUP(all_lmics1819[[worldbank_region]:[worldbank_region]],Table14[],6,FALSE)*0.95</f>
        <v>6.6356692499999985</v>
      </c>
      <c r="AV51">
        <f>IFERROR(VLOOKUP(all_lmics1819[[Setting]:[Setting]],nFacSBA[],4,FALSE),VLOOKUP(all_lmics1819[[who_choice_region]:[who_choice_region]],missing[],30,FALSE))*0.95</f>
        <v>9.5476768014721256E-2</v>
      </c>
      <c r="AW51">
        <f>VLOOKUP(all_lmics1819[[worldbank_region]:[worldbank_region]],hbe[],3)</f>
        <v>0.2</v>
      </c>
      <c r="AX51">
        <f>VLOOKUP(all_lmics1819[[worldbank_region]:[worldbank_region]],hbe[],6)</f>
        <v>0.75</v>
      </c>
      <c r="AY51">
        <f>VLOOKUP(all_lmics1819[[worldbank_region]:[worldbank_region]],hbe[],9)</f>
        <v>0.05</v>
      </c>
    </row>
    <row r="52" spans="1:51" x14ac:dyDescent="0.35">
      <c r="A52" s="8" t="s">
        <v>149</v>
      </c>
      <c r="B52" s="10" t="s">
        <v>57</v>
      </c>
      <c r="C52" s="11" t="s">
        <v>58</v>
      </c>
      <c r="D52">
        <f>VLOOKUP(all_lmics1819[[Setting]:[Setting]],populations[],9,FALSE)</f>
        <v>13649</v>
      </c>
      <c r="E52">
        <f>VLOOKUP(all_lmics1819[[Setting]:[Setting]],birthrate[],3,FALSE)</f>
        <v>2.4E-2</v>
      </c>
      <c r="F52">
        <f>all_lmics1819[[#This Row],[2017_population]]*all_lmics1819[[#This Row],[2016_birthrate]]</f>
        <v>327.57600000000002</v>
      </c>
      <c r="G52">
        <f>VLOOKUP(all_lmics1819[[Setting]:[Setting]],birthdose[],4,FALSE)*0.95</f>
        <v>0.9405</v>
      </c>
      <c r="H52">
        <f>VLOOKUP(all_lmics1819[[Setting]:[Setting]],fullvax[],4,FALSE)*0.95</f>
        <v>0.82650000000000001</v>
      </c>
      <c r="I52">
        <f>IFERROR(VLOOKUP(all_lmics1819[[Setting]:[Setting]],prev[],3,FALSE),VLOOKUP(all_lmics1819[[who_choice_region]:[who_choice_region]],missing[],2,FALSE))</f>
        <v>6.2014367393849211E-2</v>
      </c>
      <c r="J52">
        <f>IFERROR(VLOOKUP(all_lmics1819[[Setting]:[Setting]],prev[],4,FALSE),VLOOKUP(all_lmics1819[[who_choice_region]:[who_choice_region]],missing[],3,FALSE))</f>
        <v>5.5830551219148553E-2</v>
      </c>
      <c r="K52">
        <f>IFERROR(VLOOKUP(all_lmics1819[[Setting]:[Setting]],prev[],5,FALSE),VLOOKUP(all_lmics1819[[who_choice_region]:[who_choice_region]],missing[],4,FALSE))</f>
        <v>7.0881613218274672E-2</v>
      </c>
      <c r="L52">
        <f>IFERROR(VLOOKUP(all_lmics1819[[Setting]:[Setting]],prev[],7,FALSE),VLOOKUP(all_lmics1819[[who_choice_region]:[who_choice_region]],missing[],5,FALSE))</f>
        <v>4.5241050124619608E-3</v>
      </c>
      <c r="M52">
        <f>IFERROR(VLOOKUP(all_lmics1819[[Setting]:[Setting]],prev[],6,FALSE),0)</f>
        <v>0</v>
      </c>
      <c r="N52">
        <f>IFERROR(VLOOKUP(all_lmics1819[[Setting]:[Setting]],SBA[],4,FALSE),VLOOKUP(all_lmics1819[[who_choice_region]:[who_choice_region]],missing[],6,FALSE))*0.95</f>
        <v>0.92530000000000001</v>
      </c>
      <c r="O52">
        <f>IFERROR(VLOOKUP(all_lmics1819[[Setting]:[Setting]], facility[], 3,FALSE),VLOOKUP(all_lmics1819[[who_choice_region]:[who_choice_region]],missing[],7,FALSE))*0.95</f>
        <v>0.93764999999999998</v>
      </c>
      <c r="P52">
        <f>IF(VLOOKUP(all_lmics1819[[Setting]:[Setting]],all_cause_mort[],4,FALSE)="",VLOOKUP(all_lmics1819[[who_choice_region]:[who_choice_region]],missing[],8,FALSE),VLOOKUP(all_lmics1819[[Setting]:[Setting]],all_cause_mort[],4,FALSE))*0.95</f>
        <v>1.1562956025774548E-2</v>
      </c>
      <c r="Q52">
        <f>IF(VLOOKUP(all_lmics1819[[Setting]:[Setting]],all_cause_mort[],5,FALSE)="",VLOOKUP(all_lmics1819[[who_choice_region]:[who_choice_region]],missing[],9,FALSE),VLOOKUP(all_lmics1819[[Setting]:[Setting]],all_cause_mort[],5,FALSE))*0.95</f>
        <v>6.4950026431617822E-4</v>
      </c>
      <c r="R52">
        <f>IF(VLOOKUP(all_lmics1819[[Setting]:[Setting]],all_cause_mort[],6,FALSE)="",VLOOKUP(all_lmics1819[[who_choice_region]:[who_choice_region]],missing[],10,FALSE),VLOOKUP(all_lmics1819[[Setting]:[Setting]],all_cause_mort[],6,FALSE))*0.95</f>
        <v>3.6885009439081341E-4</v>
      </c>
      <c r="S52">
        <f>IF(VLOOKUP(all_lmics1819[[Setting]:[Setting]],all_cause_mort[],7,FALSE)="",VLOOKUP(all_lmics1819[[who_choice_region]:[who_choice_region]],missing[],11,FALSE),VLOOKUP(all_lmics1819[[Setting]:[Setting]],all_cause_mort[],7,FALSE))*0.95</f>
        <v>2.9138577745129086E-4</v>
      </c>
      <c r="T52">
        <f>IF(VLOOKUP(all_lmics1819[[Setting]:[Setting]],all_cause_mort[],8,FALSE)="",VLOOKUP(all_lmics1819[[who_choice_region]:[who_choice_region]],missing[],12,FALSE),VLOOKUP(all_lmics1819[[Setting]:[Setting]],all_cause_mort[],8,FALSE))*0.95</f>
        <v>4.6792122755951615E-4</v>
      </c>
      <c r="U52">
        <f>IF(VLOOKUP(all_lmics1819[[Setting]:[Setting]],all_cause_mort[],9,FALSE)="",VLOOKUP(all_lmics1819[[who_choice_region]:[who_choice_region]],missing[],13,FALSE),VLOOKUP(all_lmics1819[[Setting]:[Setting]],all_cause_mort[],9,FALSE))*0.95</f>
        <v>6.5185388771970328E-4</v>
      </c>
      <c r="V52">
        <f>IF(VLOOKUP(all_lmics1819[[Setting]:[Setting]],all_cause_mort[],10,FALSE)="",VLOOKUP(all_lmics1819[[who_choice_region]:[who_choice_region]],missing[],14,FALSE),VLOOKUP(all_lmics1819[[Setting]:[Setting]],all_cause_mort[],10,FALSE))*0.95</f>
        <v>8.1223228398628943E-4</v>
      </c>
      <c r="W52">
        <f>IF(VLOOKUP(all_lmics1819[[Setting]:[Setting]],all_cause_mort[],11,FALSE)="",VLOOKUP(all_lmics1819[[who_choice_region]:[who_choice_region]],missing[],15,FALSE),VLOOKUP(all_lmics1819[[Setting]:[Setting]],all_cause_mort[],11,FALSE))*0.95</f>
        <v>1.0114628984301877E-3</v>
      </c>
      <c r="X52">
        <f>IF(VLOOKUP(all_lmics1819[[Setting]:[Setting]],all_cause_mort[],12,FALSE)="",VLOOKUP(all_lmics1819[[who_choice_region]:[who_choice_region]],missing[],16,FALSE),VLOOKUP(all_lmics1819[[Setting]:[Setting]],all_cause_mort[],12,FALSE))*0.95</f>
        <v>1.3020875789148841E-3</v>
      </c>
      <c r="Y52">
        <f>IF(VLOOKUP(all_lmics1819[[Setting]:[Setting]],all_cause_mort[],13,FALSE)="",VLOOKUP(all_lmics1819[[who_choice_region]:[who_choice_region]],missing[],17,FALSE),VLOOKUP(all_lmics1819[[Setting]:[Setting]],all_cause_mort[],13,FALSE))*0.95</f>
        <v>1.8371769175086101E-3</v>
      </c>
      <c r="Z52">
        <f>IF(VLOOKUP(all_lmics1819[[Setting]:[Setting]],all_cause_mort[],14,FALSE)="",VLOOKUP(all_lmics1819[[who_choice_region]:[who_choice_region]],missing[],18,FALSE),VLOOKUP(all_lmics1819[[Setting]:[Setting]],all_cause_mort[],14,FALSE))*0.95</f>
        <v>2.7026750008059541E-3</v>
      </c>
      <c r="AA52">
        <f>IF(VLOOKUP(all_lmics1819[[Setting]:[Setting]],all_cause_mort[],15,FALSE)="",VLOOKUP(all_lmics1819[[who_choice_region]:[who_choice_region]],missing[],19,FALSE),VLOOKUP(all_lmics1819[[Setting]:[Setting]],all_cause_mort[],15,FALSE))*0.95</f>
        <v>4.3127395551441853E-3</v>
      </c>
      <c r="AB52">
        <f>IF(VLOOKUP(all_lmics1819[[Setting]:[Setting]],all_cause_mort[],16,FALSE)="",VLOOKUP(all_lmics1819[[who_choice_region]:[who_choice_region]],missing[],20,FALSE),VLOOKUP(all_lmics1819[[Setting]:[Setting]],all_cause_mort[],16,FALSE))*0.95</f>
        <v>6.927875547491278E-3</v>
      </c>
      <c r="AC52">
        <f>IF(VLOOKUP(all_lmics1819[[Setting]:[Setting]],all_cause_mort[],17,FALSE)="",VLOOKUP(all_lmics1819[[who_choice_region]:[who_choice_region]],missing[],21,FALSE),VLOOKUP(all_lmics1819[[Setting]:[Setting]],all_cause_mort[],17,FALSE))*0.95</f>
        <v>1.1808510615671607E-2</v>
      </c>
      <c r="AD52">
        <f>IF(VLOOKUP(all_lmics1819[[Setting]:[Setting]],all_cause_mort[],18,FALSE)="",VLOOKUP(all_lmics1819[[who_choice_region]:[who_choice_region]],missing[],22,FALSE),VLOOKUP(all_lmics1819[[Setting]:[Setting]],all_cause_mort[],18,FALSE))*0.95</f>
        <v>2.0163962388090179E-2</v>
      </c>
      <c r="AE52">
        <f>IF(VLOOKUP(all_lmics1819[[Setting]:[Setting]],all_cause_mort[],19,FALSE)="",VLOOKUP(all_lmics1819[[who_choice_region]:[who_choice_region]],missing[],23,FALSE),VLOOKUP(all_lmics1819[[Setting]:[Setting]],all_cause_mort[],19,FALSE))*0.95</f>
        <v>3.5245853683149968E-2</v>
      </c>
      <c r="AF52">
        <f>IF(VLOOKUP(all_lmics1819[[Setting]:[Setting]],all_cause_mort[],20,FALSE)="",VLOOKUP(all_lmics1819[[who_choice_region]:[who_choice_region]],missing[],24,FALSE),VLOOKUP(all_lmics1819[[Setting]:[Setting]],all_cause_mort[],20,FALSE))*0.95</f>
        <v>5.8430569807008163E-2</v>
      </c>
      <c r="AG52">
        <f>IF(VLOOKUP(all_lmics1819[[Setting]:[Setting]],all_cause_mort[],21,FALSE)="",VLOOKUP(all_lmics1819[[who_choice_region]:[who_choice_region]],missing[],25,FALSE),VLOOKUP(all_lmics1819[[Setting]:[Setting]],all_cause_mort[],21,FALSE))*0.95</f>
        <v>9.0126824158744276E-2</v>
      </c>
      <c r="AH52">
        <f>IF(VLOOKUP(all_lmics1819[[Setting]:[Setting]],all_cause_mort[],22,FALSE)="",VLOOKUP(all_lmics1819[[who_choice_region]:[who_choice_region]],missing[],26,FALSE),VLOOKUP(all_lmics1819[[Setting]:[Setting]],all_cause_mort[],22,FALSE))*0.95</f>
        <v>0.13958952278882106</v>
      </c>
      <c r="AI52">
        <f>IF(VLOOKUP(all_lmics1819[[Setting]:[Setting]],all_cause_mort[],23,FALSE)="",VLOOKUP(all_lmics1819[[who_choice_region]:[who_choice_region]],missing[],27,FALSE),VLOOKUP(all_lmics1819[[Setting]:[Setting]],all_cause_mort[],23,FALSE))*0.95</f>
        <v>0.20001538191489329</v>
      </c>
      <c r="AJ52">
        <f>IF(VLOOKUP(all_lmics1819[[Setting]:[Setting]],all_cause_mort[],24,FALSE)="",VLOOKUP(all_lmics1819[[who_choice_region]:[who_choice_region]],missing[],28,FALSE),VLOOKUP(all_lmics1819[[Setting]:[Setting]],all_cause_mort[],24,FALSE))*0.95</f>
        <v>0.27322656913337529</v>
      </c>
      <c r="AK52">
        <f>IF(VLOOKUP(all_lmics1819[[Setting]:[Setting]],all_cause_mort[],25,FALSE)="",VLOOKUP(all_lmics1819[[who_choice_region]:[who_choice_region]],missing[],29,FALSE),VLOOKUP(all_lmics1819[[Setting]:[Setting]],all_cause_mort[],25,FALSE))*0.95</f>
        <v>0.34399302026491624</v>
      </c>
      <c r="AL52">
        <f>VLOOKUP(all_lmics1819[[worldbank_region]:[worldbank_region]],Table13[],2,FALSE)*0.95</f>
        <v>69.411165749999981</v>
      </c>
      <c r="AM52">
        <f>VLOOKUP(all_lmics1819[[worldbank_region]:[worldbank_region]],Table13[],3,FALSE)*0.95</f>
        <v>69.411165749999981</v>
      </c>
      <c r="AN52">
        <f>VLOOKUP(all_lmics1819[[worldbank_region]:[worldbank_region]],Table13[],4,FALSE)*0.95</f>
        <v>114.75358274999998</v>
      </c>
      <c r="AO52">
        <f>VLOOKUP(all_lmics1819[[worldbank_region]:[worldbank_region]],Table13[],5,FALSE)*0.95</f>
        <v>114.75358274999998</v>
      </c>
      <c r="AP52">
        <f>VLOOKUP(all_lmics1819[[worldbank_region]:[worldbank_region]],Table13[],6,FALSE)*0.95</f>
        <v>114.75358274999998</v>
      </c>
      <c r="AQ52">
        <f>VLOOKUP(all_lmics1819[[worldbank_region]:[worldbank_region]],Table14[],2,FALSE)*0.95</f>
        <v>1.2732755</v>
      </c>
      <c r="AR52">
        <f>VLOOKUP(all_lmics1819[[worldbank_region]:[worldbank_region]],Table14[],3,FALSE)*0.95</f>
        <v>1.8599005</v>
      </c>
      <c r="AS52">
        <f>VLOOKUP(all_lmics1819[[worldbank_region]:[worldbank_region]],Table14[],4,FALSE)*0.95</f>
        <v>1.8737001999999996</v>
      </c>
      <c r="AT52">
        <f>VLOOKUP(all_lmics1819[[worldbank_region]:[worldbank_region]],Table14[],5,FALSE)*0.95</f>
        <v>2.4603251999999998</v>
      </c>
      <c r="AU52">
        <f>VLOOKUP(all_lmics1819[[worldbank_region]:[worldbank_region]],Table14[],6,FALSE)*0.95</f>
        <v>3.0020645999999997</v>
      </c>
      <c r="AV52">
        <f>IFERROR(VLOOKUP(all_lmics1819[[Setting]:[Setting]],nFacSBA[],4,FALSE),VLOOKUP(all_lmics1819[[who_choice_region]:[who_choice_region]],missing[],30,FALSE))*0.95</f>
        <v>0.1518638670270247</v>
      </c>
      <c r="AW52">
        <f>VLOOKUP(all_lmics1819[[worldbank_region]:[worldbank_region]],hbe[],3)</f>
        <v>0.2</v>
      </c>
      <c r="AX52">
        <f>VLOOKUP(all_lmics1819[[worldbank_region]:[worldbank_region]],hbe[],6)</f>
        <v>0.75</v>
      </c>
      <c r="AY52">
        <f>VLOOKUP(all_lmics1819[[worldbank_region]:[worldbank_region]],hbe[],9)</f>
        <v>0.05</v>
      </c>
    </row>
    <row r="53" spans="1:51" x14ac:dyDescent="0.35">
      <c r="A53" s="8" t="s">
        <v>155</v>
      </c>
      <c r="B53" s="10" t="s">
        <v>14</v>
      </c>
      <c r="C53" s="11" t="s">
        <v>15</v>
      </c>
      <c r="D53">
        <f>VLOOKUP(all_lmics1819[[Setting]:[Setting]],populations[],9,FALSE)</f>
        <v>190886311</v>
      </c>
      <c r="E53">
        <f>VLOOKUP(all_lmics1819[[Setting]:[Setting]],birthrate[],3,FALSE)</f>
        <v>3.8886999999999998E-2</v>
      </c>
      <c r="F53">
        <f>all_lmics1819[[#This Row],[2017_population]]*all_lmics1819[[#This Row],[2016_birthrate]]</f>
        <v>7422995.9758569999</v>
      </c>
      <c r="G53">
        <f>VLOOKUP(all_lmics1819[[Setting]:[Setting]],birthdose[],4,FALSE)*0.95</f>
        <v>0.28499999999999998</v>
      </c>
      <c r="H53">
        <f>VLOOKUP(all_lmics1819[[Setting]:[Setting]],fullvax[],4,FALSE)*0.95</f>
        <v>0.39899999999999997</v>
      </c>
      <c r="I53">
        <f>IFERROR(VLOOKUP(all_lmics1819[[Setting]:[Setting]],prev[],3,FALSE),VLOOKUP(all_lmics1819[[who_choice_region]:[who_choice_region]],missing[],2,FALSE))</f>
        <v>0.112</v>
      </c>
      <c r="J53">
        <f>IFERROR(VLOOKUP(all_lmics1819[[Setting]:[Setting]],prev[],4,FALSE),VLOOKUP(all_lmics1819[[who_choice_region]:[who_choice_region]],missing[],3,FALSE))</f>
        <v>0.10100000000000001</v>
      </c>
      <c r="K53">
        <f>IFERROR(VLOOKUP(all_lmics1819[[Setting]:[Setting]],prev[],5,FALSE),VLOOKUP(all_lmics1819[[who_choice_region]:[who_choice_region]],missing[],4,FALSE))</f>
        <v>0.128</v>
      </c>
      <c r="L53">
        <f>IFERROR(VLOOKUP(all_lmics1819[[Setting]:[Setting]],prev[],7,FALSE),VLOOKUP(all_lmics1819[[who_choice_region]:[who_choice_region]],missing[],5,FALSE))</f>
        <v>8.1632653061224497E-3</v>
      </c>
      <c r="M53">
        <f>IFERROR(VLOOKUP(all_lmics1819[[Setting]:[Setting]],prev[],6,FALSE),0)</f>
        <v>190886311</v>
      </c>
      <c r="N53">
        <f>IFERROR(VLOOKUP(all_lmics1819[[Setting]:[Setting]],SBA[],4,FALSE),VLOOKUP(all_lmics1819[[who_choice_region]:[who_choice_region]],missing[],6,FALSE))*0.95</f>
        <v>0.40849999999999997</v>
      </c>
      <c r="O53">
        <f>IFERROR(VLOOKUP(all_lmics1819[[Setting]:[Setting]], facility[], 3,FALSE),VLOOKUP(all_lmics1819[[who_choice_region]:[who_choice_region]],missing[],7,FALSE))*0.95</f>
        <v>0.35624999999999996</v>
      </c>
      <c r="P53">
        <f>IF(VLOOKUP(all_lmics1819[[Setting]:[Setting]],all_cause_mort[],4,FALSE)="",VLOOKUP(all_lmics1819[[who_choice_region]:[who_choice_region]],missing[],8,FALSE),VLOOKUP(all_lmics1819[[Setting]:[Setting]],all_cause_mort[],4,FALSE))*0.95</f>
        <v>6.203007805E-2</v>
      </c>
      <c r="Q53">
        <f>IF(VLOOKUP(all_lmics1819[[Setting]:[Setting]],all_cause_mort[],5,FALSE)="",VLOOKUP(all_lmics1819[[who_choice_region]:[who_choice_region]],missing[],9,FALSE),VLOOKUP(all_lmics1819[[Setting]:[Setting]],all_cause_mort[],5,FALSE))*0.95</f>
        <v>1.03059724E-2</v>
      </c>
      <c r="R53">
        <f>IF(VLOOKUP(all_lmics1819[[Setting]:[Setting]],all_cause_mort[],6,FALSE)="",VLOOKUP(all_lmics1819[[who_choice_region]:[who_choice_region]],missing[],10,FALSE),VLOOKUP(all_lmics1819[[Setting]:[Setting]],all_cause_mort[],6,FALSE))*0.95</f>
        <v>5.6988504999999998E-3</v>
      </c>
      <c r="S53">
        <f>IF(VLOOKUP(all_lmics1819[[Setting]:[Setting]],all_cause_mort[],7,FALSE)="",VLOOKUP(all_lmics1819[[who_choice_region]:[who_choice_region]],missing[],11,FALSE),VLOOKUP(all_lmics1819[[Setting]:[Setting]],all_cause_mort[],7,FALSE))*0.95</f>
        <v>3.0802580549999996E-3</v>
      </c>
      <c r="T53">
        <f>IF(VLOOKUP(all_lmics1819[[Setting]:[Setting]],all_cause_mort[],8,FALSE)="",VLOOKUP(all_lmics1819[[who_choice_region]:[who_choice_region]],missing[],12,FALSE),VLOOKUP(all_lmics1819[[Setting]:[Setting]],all_cause_mort[],8,FALSE))*0.95</f>
        <v>4.8680583049999998E-3</v>
      </c>
      <c r="U53">
        <f>IF(VLOOKUP(all_lmics1819[[Setting]:[Setting]],all_cause_mort[],9,FALSE)="",VLOOKUP(all_lmics1819[[who_choice_region]:[who_choice_region]],missing[],13,FALSE),VLOOKUP(all_lmics1819[[Setting]:[Setting]],all_cause_mort[],9,FALSE))*0.95</f>
        <v>5.8890271049999998E-3</v>
      </c>
      <c r="V53">
        <f>IF(VLOOKUP(all_lmics1819[[Setting]:[Setting]],all_cause_mort[],10,FALSE)="",VLOOKUP(all_lmics1819[[who_choice_region]:[who_choice_region]],missing[],14,FALSE),VLOOKUP(all_lmics1819[[Setting]:[Setting]],all_cause_mort[],10,FALSE))*0.95</f>
        <v>6.4871365599999996E-3</v>
      </c>
      <c r="W53">
        <f>IF(VLOOKUP(all_lmics1819[[Setting]:[Setting]],all_cause_mort[],11,FALSE)="",VLOOKUP(all_lmics1819[[who_choice_region]:[who_choice_region]],missing[],15,FALSE),VLOOKUP(all_lmics1819[[Setting]:[Setting]],all_cause_mort[],11,FALSE))*0.95</f>
        <v>6.8015782E-3</v>
      </c>
      <c r="X53">
        <f>IF(VLOOKUP(all_lmics1819[[Setting]:[Setting]],all_cause_mort[],12,FALSE)="",VLOOKUP(all_lmics1819[[who_choice_region]:[who_choice_region]],missing[],16,FALSE),VLOOKUP(all_lmics1819[[Setting]:[Setting]],all_cause_mort[],12,FALSE))*0.95</f>
        <v>7.4587386100000005E-3</v>
      </c>
      <c r="Y53">
        <f>IF(VLOOKUP(all_lmics1819[[Setting]:[Setting]],all_cause_mort[],13,FALSE)="",VLOOKUP(all_lmics1819[[who_choice_region]:[who_choice_region]],missing[],17,FALSE),VLOOKUP(all_lmics1819[[Setting]:[Setting]],all_cause_mort[],13,FALSE))*0.95</f>
        <v>8.4956826099999994E-3</v>
      </c>
      <c r="Z53">
        <f>IF(VLOOKUP(all_lmics1819[[Setting]:[Setting]],all_cause_mort[],14,FALSE)="",VLOOKUP(all_lmics1819[[who_choice_region]:[who_choice_region]],missing[],18,FALSE),VLOOKUP(all_lmics1819[[Setting]:[Setting]],all_cause_mort[],14,FALSE))*0.95</f>
        <v>9.8686968999999996E-3</v>
      </c>
      <c r="AA53">
        <f>IF(VLOOKUP(all_lmics1819[[Setting]:[Setting]],all_cause_mort[],15,FALSE)="",VLOOKUP(all_lmics1819[[who_choice_region]:[who_choice_region]],missing[],19,FALSE),VLOOKUP(all_lmics1819[[Setting]:[Setting]],all_cause_mort[],15,FALSE))*0.95</f>
        <v>1.313369965E-2</v>
      </c>
      <c r="AB53">
        <f>IF(VLOOKUP(all_lmics1819[[Setting]:[Setting]],all_cause_mort[],16,FALSE)="",VLOOKUP(all_lmics1819[[who_choice_region]:[who_choice_region]],missing[],20,FALSE),VLOOKUP(all_lmics1819[[Setting]:[Setting]],all_cause_mort[],16,FALSE))*0.95</f>
        <v>1.8189532200000001E-2</v>
      </c>
      <c r="AC53">
        <f>IF(VLOOKUP(all_lmics1819[[Setting]:[Setting]],all_cause_mort[],17,FALSE)="",VLOOKUP(all_lmics1819[[who_choice_region]:[who_choice_region]],missing[],21,FALSE),VLOOKUP(all_lmics1819[[Setting]:[Setting]],all_cause_mort[],17,FALSE))*0.95</f>
        <v>2.8694742399999997E-2</v>
      </c>
      <c r="AD53">
        <f>IF(VLOOKUP(all_lmics1819[[Setting]:[Setting]],all_cause_mort[],18,FALSE)="",VLOOKUP(all_lmics1819[[who_choice_region]:[who_choice_region]],missing[],22,FALSE),VLOOKUP(all_lmics1819[[Setting]:[Setting]],all_cause_mort[],18,FALSE))*0.95</f>
        <v>4.4856019849999998E-2</v>
      </c>
      <c r="AE53">
        <f>IF(VLOOKUP(all_lmics1819[[Setting]:[Setting]],all_cause_mort[],19,FALSE)="",VLOOKUP(all_lmics1819[[who_choice_region]:[who_choice_region]],missing[],23,FALSE),VLOOKUP(all_lmics1819[[Setting]:[Setting]],all_cause_mort[],19,FALSE))*0.95</f>
        <v>7.4423685899999995E-2</v>
      </c>
      <c r="AF53">
        <f>IF(VLOOKUP(all_lmics1819[[Setting]:[Setting]],all_cause_mort[],20,FALSE)="",VLOOKUP(all_lmics1819[[who_choice_region]:[who_choice_region]],missing[],24,FALSE),VLOOKUP(all_lmics1819[[Setting]:[Setting]],all_cause_mort[],20,FALSE))*0.95</f>
        <v>0.1225036115</v>
      </c>
      <c r="AG53">
        <f>IF(VLOOKUP(all_lmics1819[[Setting]:[Setting]],all_cause_mort[],21,FALSE)="",VLOOKUP(all_lmics1819[[who_choice_region]:[who_choice_region]],missing[],25,FALSE),VLOOKUP(all_lmics1819[[Setting]:[Setting]],all_cause_mort[],21,FALSE))*0.95</f>
        <v>0.19821663549999999</v>
      </c>
      <c r="AH53">
        <f>IF(VLOOKUP(all_lmics1819[[Setting]:[Setting]],all_cause_mort[],22,FALSE)="",VLOOKUP(all_lmics1819[[who_choice_region]:[who_choice_region]],missing[],26,FALSE),VLOOKUP(all_lmics1819[[Setting]:[Setting]],all_cause_mort[],22,FALSE))*0.95</f>
        <v>0.30113683299999999</v>
      </c>
      <c r="AI53">
        <f>IF(VLOOKUP(all_lmics1819[[Setting]:[Setting]],all_cause_mort[],23,FALSE)="",VLOOKUP(all_lmics1819[[who_choice_region]:[who_choice_region]],missing[],27,FALSE),VLOOKUP(all_lmics1819[[Setting]:[Setting]],all_cause_mort[],23,FALSE))*0.95</f>
        <v>0.43302222649999994</v>
      </c>
      <c r="AJ53">
        <f>IF(VLOOKUP(all_lmics1819[[Setting]:[Setting]],all_cause_mort[],24,FALSE)="",VLOOKUP(all_lmics1819[[who_choice_region]:[who_choice_region]],missing[],28,FALSE),VLOOKUP(all_lmics1819[[Setting]:[Setting]],all_cause_mort[],24,FALSE))*0.95</f>
        <v>0.52311848799999994</v>
      </c>
      <c r="AK53">
        <f>IF(VLOOKUP(all_lmics1819[[Setting]:[Setting]],all_cause_mort[],25,FALSE)="",VLOOKUP(all_lmics1819[[who_choice_region]:[who_choice_region]],missing[],29,FALSE),VLOOKUP(all_lmics1819[[Setting]:[Setting]],all_cause_mort[],25,FALSE))*0.95</f>
        <v>0.63121841499328413</v>
      </c>
      <c r="AL53">
        <f>VLOOKUP(all_lmics1819[[worldbank_region]:[worldbank_region]],Table13[],2,FALSE)*0.95</f>
        <v>28.416651749999996</v>
      </c>
      <c r="AM53">
        <f>VLOOKUP(all_lmics1819[[worldbank_region]:[worldbank_region]],Table13[],3,FALSE)*0.95</f>
        <v>28.416651749999996</v>
      </c>
      <c r="AN53">
        <f>VLOOKUP(all_lmics1819[[worldbank_region]:[worldbank_region]],Table13[],4,FALSE)*0.95</f>
        <v>73.759068749999983</v>
      </c>
      <c r="AO53">
        <f>VLOOKUP(all_lmics1819[[worldbank_region]:[worldbank_region]],Table13[],5,FALSE)*0.95</f>
        <v>73.759068749999983</v>
      </c>
      <c r="AP53">
        <f>VLOOKUP(all_lmics1819[[worldbank_region]:[worldbank_region]],Table13[],6,FALSE)*0.95</f>
        <v>73.759068749999983</v>
      </c>
      <c r="AQ53">
        <f>VLOOKUP(all_lmics1819[[worldbank_region]:[worldbank_region]],Table14[],2,FALSE)*0.95</f>
        <v>0.92130239999999997</v>
      </c>
      <c r="AR53">
        <f>VLOOKUP(all_lmics1819[[worldbank_region]:[worldbank_region]],Table14[],3,FALSE)*0.95</f>
        <v>1.5079274</v>
      </c>
      <c r="AS53">
        <f>VLOOKUP(all_lmics1819[[worldbank_region]:[worldbank_region]],Table14[],4,FALSE)*0.95</f>
        <v>5.5073048499999988</v>
      </c>
      <c r="AT53">
        <f>VLOOKUP(all_lmics1819[[worldbank_region]:[worldbank_region]],Table14[],5,FALSE)*0.95</f>
        <v>6.0939298499999985</v>
      </c>
      <c r="AU53">
        <f>VLOOKUP(all_lmics1819[[worldbank_region]:[worldbank_region]],Table14[],6,FALSE)*0.95</f>
        <v>6.6356692499999985</v>
      </c>
      <c r="AV53">
        <f>IFERROR(VLOOKUP(all_lmics1819[[Setting]:[Setting]],nFacSBA[],4,FALSE),VLOOKUP(all_lmics1819[[who_choice_region]:[who_choice_region]],missing[],30,FALSE))*0.95</f>
        <v>6.1264933221720212E-2</v>
      </c>
      <c r="AW53">
        <f>VLOOKUP(all_lmics1819[[worldbank_region]:[worldbank_region]],hbe[],3)</f>
        <v>0.2</v>
      </c>
      <c r="AX53">
        <f>VLOOKUP(all_lmics1819[[worldbank_region]:[worldbank_region]],hbe[],6)</f>
        <v>0.75</v>
      </c>
      <c r="AY53">
        <f>VLOOKUP(all_lmics1819[[worldbank_region]:[worldbank_region]],hbe[],9)</f>
        <v>0.05</v>
      </c>
    </row>
    <row r="54" spans="1:51" x14ac:dyDescent="0.35">
      <c r="A54" s="12" t="s">
        <v>156</v>
      </c>
      <c r="B54" s="13" t="s">
        <v>57</v>
      </c>
      <c r="C54" s="14" t="s">
        <v>58</v>
      </c>
      <c r="D54">
        <f>VLOOKUP(all_lmics1819[[Setting]:[Setting]],populations[],9,FALSE)</f>
        <v>1627</v>
      </c>
      <c r="E54">
        <f>VLOOKUP(all_lmics1819[[Setting]:[Setting]],birthrate[],3,FALSE)</f>
        <v>1.584E-2</v>
      </c>
      <c r="F54">
        <f>all_lmics1819[[#This Row],[2017_population]]*all_lmics1819[[#This Row],[2016_birthrate]]</f>
        <v>25.77168</v>
      </c>
      <c r="G54">
        <f>VLOOKUP(all_lmics1819[[Setting]:[Setting]],birthdose[],4,FALSE)*0.95</f>
        <v>0.79799999999999993</v>
      </c>
      <c r="H54">
        <f>VLOOKUP(all_lmics1819[[Setting]:[Setting]],fullvax[],4,FALSE)*0.95</f>
        <v>0.9405</v>
      </c>
      <c r="I54">
        <f>IFERROR(VLOOKUP(all_lmics1819[[Setting]:[Setting]],prev[],3,FALSE),VLOOKUP(all_lmics1819[[who_choice_region]:[who_choice_region]],missing[],2,FALSE))</f>
        <v>0.1186</v>
      </c>
      <c r="J54">
        <f>IFERROR(VLOOKUP(all_lmics1819[[Setting]:[Setting]],prev[],4,FALSE),VLOOKUP(all_lmics1819[[who_choice_region]:[who_choice_region]],missing[],3,FALSE))</f>
        <v>0.1011</v>
      </c>
      <c r="K54">
        <f>IFERROR(VLOOKUP(all_lmics1819[[Setting]:[Setting]],prev[],5,FALSE),VLOOKUP(all_lmics1819[[who_choice_region]:[who_choice_region]],missing[],4,FALSE))</f>
        <v>0.1386</v>
      </c>
      <c r="L54">
        <f>IFERROR(VLOOKUP(all_lmics1819[[Setting]:[Setting]],prev[],7,FALSE),VLOOKUP(all_lmics1819[[who_choice_region]:[who_choice_region]],missing[],5,FALSE))</f>
        <v>1.0204081632653064E-2</v>
      </c>
      <c r="M54">
        <f>IFERROR(VLOOKUP(all_lmics1819[[Setting]:[Setting]],prev[],6,FALSE),0)</f>
        <v>1630</v>
      </c>
      <c r="N54">
        <f>IFERROR(VLOOKUP(all_lmics1819[[Setting]:[Setting]],SBA[],4,FALSE),VLOOKUP(all_lmics1819[[who_choice_region]:[who_choice_region]],missing[],6,FALSE))*0.95</f>
        <v>0.94990499999999989</v>
      </c>
      <c r="O54">
        <f>IFERROR(VLOOKUP(all_lmics1819[[Setting]:[Setting]], facility[], 3,FALSE),VLOOKUP(all_lmics1819[[who_choice_region]:[who_choice_region]],missing[],7,FALSE))*0.95</f>
        <v>0.89059540561806894</v>
      </c>
      <c r="P54">
        <f>IF(VLOOKUP(all_lmics1819[[Setting]:[Setting]],all_cause_mort[],4,FALSE)="",VLOOKUP(all_lmics1819[[who_choice_region]:[who_choice_region]],missing[],8,FALSE),VLOOKUP(all_lmics1819[[Setting]:[Setting]],all_cause_mort[],4,FALSE))*0.95</f>
        <v>1.1562956025774548E-2</v>
      </c>
      <c r="Q54">
        <f>IF(VLOOKUP(all_lmics1819[[Setting]:[Setting]],all_cause_mort[],5,FALSE)="",VLOOKUP(all_lmics1819[[who_choice_region]:[who_choice_region]],missing[],9,FALSE),VLOOKUP(all_lmics1819[[Setting]:[Setting]],all_cause_mort[],5,FALSE))*0.95</f>
        <v>6.4950026431617822E-4</v>
      </c>
      <c r="R54">
        <f>IF(VLOOKUP(all_lmics1819[[Setting]:[Setting]],all_cause_mort[],6,FALSE)="",VLOOKUP(all_lmics1819[[who_choice_region]:[who_choice_region]],missing[],10,FALSE),VLOOKUP(all_lmics1819[[Setting]:[Setting]],all_cause_mort[],6,FALSE))*0.95</f>
        <v>3.6885009439081341E-4</v>
      </c>
      <c r="S54">
        <f>IF(VLOOKUP(all_lmics1819[[Setting]:[Setting]],all_cause_mort[],7,FALSE)="",VLOOKUP(all_lmics1819[[who_choice_region]:[who_choice_region]],missing[],11,FALSE),VLOOKUP(all_lmics1819[[Setting]:[Setting]],all_cause_mort[],7,FALSE))*0.95</f>
        <v>2.9138577745129086E-4</v>
      </c>
      <c r="T54">
        <f>IF(VLOOKUP(all_lmics1819[[Setting]:[Setting]],all_cause_mort[],8,FALSE)="",VLOOKUP(all_lmics1819[[who_choice_region]:[who_choice_region]],missing[],12,FALSE),VLOOKUP(all_lmics1819[[Setting]:[Setting]],all_cause_mort[],8,FALSE))*0.95</f>
        <v>4.6792122755951615E-4</v>
      </c>
      <c r="U54">
        <f>IF(VLOOKUP(all_lmics1819[[Setting]:[Setting]],all_cause_mort[],9,FALSE)="",VLOOKUP(all_lmics1819[[who_choice_region]:[who_choice_region]],missing[],13,FALSE),VLOOKUP(all_lmics1819[[Setting]:[Setting]],all_cause_mort[],9,FALSE))*0.95</f>
        <v>6.5185388771970328E-4</v>
      </c>
      <c r="V54">
        <f>IF(VLOOKUP(all_lmics1819[[Setting]:[Setting]],all_cause_mort[],10,FALSE)="",VLOOKUP(all_lmics1819[[who_choice_region]:[who_choice_region]],missing[],14,FALSE),VLOOKUP(all_lmics1819[[Setting]:[Setting]],all_cause_mort[],10,FALSE))*0.95</f>
        <v>8.1223228398628943E-4</v>
      </c>
      <c r="W54">
        <f>IF(VLOOKUP(all_lmics1819[[Setting]:[Setting]],all_cause_mort[],11,FALSE)="",VLOOKUP(all_lmics1819[[who_choice_region]:[who_choice_region]],missing[],15,FALSE),VLOOKUP(all_lmics1819[[Setting]:[Setting]],all_cause_mort[],11,FALSE))*0.95</f>
        <v>1.0114628984301877E-3</v>
      </c>
      <c r="X54">
        <f>IF(VLOOKUP(all_lmics1819[[Setting]:[Setting]],all_cause_mort[],12,FALSE)="",VLOOKUP(all_lmics1819[[who_choice_region]:[who_choice_region]],missing[],16,FALSE),VLOOKUP(all_lmics1819[[Setting]:[Setting]],all_cause_mort[],12,FALSE))*0.95</f>
        <v>1.3020875789148841E-3</v>
      </c>
      <c r="Y54">
        <f>IF(VLOOKUP(all_lmics1819[[Setting]:[Setting]],all_cause_mort[],13,FALSE)="",VLOOKUP(all_lmics1819[[who_choice_region]:[who_choice_region]],missing[],17,FALSE),VLOOKUP(all_lmics1819[[Setting]:[Setting]],all_cause_mort[],13,FALSE))*0.95</f>
        <v>1.8371769175086101E-3</v>
      </c>
      <c r="Z54">
        <f>IF(VLOOKUP(all_lmics1819[[Setting]:[Setting]],all_cause_mort[],14,FALSE)="",VLOOKUP(all_lmics1819[[who_choice_region]:[who_choice_region]],missing[],18,FALSE),VLOOKUP(all_lmics1819[[Setting]:[Setting]],all_cause_mort[],14,FALSE))*0.95</f>
        <v>2.7026750008059541E-3</v>
      </c>
      <c r="AA54">
        <f>IF(VLOOKUP(all_lmics1819[[Setting]:[Setting]],all_cause_mort[],15,FALSE)="",VLOOKUP(all_lmics1819[[who_choice_region]:[who_choice_region]],missing[],19,FALSE),VLOOKUP(all_lmics1819[[Setting]:[Setting]],all_cause_mort[],15,FALSE))*0.95</f>
        <v>4.3127395551441853E-3</v>
      </c>
      <c r="AB54">
        <f>IF(VLOOKUP(all_lmics1819[[Setting]:[Setting]],all_cause_mort[],16,FALSE)="",VLOOKUP(all_lmics1819[[who_choice_region]:[who_choice_region]],missing[],20,FALSE),VLOOKUP(all_lmics1819[[Setting]:[Setting]],all_cause_mort[],16,FALSE))*0.95</f>
        <v>6.927875547491278E-3</v>
      </c>
      <c r="AC54">
        <f>IF(VLOOKUP(all_lmics1819[[Setting]:[Setting]],all_cause_mort[],17,FALSE)="",VLOOKUP(all_lmics1819[[who_choice_region]:[who_choice_region]],missing[],21,FALSE),VLOOKUP(all_lmics1819[[Setting]:[Setting]],all_cause_mort[],17,FALSE))*0.95</f>
        <v>1.1808510615671607E-2</v>
      </c>
      <c r="AD54">
        <f>IF(VLOOKUP(all_lmics1819[[Setting]:[Setting]],all_cause_mort[],18,FALSE)="",VLOOKUP(all_lmics1819[[who_choice_region]:[who_choice_region]],missing[],22,FALSE),VLOOKUP(all_lmics1819[[Setting]:[Setting]],all_cause_mort[],18,FALSE))*0.95</f>
        <v>2.0163962388090179E-2</v>
      </c>
      <c r="AE54">
        <f>IF(VLOOKUP(all_lmics1819[[Setting]:[Setting]],all_cause_mort[],19,FALSE)="",VLOOKUP(all_lmics1819[[who_choice_region]:[who_choice_region]],missing[],23,FALSE),VLOOKUP(all_lmics1819[[Setting]:[Setting]],all_cause_mort[],19,FALSE))*0.95</f>
        <v>3.5245853683149968E-2</v>
      </c>
      <c r="AF54">
        <f>IF(VLOOKUP(all_lmics1819[[Setting]:[Setting]],all_cause_mort[],20,FALSE)="",VLOOKUP(all_lmics1819[[who_choice_region]:[who_choice_region]],missing[],24,FALSE),VLOOKUP(all_lmics1819[[Setting]:[Setting]],all_cause_mort[],20,FALSE))*0.95</f>
        <v>5.8430569807008163E-2</v>
      </c>
      <c r="AG54">
        <f>IF(VLOOKUP(all_lmics1819[[Setting]:[Setting]],all_cause_mort[],21,FALSE)="",VLOOKUP(all_lmics1819[[who_choice_region]:[who_choice_region]],missing[],25,FALSE),VLOOKUP(all_lmics1819[[Setting]:[Setting]],all_cause_mort[],21,FALSE))*0.95</f>
        <v>9.0126824158744276E-2</v>
      </c>
      <c r="AH54">
        <f>IF(VLOOKUP(all_lmics1819[[Setting]:[Setting]],all_cause_mort[],22,FALSE)="",VLOOKUP(all_lmics1819[[who_choice_region]:[who_choice_region]],missing[],26,FALSE),VLOOKUP(all_lmics1819[[Setting]:[Setting]],all_cause_mort[],22,FALSE))*0.95</f>
        <v>0.13958952278882106</v>
      </c>
      <c r="AI54">
        <f>IF(VLOOKUP(all_lmics1819[[Setting]:[Setting]],all_cause_mort[],23,FALSE)="",VLOOKUP(all_lmics1819[[who_choice_region]:[who_choice_region]],missing[],27,FALSE),VLOOKUP(all_lmics1819[[Setting]:[Setting]],all_cause_mort[],23,FALSE))*0.95</f>
        <v>0.20001538191489329</v>
      </c>
      <c r="AJ54">
        <f>IF(VLOOKUP(all_lmics1819[[Setting]:[Setting]],all_cause_mort[],24,FALSE)="",VLOOKUP(all_lmics1819[[who_choice_region]:[who_choice_region]],missing[],28,FALSE),VLOOKUP(all_lmics1819[[Setting]:[Setting]],all_cause_mort[],24,FALSE))*0.95</f>
        <v>0.27322656913337529</v>
      </c>
      <c r="AK54">
        <f>IF(VLOOKUP(all_lmics1819[[Setting]:[Setting]],all_cause_mort[],25,FALSE)="",VLOOKUP(all_lmics1819[[who_choice_region]:[who_choice_region]],missing[],29,FALSE),VLOOKUP(all_lmics1819[[Setting]:[Setting]],all_cause_mort[],25,FALSE))*0.95</f>
        <v>0.34399302026491624</v>
      </c>
      <c r="AL54">
        <f>VLOOKUP(all_lmics1819[[worldbank_region]:[worldbank_region]],Table13[],2,FALSE)*0.95</f>
        <v>69.411165749999981</v>
      </c>
      <c r="AM54">
        <f>VLOOKUP(all_lmics1819[[worldbank_region]:[worldbank_region]],Table13[],3,FALSE)*0.95</f>
        <v>69.411165749999981</v>
      </c>
      <c r="AN54">
        <f>VLOOKUP(all_lmics1819[[worldbank_region]:[worldbank_region]],Table13[],4,FALSE)*0.95</f>
        <v>114.75358274999998</v>
      </c>
      <c r="AO54">
        <f>VLOOKUP(all_lmics1819[[worldbank_region]:[worldbank_region]],Table13[],5,FALSE)*0.95</f>
        <v>114.75358274999998</v>
      </c>
      <c r="AP54">
        <f>VLOOKUP(all_lmics1819[[worldbank_region]:[worldbank_region]],Table13[],6,FALSE)*0.95</f>
        <v>114.75358274999998</v>
      </c>
      <c r="AQ54">
        <f>VLOOKUP(all_lmics1819[[worldbank_region]:[worldbank_region]],Table14[],2,FALSE)*0.95</f>
        <v>1.2732755</v>
      </c>
      <c r="AR54">
        <f>VLOOKUP(all_lmics1819[[worldbank_region]:[worldbank_region]],Table14[],3,FALSE)*0.95</f>
        <v>1.8599005</v>
      </c>
      <c r="AS54">
        <f>VLOOKUP(all_lmics1819[[worldbank_region]:[worldbank_region]],Table14[],4,FALSE)*0.95</f>
        <v>1.8737001999999996</v>
      </c>
      <c r="AT54">
        <f>VLOOKUP(all_lmics1819[[worldbank_region]:[worldbank_region]],Table14[],5,FALSE)*0.95</f>
        <v>2.4603251999999998</v>
      </c>
      <c r="AU54">
        <f>VLOOKUP(all_lmics1819[[worldbank_region]:[worldbank_region]],Table14[],6,FALSE)*0.95</f>
        <v>3.0020645999999997</v>
      </c>
      <c r="AV54">
        <f>IFERROR(VLOOKUP(all_lmics1819[[Setting]:[Setting]],nFacSBA[],4,FALSE),VLOOKUP(all_lmics1819[[who_choice_region]:[who_choice_region]],missing[],30,FALSE))*0.95</f>
        <v>0.1518638670270247</v>
      </c>
      <c r="AW54">
        <f>VLOOKUP(all_lmics1819[[worldbank_region]:[worldbank_region]],hbe[],3)</f>
        <v>0.2</v>
      </c>
      <c r="AX54">
        <f>VLOOKUP(all_lmics1819[[worldbank_region]:[worldbank_region]],hbe[],6)</f>
        <v>0.75</v>
      </c>
      <c r="AY54">
        <f>VLOOKUP(all_lmics1819[[worldbank_region]:[worldbank_region]],hbe[],9)</f>
        <v>0.05</v>
      </c>
    </row>
    <row r="55" spans="1:51" x14ac:dyDescent="0.35">
      <c r="A55" s="12" t="s">
        <v>158</v>
      </c>
      <c r="B55" s="13" t="s">
        <v>33</v>
      </c>
      <c r="C55" s="14" t="s">
        <v>7</v>
      </c>
      <c r="D55">
        <f>VLOOKUP(all_lmics1819[[Setting]:[Setting]],populations[],9,FALSE)</f>
        <v>4636262</v>
      </c>
      <c r="E55">
        <f>VLOOKUP(all_lmics1819[[Setting]:[Setting]],birthrate[],3,FALSE)</f>
        <v>1.8731999999999999E-2</v>
      </c>
      <c r="F55">
        <f>all_lmics1819[[#This Row],[2017_population]]*all_lmics1819[[#This Row],[2016_birthrate]]</f>
        <v>86846.459783999991</v>
      </c>
      <c r="G55">
        <f>VLOOKUP(all_lmics1819[[Setting]:[Setting]],birthdose[],4,FALSE)*0.95</f>
        <v>0.9405</v>
      </c>
      <c r="H55">
        <f>VLOOKUP(all_lmics1819[[Setting]:[Setting]],fullvax[],4,FALSE)*0.95</f>
        <v>0.9405</v>
      </c>
      <c r="I55">
        <f>IFERROR(VLOOKUP(all_lmics1819[[Setting]:[Setting]],prev[],3,FALSE),VLOOKUP(all_lmics1819[[who_choice_region]:[who_choice_region]],missing[],2,FALSE))</f>
        <v>2.5000000000000001E-2</v>
      </c>
      <c r="J55">
        <f>IFERROR(VLOOKUP(all_lmics1819[[Setting]:[Setting]],prev[],4,FALSE),VLOOKUP(all_lmics1819[[who_choice_region]:[who_choice_region]],missing[],3,FALSE))</f>
        <v>2.1000000000000001E-2</v>
      </c>
      <c r="K55">
        <f>IFERROR(VLOOKUP(all_lmics1819[[Setting]:[Setting]],prev[],5,FALSE),VLOOKUP(all_lmics1819[[who_choice_region]:[who_choice_region]],missing[],4,FALSE))</f>
        <v>2.9000000000000001E-2</v>
      </c>
      <c r="L55">
        <f>IFERROR(VLOOKUP(all_lmics1819[[Setting]:[Setting]],prev[],7,FALSE),VLOOKUP(all_lmics1819[[who_choice_region]:[who_choice_region]],missing[],5,FALSE))</f>
        <v>2.0408163265306124E-3</v>
      </c>
      <c r="M55">
        <f>IFERROR(VLOOKUP(all_lmics1819[[Setting]:[Setting]],prev[],6,FALSE),0)</f>
        <v>4636262</v>
      </c>
      <c r="N55">
        <f>IFERROR(VLOOKUP(all_lmics1819[[Setting]:[Setting]],SBA[],4,FALSE),VLOOKUP(all_lmics1819[[who_choice_region]:[who_choice_region]],missing[],6,FALSE))*0.95</f>
        <v>0.94714999999999994</v>
      </c>
      <c r="O55">
        <f>IFERROR(VLOOKUP(all_lmics1819[[Setting]:[Setting]], facility[], 3,FALSE),VLOOKUP(all_lmics1819[[who_choice_region]:[who_choice_region]],missing[],7,FALSE))*0.95</f>
        <v>0.9423999999999999</v>
      </c>
      <c r="P55">
        <f>IF(VLOOKUP(all_lmics1819[[Setting]:[Setting]],all_cause_mort[],4,FALSE)="",VLOOKUP(all_lmics1819[[who_choice_region]:[who_choice_region]],missing[],8,FALSE),VLOOKUP(all_lmics1819[[Setting]:[Setting]],all_cause_mort[],4,FALSE))*0.95</f>
        <v>6.9606467699999995E-3</v>
      </c>
      <c r="Q55">
        <f>IF(VLOOKUP(all_lmics1819[[Setting]:[Setting]],all_cause_mort[],5,FALSE)="",VLOOKUP(all_lmics1819[[who_choice_region]:[who_choice_region]],missing[],9,FALSE),VLOOKUP(all_lmics1819[[Setting]:[Setting]],all_cause_mort[],5,FALSE))*0.95</f>
        <v>2.691655235E-4</v>
      </c>
      <c r="R55">
        <f>IF(VLOOKUP(all_lmics1819[[Setting]:[Setting]],all_cause_mort[],6,FALSE)="",VLOOKUP(all_lmics1819[[who_choice_region]:[who_choice_region]],missing[],10,FALSE),VLOOKUP(all_lmics1819[[Setting]:[Setting]],all_cause_mort[],6,FALSE))*0.95</f>
        <v>2.0493582399999999E-4</v>
      </c>
      <c r="S55">
        <f>IF(VLOOKUP(all_lmics1819[[Setting]:[Setting]],all_cause_mort[],7,FALSE)="",VLOOKUP(all_lmics1819[[who_choice_region]:[who_choice_region]],missing[],11,FALSE),VLOOKUP(all_lmics1819[[Setting]:[Setting]],all_cause_mort[],7,FALSE))*0.95</f>
        <v>2.2771172249999997E-4</v>
      </c>
      <c r="T55">
        <f>IF(VLOOKUP(all_lmics1819[[Setting]:[Setting]],all_cause_mort[],8,FALSE)="",VLOOKUP(all_lmics1819[[who_choice_region]:[who_choice_region]],missing[],12,FALSE),VLOOKUP(all_lmics1819[[Setting]:[Setting]],all_cause_mort[],8,FALSE))*0.95</f>
        <v>4.5375208149999997E-4</v>
      </c>
      <c r="U55">
        <f>IF(VLOOKUP(all_lmics1819[[Setting]:[Setting]],all_cause_mort[],9,FALSE)="",VLOOKUP(all_lmics1819[[who_choice_region]:[who_choice_region]],missing[],13,FALSE),VLOOKUP(all_lmics1819[[Setting]:[Setting]],all_cause_mort[],9,FALSE))*0.95</f>
        <v>7.25005686E-4</v>
      </c>
      <c r="V55">
        <f>IF(VLOOKUP(all_lmics1819[[Setting]:[Setting]],all_cause_mort[],10,FALSE)="",VLOOKUP(all_lmics1819[[who_choice_region]:[who_choice_region]],missing[],14,FALSE),VLOOKUP(all_lmics1819[[Setting]:[Setting]],all_cause_mort[],10,FALSE))*0.95</f>
        <v>7.6917555600000004E-4</v>
      </c>
      <c r="W55">
        <f>IF(VLOOKUP(all_lmics1819[[Setting]:[Setting]],all_cause_mort[],11,FALSE)="",VLOOKUP(all_lmics1819[[who_choice_region]:[who_choice_region]],missing[],15,FALSE),VLOOKUP(all_lmics1819[[Setting]:[Setting]],all_cause_mort[],11,FALSE))*0.95</f>
        <v>8.1668646199999995E-4</v>
      </c>
      <c r="X55">
        <f>IF(VLOOKUP(all_lmics1819[[Setting]:[Setting]],all_cause_mort[],12,FALSE)="",VLOOKUP(all_lmics1819[[who_choice_region]:[who_choice_region]],missing[],16,FALSE),VLOOKUP(all_lmics1819[[Setting]:[Setting]],all_cause_mort[],12,FALSE))*0.95</f>
        <v>9.0946338599999998E-4</v>
      </c>
      <c r="Y55">
        <f>IF(VLOOKUP(all_lmics1819[[Setting]:[Setting]],all_cause_mort[],13,FALSE)="",VLOOKUP(all_lmics1819[[who_choice_region]:[who_choice_region]],missing[],17,FALSE),VLOOKUP(all_lmics1819[[Setting]:[Setting]],all_cause_mort[],13,FALSE))*0.95</f>
        <v>1.3647739900000001E-3</v>
      </c>
      <c r="Z55">
        <f>IF(VLOOKUP(all_lmics1819[[Setting]:[Setting]],all_cause_mort[],14,FALSE)="",VLOOKUP(all_lmics1819[[who_choice_region]:[who_choice_region]],missing[],18,FALSE),VLOOKUP(all_lmics1819[[Setting]:[Setting]],all_cause_mort[],14,FALSE))*0.95</f>
        <v>2.2429053499999998E-3</v>
      </c>
      <c r="AA55">
        <f>IF(VLOOKUP(all_lmics1819[[Setting]:[Setting]],all_cause_mort[],15,FALSE)="",VLOOKUP(all_lmics1819[[who_choice_region]:[who_choice_region]],missing[],19,FALSE),VLOOKUP(all_lmics1819[[Setting]:[Setting]],all_cause_mort[],15,FALSE))*0.95</f>
        <v>3.8995617099999999E-3</v>
      </c>
      <c r="AB55">
        <f>IF(VLOOKUP(all_lmics1819[[Setting]:[Setting]],all_cause_mort[],16,FALSE)="",VLOOKUP(all_lmics1819[[who_choice_region]:[who_choice_region]],missing[],20,FALSE),VLOOKUP(all_lmics1819[[Setting]:[Setting]],all_cause_mort[],16,FALSE))*0.95</f>
        <v>6.9833203249999995E-3</v>
      </c>
      <c r="AC55">
        <f>IF(VLOOKUP(all_lmics1819[[Setting]:[Setting]],all_cause_mort[],17,FALSE)="",VLOOKUP(all_lmics1819[[who_choice_region]:[who_choice_region]],missing[],21,FALSE),VLOOKUP(all_lmics1819[[Setting]:[Setting]],all_cause_mort[],17,FALSE))*0.95</f>
        <v>1.1332426499999999E-2</v>
      </c>
      <c r="AD55">
        <f>IF(VLOOKUP(all_lmics1819[[Setting]:[Setting]],all_cause_mort[],18,FALSE)="",VLOOKUP(all_lmics1819[[who_choice_region]:[who_choice_region]],missing[],22,FALSE),VLOOKUP(all_lmics1819[[Setting]:[Setting]],all_cause_mort[],18,FALSE))*0.95</f>
        <v>2.2959904949999999E-2</v>
      </c>
      <c r="AE55">
        <f>IF(VLOOKUP(all_lmics1819[[Setting]:[Setting]],all_cause_mort[],19,FALSE)="",VLOOKUP(all_lmics1819[[who_choice_region]:[who_choice_region]],missing[],23,FALSE),VLOOKUP(all_lmics1819[[Setting]:[Setting]],all_cause_mort[],19,FALSE))*0.95</f>
        <v>2.8176861299999998E-2</v>
      </c>
      <c r="AF55">
        <f>IF(VLOOKUP(all_lmics1819[[Setting]:[Setting]],all_cause_mort[],20,FALSE)="",VLOOKUP(all_lmics1819[[who_choice_region]:[who_choice_region]],missing[],24,FALSE),VLOOKUP(all_lmics1819[[Setting]:[Setting]],all_cause_mort[],20,FALSE))*0.95</f>
        <v>4.9851416249999995E-2</v>
      </c>
      <c r="AG55">
        <f>IF(VLOOKUP(all_lmics1819[[Setting]:[Setting]],all_cause_mort[],21,FALSE)="",VLOOKUP(all_lmics1819[[who_choice_region]:[who_choice_region]],missing[],25,FALSE),VLOOKUP(all_lmics1819[[Setting]:[Setting]],all_cause_mort[],21,FALSE))*0.95</f>
        <v>7.5194645099999999E-2</v>
      </c>
      <c r="AH55">
        <f>IF(VLOOKUP(all_lmics1819[[Setting]:[Setting]],all_cause_mort[],22,FALSE)="",VLOOKUP(all_lmics1819[[who_choice_region]:[who_choice_region]],missing[],26,FALSE),VLOOKUP(all_lmics1819[[Setting]:[Setting]],all_cause_mort[],22,FALSE))*0.95</f>
        <v>0.105315176</v>
      </c>
      <c r="AI55">
        <f>IF(VLOOKUP(all_lmics1819[[Setting]:[Setting]],all_cause_mort[],23,FALSE)="",VLOOKUP(all_lmics1819[[who_choice_region]:[who_choice_region]],missing[],27,FALSE),VLOOKUP(all_lmics1819[[Setting]:[Setting]],all_cause_mort[],23,FALSE))*0.95</f>
        <v>0.13893679699999997</v>
      </c>
      <c r="AJ55">
        <f>IF(VLOOKUP(all_lmics1819[[Setting]:[Setting]],all_cause_mort[],24,FALSE)="",VLOOKUP(all_lmics1819[[who_choice_region]:[who_choice_region]],missing[],28,FALSE),VLOOKUP(all_lmics1819[[Setting]:[Setting]],all_cause_mort[],24,FALSE))*0.95</f>
        <v>0.18142815000000001</v>
      </c>
      <c r="AK55">
        <f>IF(VLOOKUP(all_lmics1819[[Setting]:[Setting]],all_cause_mort[],25,FALSE)="",VLOOKUP(all_lmics1819[[who_choice_region]:[who_choice_region]],missing[],29,FALSE),VLOOKUP(all_lmics1819[[Setting]:[Setting]],all_cause_mort[],25,FALSE))*0.95</f>
        <v>0.24580960602205565</v>
      </c>
      <c r="AL55">
        <f>VLOOKUP(all_lmics1819[[worldbank_region]:[worldbank_region]],Table13[],2,FALSE)*0.95</f>
        <v>55.011325099999993</v>
      </c>
      <c r="AM55">
        <f>VLOOKUP(all_lmics1819[[worldbank_region]:[worldbank_region]],Table13[],3,FALSE)*0.95</f>
        <v>55.011325099999993</v>
      </c>
      <c r="AN55">
        <f>VLOOKUP(all_lmics1819[[worldbank_region]:[worldbank_region]],Table13[],4,FALSE)*0.95</f>
        <v>100.35374209999999</v>
      </c>
      <c r="AO55">
        <f>VLOOKUP(all_lmics1819[[worldbank_region]:[worldbank_region]],Table13[],5,FALSE)*0.95</f>
        <v>100.35374209999999</v>
      </c>
      <c r="AP55">
        <f>VLOOKUP(all_lmics1819[[worldbank_region]:[worldbank_region]],Table13[],6,FALSE)*0.95</f>
        <v>100.35374209999999</v>
      </c>
      <c r="AQ55">
        <f>VLOOKUP(all_lmics1819[[worldbank_region]:[worldbank_region]],Table14[],2,FALSE)*0.95</f>
        <v>1.4285577499999997</v>
      </c>
      <c r="AR55">
        <f>VLOOKUP(all_lmics1819[[worldbank_region]:[worldbank_region]],Table14[],3,FALSE)*0.95</f>
        <v>2.0151827500000001</v>
      </c>
      <c r="AS55">
        <f>VLOOKUP(all_lmics1819[[worldbank_region]:[worldbank_region]],Table14[],4,FALSE)*0.95</f>
        <v>1.8840523499999997</v>
      </c>
      <c r="AT55">
        <f>VLOOKUP(all_lmics1819[[worldbank_region]:[worldbank_region]],Table14[],5,FALSE)*0.95</f>
        <v>2.4706773499999999</v>
      </c>
      <c r="AU55">
        <f>VLOOKUP(all_lmics1819[[worldbank_region]:[worldbank_region]],Table14[],6,FALSE)*0.95</f>
        <v>3.0124167499999999</v>
      </c>
      <c r="AV55">
        <f>IFERROR(VLOOKUP(all_lmics1819[[Setting]:[Setting]],nFacSBA[],4,FALSE),VLOOKUP(all_lmics1819[[who_choice_region]:[who_choice_region]],missing[],30,FALSE))*0.95</f>
        <v>0.368442657134743</v>
      </c>
      <c r="AW55">
        <f>VLOOKUP(all_lmics1819[[worldbank_region]:[worldbank_region]],hbe[],3)</f>
        <v>0.2</v>
      </c>
      <c r="AX55">
        <f>VLOOKUP(all_lmics1819[[worldbank_region]:[worldbank_region]],hbe[],6)</f>
        <v>0.75</v>
      </c>
      <c r="AY55">
        <f>VLOOKUP(all_lmics1819[[worldbank_region]:[worldbank_region]],hbe[],9)</f>
        <v>0.05</v>
      </c>
    </row>
    <row r="56" spans="1:51" x14ac:dyDescent="0.35">
      <c r="A56" s="12" t="s">
        <v>160</v>
      </c>
      <c r="B56" s="13" t="s">
        <v>57</v>
      </c>
      <c r="C56" s="14" t="s">
        <v>58</v>
      </c>
      <c r="D56">
        <f>VLOOKUP(all_lmics1819[[Setting]:[Setting]],populations[],9,FALSE)</f>
        <v>21729</v>
      </c>
      <c r="E56">
        <f>VLOOKUP(all_lmics1819[[Setting]:[Setting]],birthrate[],3,FALSE)</f>
        <v>1.2E-2</v>
      </c>
      <c r="F56">
        <f>all_lmics1819[[#This Row],[2017_population]]*all_lmics1819[[#This Row],[2016_birthrate]]</f>
        <v>260.74799999999999</v>
      </c>
      <c r="G56">
        <f>VLOOKUP(all_lmics1819[[Setting]:[Setting]],birthdose[],4,FALSE)*0.95</f>
        <v>0.9405</v>
      </c>
      <c r="H56">
        <f>VLOOKUP(all_lmics1819[[Setting]:[Setting]],fullvax[],4,FALSE)*0.95</f>
        <v>0.93099999999999994</v>
      </c>
      <c r="I56">
        <f>IFERROR(VLOOKUP(all_lmics1819[[Setting]:[Setting]],prev[],3,FALSE),VLOOKUP(all_lmics1819[[who_choice_region]:[who_choice_region]],missing[],2,FALSE))</f>
        <v>2.9399999999999999E-2</v>
      </c>
      <c r="J56">
        <f>IFERROR(VLOOKUP(all_lmics1819[[Setting]:[Setting]],prev[],4,FALSE),VLOOKUP(all_lmics1819[[who_choice_region]:[who_choice_region]],missing[],3,FALSE))</f>
        <v>4.1000000000000003E-3</v>
      </c>
      <c r="K56">
        <f>IFERROR(VLOOKUP(all_lmics1819[[Setting]:[Setting]],prev[],5,FALSE),VLOOKUP(all_lmics1819[[who_choice_region]:[who_choice_region]],missing[],4,FALSE))</f>
        <v>0.18140000000000001</v>
      </c>
      <c r="L56">
        <f>IFERROR(VLOOKUP(all_lmics1819[[Setting]:[Setting]],prev[],7,FALSE),VLOOKUP(all_lmics1819[[who_choice_region]:[who_choice_region]],missing[],5,FALSE))</f>
        <v>7.7551020408163265E-2</v>
      </c>
      <c r="M56">
        <f>IFERROR(VLOOKUP(all_lmics1819[[Setting]:[Setting]],prev[],6,FALSE),0)</f>
        <v>20470</v>
      </c>
      <c r="N56">
        <f>IFERROR(VLOOKUP(all_lmics1819[[Setting]:[Setting]],SBA[],4,FALSE),VLOOKUP(all_lmics1819[[who_choice_region]:[who_choice_region]],missing[],6,FALSE))*0.95</f>
        <v>0.94990499999999989</v>
      </c>
      <c r="O56">
        <f>IFERROR(VLOOKUP(all_lmics1819[[Setting]:[Setting]], facility[], 3,FALSE),VLOOKUP(all_lmics1819[[who_choice_region]:[who_choice_region]],missing[],7,FALSE))*0.95</f>
        <v>0.94990499999999989</v>
      </c>
      <c r="P56">
        <f>IF(VLOOKUP(all_lmics1819[[Setting]:[Setting]],all_cause_mort[],4,FALSE)="",VLOOKUP(all_lmics1819[[who_choice_region]:[who_choice_region]],missing[],8,FALSE),VLOOKUP(all_lmics1819[[Setting]:[Setting]],all_cause_mort[],4,FALSE))*0.95</f>
        <v>1.1562956025774548E-2</v>
      </c>
      <c r="Q56">
        <f>IF(VLOOKUP(all_lmics1819[[Setting]:[Setting]],all_cause_mort[],5,FALSE)="",VLOOKUP(all_lmics1819[[who_choice_region]:[who_choice_region]],missing[],9,FALSE),VLOOKUP(all_lmics1819[[Setting]:[Setting]],all_cause_mort[],5,FALSE))*0.95</f>
        <v>6.4950026431617822E-4</v>
      </c>
      <c r="R56">
        <f>IF(VLOOKUP(all_lmics1819[[Setting]:[Setting]],all_cause_mort[],6,FALSE)="",VLOOKUP(all_lmics1819[[who_choice_region]:[who_choice_region]],missing[],10,FALSE),VLOOKUP(all_lmics1819[[Setting]:[Setting]],all_cause_mort[],6,FALSE))*0.95</f>
        <v>3.6885009439081341E-4</v>
      </c>
      <c r="S56">
        <f>IF(VLOOKUP(all_lmics1819[[Setting]:[Setting]],all_cause_mort[],7,FALSE)="",VLOOKUP(all_lmics1819[[who_choice_region]:[who_choice_region]],missing[],11,FALSE),VLOOKUP(all_lmics1819[[Setting]:[Setting]],all_cause_mort[],7,FALSE))*0.95</f>
        <v>2.9138577745129086E-4</v>
      </c>
      <c r="T56">
        <f>IF(VLOOKUP(all_lmics1819[[Setting]:[Setting]],all_cause_mort[],8,FALSE)="",VLOOKUP(all_lmics1819[[who_choice_region]:[who_choice_region]],missing[],12,FALSE),VLOOKUP(all_lmics1819[[Setting]:[Setting]],all_cause_mort[],8,FALSE))*0.95</f>
        <v>4.6792122755951615E-4</v>
      </c>
      <c r="U56">
        <f>IF(VLOOKUP(all_lmics1819[[Setting]:[Setting]],all_cause_mort[],9,FALSE)="",VLOOKUP(all_lmics1819[[who_choice_region]:[who_choice_region]],missing[],13,FALSE),VLOOKUP(all_lmics1819[[Setting]:[Setting]],all_cause_mort[],9,FALSE))*0.95</f>
        <v>6.5185388771970328E-4</v>
      </c>
      <c r="V56">
        <f>IF(VLOOKUP(all_lmics1819[[Setting]:[Setting]],all_cause_mort[],10,FALSE)="",VLOOKUP(all_lmics1819[[who_choice_region]:[who_choice_region]],missing[],14,FALSE),VLOOKUP(all_lmics1819[[Setting]:[Setting]],all_cause_mort[],10,FALSE))*0.95</f>
        <v>8.1223228398628943E-4</v>
      </c>
      <c r="W56">
        <f>IF(VLOOKUP(all_lmics1819[[Setting]:[Setting]],all_cause_mort[],11,FALSE)="",VLOOKUP(all_lmics1819[[who_choice_region]:[who_choice_region]],missing[],15,FALSE),VLOOKUP(all_lmics1819[[Setting]:[Setting]],all_cause_mort[],11,FALSE))*0.95</f>
        <v>1.0114628984301877E-3</v>
      </c>
      <c r="X56">
        <f>IF(VLOOKUP(all_lmics1819[[Setting]:[Setting]],all_cause_mort[],12,FALSE)="",VLOOKUP(all_lmics1819[[who_choice_region]:[who_choice_region]],missing[],16,FALSE),VLOOKUP(all_lmics1819[[Setting]:[Setting]],all_cause_mort[],12,FALSE))*0.95</f>
        <v>1.3020875789148841E-3</v>
      </c>
      <c r="Y56">
        <f>IF(VLOOKUP(all_lmics1819[[Setting]:[Setting]],all_cause_mort[],13,FALSE)="",VLOOKUP(all_lmics1819[[who_choice_region]:[who_choice_region]],missing[],17,FALSE),VLOOKUP(all_lmics1819[[Setting]:[Setting]],all_cause_mort[],13,FALSE))*0.95</f>
        <v>1.8371769175086101E-3</v>
      </c>
      <c r="Z56">
        <f>IF(VLOOKUP(all_lmics1819[[Setting]:[Setting]],all_cause_mort[],14,FALSE)="",VLOOKUP(all_lmics1819[[who_choice_region]:[who_choice_region]],missing[],18,FALSE),VLOOKUP(all_lmics1819[[Setting]:[Setting]],all_cause_mort[],14,FALSE))*0.95</f>
        <v>2.7026750008059541E-3</v>
      </c>
      <c r="AA56">
        <f>IF(VLOOKUP(all_lmics1819[[Setting]:[Setting]],all_cause_mort[],15,FALSE)="",VLOOKUP(all_lmics1819[[who_choice_region]:[who_choice_region]],missing[],19,FALSE),VLOOKUP(all_lmics1819[[Setting]:[Setting]],all_cause_mort[],15,FALSE))*0.95</f>
        <v>4.3127395551441853E-3</v>
      </c>
      <c r="AB56">
        <f>IF(VLOOKUP(all_lmics1819[[Setting]:[Setting]],all_cause_mort[],16,FALSE)="",VLOOKUP(all_lmics1819[[who_choice_region]:[who_choice_region]],missing[],20,FALSE),VLOOKUP(all_lmics1819[[Setting]:[Setting]],all_cause_mort[],16,FALSE))*0.95</f>
        <v>6.927875547491278E-3</v>
      </c>
      <c r="AC56">
        <f>IF(VLOOKUP(all_lmics1819[[Setting]:[Setting]],all_cause_mort[],17,FALSE)="",VLOOKUP(all_lmics1819[[who_choice_region]:[who_choice_region]],missing[],21,FALSE),VLOOKUP(all_lmics1819[[Setting]:[Setting]],all_cause_mort[],17,FALSE))*0.95</f>
        <v>1.1808510615671607E-2</v>
      </c>
      <c r="AD56">
        <f>IF(VLOOKUP(all_lmics1819[[Setting]:[Setting]],all_cause_mort[],18,FALSE)="",VLOOKUP(all_lmics1819[[who_choice_region]:[who_choice_region]],missing[],22,FALSE),VLOOKUP(all_lmics1819[[Setting]:[Setting]],all_cause_mort[],18,FALSE))*0.95</f>
        <v>2.0163962388090179E-2</v>
      </c>
      <c r="AE56">
        <f>IF(VLOOKUP(all_lmics1819[[Setting]:[Setting]],all_cause_mort[],19,FALSE)="",VLOOKUP(all_lmics1819[[who_choice_region]:[who_choice_region]],missing[],23,FALSE),VLOOKUP(all_lmics1819[[Setting]:[Setting]],all_cause_mort[],19,FALSE))*0.95</f>
        <v>3.5245853683149968E-2</v>
      </c>
      <c r="AF56">
        <f>IF(VLOOKUP(all_lmics1819[[Setting]:[Setting]],all_cause_mort[],20,FALSE)="",VLOOKUP(all_lmics1819[[who_choice_region]:[who_choice_region]],missing[],24,FALSE),VLOOKUP(all_lmics1819[[Setting]:[Setting]],all_cause_mort[],20,FALSE))*0.95</f>
        <v>5.8430569807008163E-2</v>
      </c>
      <c r="AG56">
        <f>IF(VLOOKUP(all_lmics1819[[Setting]:[Setting]],all_cause_mort[],21,FALSE)="",VLOOKUP(all_lmics1819[[who_choice_region]:[who_choice_region]],missing[],25,FALSE),VLOOKUP(all_lmics1819[[Setting]:[Setting]],all_cause_mort[],21,FALSE))*0.95</f>
        <v>9.0126824158744276E-2</v>
      </c>
      <c r="AH56">
        <f>IF(VLOOKUP(all_lmics1819[[Setting]:[Setting]],all_cause_mort[],22,FALSE)="",VLOOKUP(all_lmics1819[[who_choice_region]:[who_choice_region]],missing[],26,FALSE),VLOOKUP(all_lmics1819[[Setting]:[Setting]],all_cause_mort[],22,FALSE))*0.95</f>
        <v>0.13958952278882106</v>
      </c>
      <c r="AI56">
        <f>IF(VLOOKUP(all_lmics1819[[Setting]:[Setting]],all_cause_mort[],23,FALSE)="",VLOOKUP(all_lmics1819[[who_choice_region]:[who_choice_region]],missing[],27,FALSE),VLOOKUP(all_lmics1819[[Setting]:[Setting]],all_cause_mort[],23,FALSE))*0.95</f>
        <v>0.20001538191489329</v>
      </c>
      <c r="AJ56">
        <f>IF(VLOOKUP(all_lmics1819[[Setting]:[Setting]],all_cause_mort[],24,FALSE)="",VLOOKUP(all_lmics1819[[who_choice_region]:[who_choice_region]],missing[],28,FALSE),VLOOKUP(all_lmics1819[[Setting]:[Setting]],all_cause_mort[],24,FALSE))*0.95</f>
        <v>0.27322656913337529</v>
      </c>
      <c r="AK56">
        <f>IF(VLOOKUP(all_lmics1819[[Setting]:[Setting]],all_cause_mort[],25,FALSE)="",VLOOKUP(all_lmics1819[[who_choice_region]:[who_choice_region]],missing[],29,FALSE),VLOOKUP(all_lmics1819[[Setting]:[Setting]],all_cause_mort[],25,FALSE))*0.95</f>
        <v>0.34399302026491624</v>
      </c>
      <c r="AL56">
        <f>VLOOKUP(all_lmics1819[[worldbank_region]:[worldbank_region]],Table13[],2,FALSE)*0.95</f>
        <v>69.411165749999981</v>
      </c>
      <c r="AM56">
        <f>VLOOKUP(all_lmics1819[[worldbank_region]:[worldbank_region]],Table13[],3,FALSE)*0.95</f>
        <v>69.411165749999981</v>
      </c>
      <c r="AN56">
        <f>VLOOKUP(all_lmics1819[[worldbank_region]:[worldbank_region]],Table13[],4,FALSE)*0.95</f>
        <v>114.75358274999998</v>
      </c>
      <c r="AO56">
        <f>VLOOKUP(all_lmics1819[[worldbank_region]:[worldbank_region]],Table13[],5,FALSE)*0.95</f>
        <v>114.75358274999998</v>
      </c>
      <c r="AP56">
        <f>VLOOKUP(all_lmics1819[[worldbank_region]:[worldbank_region]],Table13[],6,FALSE)*0.95</f>
        <v>114.75358274999998</v>
      </c>
      <c r="AQ56">
        <f>VLOOKUP(all_lmics1819[[worldbank_region]:[worldbank_region]],Table14[],2,FALSE)*0.95</f>
        <v>1.2732755</v>
      </c>
      <c r="AR56">
        <f>VLOOKUP(all_lmics1819[[worldbank_region]:[worldbank_region]],Table14[],3,FALSE)*0.95</f>
        <v>1.8599005</v>
      </c>
      <c r="AS56">
        <f>VLOOKUP(all_lmics1819[[worldbank_region]:[worldbank_region]],Table14[],4,FALSE)*0.95</f>
        <v>1.8737001999999996</v>
      </c>
      <c r="AT56">
        <f>VLOOKUP(all_lmics1819[[worldbank_region]:[worldbank_region]],Table14[],5,FALSE)*0.95</f>
        <v>2.4603251999999998</v>
      </c>
      <c r="AU56">
        <f>VLOOKUP(all_lmics1819[[worldbank_region]:[worldbank_region]],Table14[],6,FALSE)*0.95</f>
        <v>3.0020645999999997</v>
      </c>
      <c r="AV56">
        <f>IFERROR(VLOOKUP(all_lmics1819[[Setting]:[Setting]],nFacSBA[],4,FALSE),VLOOKUP(all_lmics1819[[who_choice_region]:[who_choice_region]],missing[],30,FALSE))*0.95</f>
        <v>0.1518638670270247</v>
      </c>
      <c r="AW56">
        <f>VLOOKUP(all_lmics1819[[worldbank_region]:[worldbank_region]],hbe[],3)</f>
        <v>0.2</v>
      </c>
      <c r="AX56">
        <f>VLOOKUP(all_lmics1819[[worldbank_region]:[worldbank_region]],hbe[],6)</f>
        <v>0.75</v>
      </c>
      <c r="AY56">
        <f>VLOOKUP(all_lmics1819[[worldbank_region]:[worldbank_region]],hbe[],9)</f>
        <v>0.05</v>
      </c>
    </row>
    <row r="57" spans="1:51" x14ac:dyDescent="0.35">
      <c r="A57" s="8" t="s">
        <v>161</v>
      </c>
      <c r="B57" s="10" t="s">
        <v>22</v>
      </c>
      <c r="C57" s="11" t="s">
        <v>383</v>
      </c>
      <c r="D57">
        <f>VLOOKUP(all_lmics1819[[Setting]:[Setting]],populations[],9,FALSE)</f>
        <v>4098587</v>
      </c>
      <c r="E57">
        <f>VLOOKUP(all_lmics1819[[Setting]:[Setting]],birthrate[],3,FALSE)</f>
        <v>1.9533000000000002E-2</v>
      </c>
      <c r="F57">
        <f>all_lmics1819[[#This Row],[2017_population]]*all_lmics1819[[#This Row],[2016_birthrate]]</f>
        <v>80057.699871000004</v>
      </c>
      <c r="G57">
        <f>VLOOKUP(all_lmics1819[[Setting]:[Setting]],birthdose[],4,FALSE)*0.95</f>
        <v>0.82650000000000001</v>
      </c>
      <c r="H57">
        <f>VLOOKUP(all_lmics1819[[Setting]:[Setting]],fullvax[],4,FALSE)*0.95</f>
        <v>0.76949999999999996</v>
      </c>
      <c r="I57">
        <f>IFERROR(VLOOKUP(all_lmics1819[[Setting]:[Setting]],prev[],3,FALSE),VLOOKUP(all_lmics1819[[who_choice_region]:[who_choice_region]],missing[],2,FALSE))</f>
        <v>2.1000000000000001E-2</v>
      </c>
      <c r="J57">
        <f>IFERROR(VLOOKUP(all_lmics1819[[Setting]:[Setting]],prev[],4,FALSE),VLOOKUP(all_lmics1819[[who_choice_region]:[who_choice_region]],missing[],3,FALSE))</f>
        <v>1.9E-2</v>
      </c>
      <c r="K57">
        <f>IFERROR(VLOOKUP(all_lmics1819[[Setting]:[Setting]],prev[],5,FALSE),VLOOKUP(all_lmics1819[[who_choice_region]:[who_choice_region]],missing[],4,FALSE))</f>
        <v>2.3199999999999998E-2</v>
      </c>
      <c r="L57">
        <f>IFERROR(VLOOKUP(all_lmics1819[[Setting]:[Setting]],prev[],7,FALSE),VLOOKUP(all_lmics1819[[who_choice_region]:[who_choice_region]],missing[],5,FALSE))</f>
        <v>1.1224489795918352E-3</v>
      </c>
      <c r="M57">
        <f>IFERROR(VLOOKUP(all_lmics1819[[Setting]:[Setting]],prev[],6,FALSE),0)</f>
        <v>3643222</v>
      </c>
      <c r="N57">
        <f>IFERROR(VLOOKUP(all_lmics1819[[Setting]:[Setting]],SBA[],4,FALSE),VLOOKUP(all_lmics1819[[who_choice_region]:[who_choice_region]],missing[],6,FALSE))*0.95</f>
        <v>0.89869999999999994</v>
      </c>
      <c r="O57">
        <f>IFERROR(VLOOKUP(all_lmics1819[[Setting]:[Setting]], facility[], 3,FALSE),VLOOKUP(all_lmics1819[[who_choice_region]:[who_choice_region]],missing[],7,FALSE))*0.95</f>
        <v>0.86639999999999995</v>
      </c>
      <c r="P57">
        <f>IF(VLOOKUP(all_lmics1819[[Setting]:[Setting]],all_cause_mort[],4,FALSE)="",VLOOKUP(all_lmics1819[[who_choice_region]:[who_choice_region]],missing[],8,FALSE),VLOOKUP(all_lmics1819[[Setting]:[Setting]],all_cause_mort[],4,FALSE))*0.95</f>
        <v>1.360101985E-2</v>
      </c>
      <c r="Q57">
        <f>IF(VLOOKUP(all_lmics1819[[Setting]:[Setting]],all_cause_mort[],5,FALSE)="",VLOOKUP(all_lmics1819[[who_choice_region]:[who_choice_region]],missing[],9,FALSE),VLOOKUP(all_lmics1819[[Setting]:[Setting]],all_cause_mort[],5,FALSE))*0.95</f>
        <v>1.0610464500000001E-3</v>
      </c>
      <c r="R57">
        <f>IF(VLOOKUP(all_lmics1819[[Setting]:[Setting]],all_cause_mort[],6,FALSE)="",VLOOKUP(all_lmics1819[[who_choice_region]:[who_choice_region]],missing[],10,FALSE),VLOOKUP(all_lmics1819[[Setting]:[Setting]],all_cause_mort[],6,FALSE))*0.95</f>
        <v>2.9129856649999996E-4</v>
      </c>
      <c r="S57">
        <f>IF(VLOOKUP(all_lmics1819[[Setting]:[Setting]],all_cause_mort[],7,FALSE)="",VLOOKUP(all_lmics1819[[who_choice_region]:[who_choice_region]],missing[],11,FALSE),VLOOKUP(all_lmics1819[[Setting]:[Setting]],all_cause_mort[],7,FALSE))*0.95</f>
        <v>3.6293424749999996E-4</v>
      </c>
      <c r="T57">
        <f>IF(VLOOKUP(all_lmics1819[[Setting]:[Setting]],all_cause_mort[],8,FALSE)="",VLOOKUP(all_lmics1819[[who_choice_region]:[who_choice_region]],missing[],12,FALSE),VLOOKUP(all_lmics1819[[Setting]:[Setting]],all_cause_mort[],8,FALSE))*0.95</f>
        <v>9.2475030149999989E-4</v>
      </c>
      <c r="U57">
        <f>IF(VLOOKUP(all_lmics1819[[Setting]:[Setting]],all_cause_mort[],9,FALSE)="",VLOOKUP(all_lmics1819[[who_choice_region]:[who_choice_region]],missing[],13,FALSE),VLOOKUP(all_lmics1819[[Setting]:[Setting]],all_cause_mort[],9,FALSE))*0.95</f>
        <v>1.5839347149999999E-3</v>
      </c>
      <c r="V57">
        <f>IF(VLOOKUP(all_lmics1819[[Setting]:[Setting]],all_cause_mort[],10,FALSE)="",VLOOKUP(all_lmics1819[[who_choice_region]:[who_choice_region]],missing[],14,FALSE),VLOOKUP(all_lmics1819[[Setting]:[Setting]],all_cause_mort[],10,FALSE))*0.95</f>
        <v>1.8039794149999999E-3</v>
      </c>
      <c r="W57">
        <f>IF(VLOOKUP(all_lmics1819[[Setting]:[Setting]],all_cause_mort[],11,FALSE)="",VLOOKUP(all_lmics1819[[who_choice_region]:[who_choice_region]],missing[],15,FALSE),VLOOKUP(all_lmics1819[[Setting]:[Setting]],all_cause_mort[],11,FALSE))*0.95</f>
        <v>1.7533159149999999E-3</v>
      </c>
      <c r="X57">
        <f>IF(VLOOKUP(all_lmics1819[[Setting]:[Setting]],all_cause_mort[],12,FALSE)="",VLOOKUP(all_lmics1819[[who_choice_region]:[who_choice_region]],missing[],16,FALSE),VLOOKUP(all_lmics1819[[Setting]:[Setting]],all_cause_mort[],12,FALSE))*0.95</f>
        <v>1.798378595E-3</v>
      </c>
      <c r="Y57">
        <f>IF(VLOOKUP(all_lmics1819[[Setting]:[Setting]],all_cause_mort[],13,FALSE)="",VLOOKUP(all_lmics1819[[who_choice_region]:[who_choice_region]],missing[],17,FALSE),VLOOKUP(all_lmics1819[[Setting]:[Setting]],all_cause_mort[],13,FALSE))*0.95</f>
        <v>2.1381060999999999E-3</v>
      </c>
      <c r="Z57">
        <f>IF(VLOOKUP(all_lmics1819[[Setting]:[Setting]],all_cause_mort[],14,FALSE)="",VLOOKUP(all_lmics1819[[who_choice_region]:[who_choice_region]],missing[],18,FALSE),VLOOKUP(all_lmics1819[[Setting]:[Setting]],all_cause_mort[],14,FALSE))*0.95</f>
        <v>2.8623411649999998E-3</v>
      </c>
      <c r="AA57">
        <f>IF(VLOOKUP(all_lmics1819[[Setting]:[Setting]],all_cause_mort[],15,FALSE)="",VLOOKUP(all_lmics1819[[who_choice_region]:[who_choice_region]],missing[],19,FALSE),VLOOKUP(all_lmics1819[[Setting]:[Setting]],all_cause_mort[],15,FALSE))*0.95</f>
        <v>4.1096872699999997E-3</v>
      </c>
      <c r="AB57">
        <f>IF(VLOOKUP(all_lmics1819[[Setting]:[Setting]],all_cause_mort[],16,FALSE)="",VLOOKUP(all_lmics1819[[who_choice_region]:[who_choice_region]],missing[],20,FALSE),VLOOKUP(all_lmics1819[[Setting]:[Setting]],all_cause_mort[],16,FALSE))*0.95</f>
        <v>6.0913053799999993E-3</v>
      </c>
      <c r="AC57">
        <f>IF(VLOOKUP(all_lmics1819[[Setting]:[Setting]],all_cause_mort[],17,FALSE)="",VLOOKUP(all_lmics1819[[who_choice_region]:[who_choice_region]],missing[],21,FALSE),VLOOKUP(all_lmics1819[[Setting]:[Setting]],all_cause_mort[],17,FALSE))*0.95</f>
        <v>9.1639790149999987E-3</v>
      </c>
      <c r="AD57">
        <f>IF(VLOOKUP(all_lmics1819[[Setting]:[Setting]],all_cause_mort[],18,FALSE)="",VLOOKUP(all_lmics1819[[who_choice_region]:[who_choice_region]],missing[],22,FALSE),VLOOKUP(all_lmics1819[[Setting]:[Setting]],all_cause_mort[],18,FALSE))*0.95</f>
        <v>1.3908599449999998E-2</v>
      </c>
      <c r="AE57">
        <f>IF(VLOOKUP(all_lmics1819[[Setting]:[Setting]],all_cause_mort[],19,FALSE)="",VLOOKUP(all_lmics1819[[who_choice_region]:[who_choice_region]],missing[],23,FALSE),VLOOKUP(all_lmics1819[[Setting]:[Setting]],all_cause_mort[],19,FALSE))*0.95</f>
        <v>2.1223985149999999E-2</v>
      </c>
      <c r="AF57">
        <f>IF(VLOOKUP(all_lmics1819[[Setting]:[Setting]],all_cause_mort[],20,FALSE)="",VLOOKUP(all_lmics1819[[who_choice_region]:[who_choice_region]],missing[],24,FALSE),VLOOKUP(all_lmics1819[[Setting]:[Setting]],all_cause_mort[],20,FALSE))*0.95</f>
        <v>3.2440129749999998E-2</v>
      </c>
      <c r="AG57">
        <f>IF(VLOOKUP(all_lmics1819[[Setting]:[Setting]],all_cause_mort[],21,FALSE)="",VLOOKUP(all_lmics1819[[who_choice_region]:[who_choice_region]],missing[],25,FALSE),VLOOKUP(all_lmics1819[[Setting]:[Setting]],all_cause_mort[],21,FALSE))*0.95</f>
        <v>4.9578896399999996E-2</v>
      </c>
      <c r="AH57">
        <f>IF(VLOOKUP(all_lmics1819[[Setting]:[Setting]],all_cause_mort[],22,FALSE)="",VLOOKUP(all_lmics1819[[who_choice_region]:[who_choice_region]],missing[],26,FALSE),VLOOKUP(all_lmics1819[[Setting]:[Setting]],all_cause_mort[],22,FALSE))*0.95</f>
        <v>7.5721001149999995E-2</v>
      </c>
      <c r="AI57">
        <f>IF(VLOOKUP(all_lmics1819[[Setting]:[Setting]],all_cause_mort[],23,FALSE)="",VLOOKUP(all_lmics1819[[who_choice_region]:[who_choice_region]],missing[],27,FALSE),VLOOKUP(all_lmics1819[[Setting]:[Setting]],all_cause_mort[],23,FALSE))*0.95</f>
        <v>0.11513523099999999</v>
      </c>
      <c r="AJ57">
        <f>IF(VLOOKUP(all_lmics1819[[Setting]:[Setting]],all_cause_mort[],24,FALSE)="",VLOOKUP(all_lmics1819[[who_choice_region]:[who_choice_region]],missing[],28,FALSE),VLOOKUP(all_lmics1819[[Setting]:[Setting]],all_cause_mort[],24,FALSE))*0.95</f>
        <v>0.17731505849999998</v>
      </c>
      <c r="AK57">
        <f>IF(VLOOKUP(all_lmics1819[[Setting]:[Setting]],all_cause_mort[],25,FALSE)="",VLOOKUP(all_lmics1819[[who_choice_region]:[who_choice_region]],missing[],29,FALSE),VLOOKUP(all_lmics1819[[Setting]:[Setting]],all_cause_mort[],25,FALSE))*0.95</f>
        <v>0.27676293986917283</v>
      </c>
      <c r="AL57">
        <f>VLOOKUP(all_lmics1819[[worldbank_region]:[worldbank_region]],Table13[],2,FALSE)*0.95</f>
        <v>82.51698764999999</v>
      </c>
      <c r="AM57">
        <f>VLOOKUP(all_lmics1819[[worldbank_region]:[worldbank_region]],Table13[],3,FALSE)*0.95</f>
        <v>82.51698764999999</v>
      </c>
      <c r="AN57">
        <f>VLOOKUP(all_lmics1819[[worldbank_region]:[worldbank_region]],Table13[],4,FALSE)*0.95</f>
        <v>127.85940464999999</v>
      </c>
      <c r="AO57">
        <f>VLOOKUP(all_lmics1819[[worldbank_region]:[worldbank_region]],Table13[],5,FALSE)*0.95</f>
        <v>127.85940464999999</v>
      </c>
      <c r="AP57">
        <f>VLOOKUP(all_lmics1819[[worldbank_region]:[worldbank_region]],Table13[],6,FALSE)*0.95</f>
        <v>127.85940464999999</v>
      </c>
      <c r="AQ57">
        <f>VLOOKUP(all_lmics1819[[worldbank_region]:[worldbank_region]],Table14[],2,FALSE)*0.95</f>
        <v>1.4389099000000001</v>
      </c>
      <c r="AR57">
        <f>VLOOKUP(all_lmics1819[[worldbank_region]:[worldbank_region]],Table14[],3,FALSE)*0.95</f>
        <v>2.0255348999999998</v>
      </c>
      <c r="AS57">
        <f>VLOOKUP(all_lmics1819[[worldbank_region]:[worldbank_region]],Table14[],4,FALSE)*0.95</f>
        <v>1.4596142000000001</v>
      </c>
      <c r="AT57">
        <f>VLOOKUP(all_lmics1819[[worldbank_region]:[worldbank_region]],Table14[],5,FALSE)*0.95</f>
        <v>2.0462391999999996</v>
      </c>
      <c r="AU57">
        <f>VLOOKUP(all_lmics1819[[worldbank_region]:[worldbank_region]],Table14[],6,FALSE)*0.95</f>
        <v>2.5879785999999996</v>
      </c>
      <c r="AV57">
        <f>IFERROR(VLOOKUP(all_lmics1819[[Setting]:[Setting]],nFacSBA[],4,FALSE),VLOOKUP(all_lmics1819[[who_choice_region]:[who_choice_region]],missing[],30,FALSE))*0.95</f>
        <v>0.19387920306497206</v>
      </c>
      <c r="AW57">
        <f>VLOOKUP(all_lmics1819[[worldbank_region]:[worldbank_region]],hbe[],3)</f>
        <v>0.2</v>
      </c>
      <c r="AX57">
        <f>VLOOKUP(all_lmics1819[[worldbank_region]:[worldbank_region]],hbe[],6)</f>
        <v>0.75</v>
      </c>
      <c r="AY57">
        <f>VLOOKUP(all_lmics1819[[worldbank_region]:[worldbank_region]],hbe[],9)</f>
        <v>0.05</v>
      </c>
    </row>
    <row r="58" spans="1:51" x14ac:dyDescent="0.35">
      <c r="A58" s="12" t="s">
        <v>162</v>
      </c>
      <c r="B58" s="13" t="s">
        <v>57</v>
      </c>
      <c r="C58" s="14" t="s">
        <v>58</v>
      </c>
      <c r="D58">
        <f>VLOOKUP(all_lmics1819[[Setting]:[Setting]],populations[],9,FALSE)</f>
        <v>8251162</v>
      </c>
      <c r="E58">
        <f>VLOOKUP(all_lmics1819[[Setting]:[Setting]],birthrate[],3,FALSE)</f>
        <v>2.7606000000000002E-2</v>
      </c>
      <c r="F58">
        <f>all_lmics1819[[#This Row],[2017_population]]*all_lmics1819[[#This Row],[2016_birthrate]]</f>
        <v>227781.57817200001</v>
      </c>
      <c r="G58">
        <f>VLOOKUP(all_lmics1819[[Setting]:[Setting]],birthdose[],4,FALSE)*0.95</f>
        <v>0.3135</v>
      </c>
      <c r="H58">
        <f>VLOOKUP(all_lmics1819[[Setting]:[Setting]],fullvax[],4,FALSE)*0.95</f>
        <v>0.53200000000000003</v>
      </c>
      <c r="I58">
        <f>IFERROR(VLOOKUP(all_lmics1819[[Setting]:[Setting]],prev[],3,FALSE),VLOOKUP(all_lmics1819[[who_choice_region]:[who_choice_region]],missing[],2,FALSE))</f>
        <v>6.6000000000000003E-2</v>
      </c>
      <c r="J58">
        <f>IFERROR(VLOOKUP(all_lmics1819[[Setting]:[Setting]],prev[],4,FALSE),VLOOKUP(all_lmics1819[[who_choice_region]:[who_choice_region]],missing[],3,FALSE))</f>
        <v>0.06</v>
      </c>
      <c r="K58">
        <f>IFERROR(VLOOKUP(all_lmics1819[[Setting]:[Setting]],prev[],5,FALSE),VLOOKUP(all_lmics1819[[who_choice_region]:[who_choice_region]],missing[],4,FALSE))</f>
        <v>7.6999999999999999E-2</v>
      </c>
      <c r="L58">
        <f>IFERROR(VLOOKUP(all_lmics1819[[Setting]:[Setting]],prev[],7,FALSE),VLOOKUP(all_lmics1819[[who_choice_region]:[who_choice_region]],missing[],5,FALSE))</f>
        <v>5.6122448979591816E-3</v>
      </c>
      <c r="M58">
        <f>IFERROR(VLOOKUP(all_lmics1819[[Setting]:[Setting]],prev[],6,FALSE),0)</f>
        <v>8251162</v>
      </c>
      <c r="N58">
        <f>IFERROR(VLOOKUP(all_lmics1819[[Setting]:[Setting]],SBA[],4,FALSE),VLOOKUP(all_lmics1819[[who_choice_region]:[who_choice_region]],missing[],6,FALSE))*0.95</f>
        <v>0.38</v>
      </c>
      <c r="O58">
        <f>IFERROR(VLOOKUP(all_lmics1819[[Setting]:[Setting]], facility[], 3,FALSE),VLOOKUP(all_lmics1819[[who_choice_region]:[who_choice_region]],missing[],7,FALSE))*0.95</f>
        <v>0.40849999999999997</v>
      </c>
      <c r="P58">
        <f>IF(VLOOKUP(all_lmics1819[[Setting]:[Setting]],all_cause_mort[],4,FALSE)="",VLOOKUP(all_lmics1819[[who_choice_region]:[who_choice_region]],missing[],8,FALSE),VLOOKUP(all_lmics1819[[Setting]:[Setting]],all_cause_mort[],4,FALSE))*0.95</f>
        <v>4.1302590449999996E-2</v>
      </c>
      <c r="Q58">
        <f>IF(VLOOKUP(all_lmics1819[[Setting]:[Setting]],all_cause_mort[],5,FALSE)="",VLOOKUP(all_lmics1819[[who_choice_region]:[who_choice_region]],missing[],9,FALSE),VLOOKUP(all_lmics1819[[Setting]:[Setting]],all_cause_mort[],5,FALSE))*0.95</f>
        <v>2.7625302699999998E-3</v>
      </c>
      <c r="R58">
        <f>IF(VLOOKUP(all_lmics1819[[Setting]:[Setting]],all_cause_mort[],6,FALSE)="",VLOOKUP(all_lmics1819[[who_choice_region]:[who_choice_region]],missing[],10,FALSE),VLOOKUP(all_lmics1819[[Setting]:[Setting]],all_cause_mort[],6,FALSE))*0.95</f>
        <v>1.1159365950000001E-3</v>
      </c>
      <c r="S58">
        <f>IF(VLOOKUP(all_lmics1819[[Setting]:[Setting]],all_cause_mort[],7,FALSE)="",VLOOKUP(all_lmics1819[[who_choice_region]:[who_choice_region]],missing[],11,FALSE),VLOOKUP(all_lmics1819[[Setting]:[Setting]],all_cause_mort[],7,FALSE))*0.95</f>
        <v>8.8053955299999991E-4</v>
      </c>
      <c r="T58">
        <f>IF(VLOOKUP(all_lmics1819[[Setting]:[Setting]],all_cause_mort[],8,FALSE)="",VLOOKUP(all_lmics1819[[who_choice_region]:[who_choice_region]],missing[],12,FALSE),VLOOKUP(all_lmics1819[[Setting]:[Setting]],all_cause_mort[],8,FALSE))*0.95</f>
        <v>1.5981754999999998E-3</v>
      </c>
      <c r="U58">
        <f>IF(VLOOKUP(all_lmics1819[[Setting]:[Setting]],all_cause_mort[],9,FALSE)="",VLOOKUP(all_lmics1819[[who_choice_region]:[who_choice_region]],missing[],13,FALSE),VLOOKUP(all_lmics1819[[Setting]:[Setting]],all_cause_mort[],9,FALSE))*0.95</f>
        <v>2.1593669099999996E-3</v>
      </c>
      <c r="V58">
        <f>IF(VLOOKUP(all_lmics1819[[Setting]:[Setting]],all_cause_mort[],10,FALSE)="",VLOOKUP(all_lmics1819[[who_choice_region]:[who_choice_region]],missing[],14,FALSE),VLOOKUP(all_lmics1819[[Setting]:[Setting]],all_cause_mort[],10,FALSE))*0.95</f>
        <v>2.347983995E-3</v>
      </c>
      <c r="W58">
        <f>IF(VLOOKUP(all_lmics1819[[Setting]:[Setting]],all_cause_mort[],11,FALSE)="",VLOOKUP(all_lmics1819[[who_choice_region]:[who_choice_region]],missing[],15,FALSE),VLOOKUP(all_lmics1819[[Setting]:[Setting]],all_cause_mort[],11,FALSE))*0.95</f>
        <v>2.7321693149999996E-3</v>
      </c>
      <c r="X58">
        <f>IF(VLOOKUP(all_lmics1819[[Setting]:[Setting]],all_cause_mort[],12,FALSE)="",VLOOKUP(all_lmics1819[[who_choice_region]:[who_choice_region]],missing[],16,FALSE),VLOOKUP(all_lmics1819[[Setting]:[Setting]],all_cause_mort[],12,FALSE))*0.95</f>
        <v>3.4908763650000002E-3</v>
      </c>
      <c r="Y58">
        <f>IF(VLOOKUP(all_lmics1819[[Setting]:[Setting]],all_cause_mort[],13,FALSE)="",VLOOKUP(all_lmics1819[[who_choice_region]:[who_choice_region]],missing[],17,FALSE),VLOOKUP(all_lmics1819[[Setting]:[Setting]],all_cause_mort[],13,FALSE))*0.95</f>
        <v>4.6713305949999994E-3</v>
      </c>
      <c r="Z58">
        <f>IF(VLOOKUP(all_lmics1819[[Setting]:[Setting]],all_cause_mort[],14,FALSE)="",VLOOKUP(all_lmics1819[[who_choice_region]:[who_choice_region]],missing[],18,FALSE),VLOOKUP(all_lmics1819[[Setting]:[Setting]],all_cause_mort[],14,FALSE))*0.95</f>
        <v>6.6287839350000002E-3</v>
      </c>
      <c r="AA58">
        <f>IF(VLOOKUP(all_lmics1819[[Setting]:[Setting]],all_cause_mort[],15,FALSE)="",VLOOKUP(all_lmics1819[[who_choice_region]:[who_choice_region]],missing[],19,FALSE),VLOOKUP(all_lmics1819[[Setting]:[Setting]],all_cause_mort[],15,FALSE))*0.95</f>
        <v>9.7198252499999995E-3</v>
      </c>
      <c r="AB58">
        <f>IF(VLOOKUP(all_lmics1819[[Setting]:[Setting]],all_cause_mort[],16,FALSE)="",VLOOKUP(all_lmics1819[[who_choice_region]:[who_choice_region]],missing[],20,FALSE),VLOOKUP(all_lmics1819[[Setting]:[Setting]],all_cause_mort[],16,FALSE))*0.95</f>
        <v>1.4429286849999999E-2</v>
      </c>
      <c r="AC58">
        <f>IF(VLOOKUP(all_lmics1819[[Setting]:[Setting]],all_cause_mort[],17,FALSE)="",VLOOKUP(all_lmics1819[[who_choice_region]:[who_choice_region]],missing[],21,FALSE),VLOOKUP(all_lmics1819[[Setting]:[Setting]],all_cause_mort[],17,FALSE))*0.95</f>
        <v>2.4444763499999998E-2</v>
      </c>
      <c r="AD58">
        <f>IF(VLOOKUP(all_lmics1819[[Setting]:[Setting]],all_cause_mort[],18,FALSE)="",VLOOKUP(all_lmics1819[[who_choice_region]:[who_choice_region]],missing[],22,FALSE),VLOOKUP(all_lmics1819[[Setting]:[Setting]],all_cause_mort[],18,FALSE))*0.95</f>
        <v>4.1856550649999998E-2</v>
      </c>
      <c r="AE58">
        <f>IF(VLOOKUP(all_lmics1819[[Setting]:[Setting]],all_cause_mort[],19,FALSE)="",VLOOKUP(all_lmics1819[[who_choice_region]:[who_choice_region]],missing[],23,FALSE),VLOOKUP(all_lmics1819[[Setting]:[Setting]],all_cause_mort[],19,FALSE))*0.95</f>
        <v>6.9414584799999998E-2</v>
      </c>
      <c r="AF58">
        <f>IF(VLOOKUP(all_lmics1819[[Setting]:[Setting]],all_cause_mort[],20,FALSE)="",VLOOKUP(all_lmics1819[[who_choice_region]:[who_choice_region]],missing[],24,FALSE),VLOOKUP(all_lmics1819[[Setting]:[Setting]],all_cause_mort[],20,FALSE))*0.95</f>
        <v>0.110402559</v>
      </c>
      <c r="AG58">
        <f>IF(VLOOKUP(all_lmics1819[[Setting]:[Setting]],all_cause_mort[],21,FALSE)="",VLOOKUP(all_lmics1819[[who_choice_region]:[who_choice_region]],missing[],25,FALSE),VLOOKUP(all_lmics1819[[Setting]:[Setting]],all_cause_mort[],21,FALSE))*0.95</f>
        <v>0.17222333400000001</v>
      </c>
      <c r="AH58">
        <f>IF(VLOOKUP(all_lmics1819[[Setting]:[Setting]],all_cause_mort[],22,FALSE)="",VLOOKUP(all_lmics1819[[who_choice_region]:[who_choice_region]],missing[],26,FALSE),VLOOKUP(all_lmics1819[[Setting]:[Setting]],all_cause_mort[],22,FALSE))*0.95</f>
        <v>0.26265052799999999</v>
      </c>
      <c r="AI58">
        <f>IF(VLOOKUP(all_lmics1819[[Setting]:[Setting]],all_cause_mort[],23,FALSE)="",VLOOKUP(all_lmics1819[[who_choice_region]:[who_choice_region]],missing[],27,FALSE),VLOOKUP(all_lmics1819[[Setting]:[Setting]],all_cause_mort[],23,FALSE))*0.95</f>
        <v>0.37437809949999995</v>
      </c>
      <c r="AJ58">
        <f>IF(VLOOKUP(all_lmics1819[[Setting]:[Setting]],all_cause_mort[],24,FALSE)="",VLOOKUP(all_lmics1819[[who_choice_region]:[who_choice_region]],missing[],28,FALSE),VLOOKUP(all_lmics1819[[Setting]:[Setting]],all_cause_mort[],24,FALSE))*0.95</f>
        <v>0.50692711549999991</v>
      </c>
      <c r="AK58">
        <f>IF(VLOOKUP(all_lmics1819[[Setting]:[Setting]],all_cause_mort[],25,FALSE)="",VLOOKUP(all_lmics1819[[who_choice_region]:[who_choice_region]],missing[],29,FALSE),VLOOKUP(all_lmics1819[[Setting]:[Setting]],all_cause_mort[],25,FALSE))*0.95</f>
        <v>0.65667120921855748</v>
      </c>
      <c r="AL58">
        <f>VLOOKUP(all_lmics1819[[worldbank_region]:[worldbank_region]],Table13[],2,FALSE)*0.95</f>
        <v>69.411165749999981</v>
      </c>
      <c r="AM58">
        <f>VLOOKUP(all_lmics1819[[worldbank_region]:[worldbank_region]],Table13[],3,FALSE)*0.95</f>
        <v>69.411165749999981</v>
      </c>
      <c r="AN58">
        <f>VLOOKUP(all_lmics1819[[worldbank_region]:[worldbank_region]],Table13[],4,FALSE)*0.95</f>
        <v>114.75358274999998</v>
      </c>
      <c r="AO58">
        <f>VLOOKUP(all_lmics1819[[worldbank_region]:[worldbank_region]],Table13[],5,FALSE)*0.95</f>
        <v>114.75358274999998</v>
      </c>
      <c r="AP58">
        <f>VLOOKUP(all_lmics1819[[worldbank_region]:[worldbank_region]],Table13[],6,FALSE)*0.95</f>
        <v>114.75358274999998</v>
      </c>
      <c r="AQ58">
        <f>VLOOKUP(all_lmics1819[[worldbank_region]:[worldbank_region]],Table14[],2,FALSE)*0.95</f>
        <v>1.2732755</v>
      </c>
      <c r="AR58">
        <f>VLOOKUP(all_lmics1819[[worldbank_region]:[worldbank_region]],Table14[],3,FALSE)*0.95</f>
        <v>1.8599005</v>
      </c>
      <c r="AS58">
        <f>VLOOKUP(all_lmics1819[[worldbank_region]:[worldbank_region]],Table14[],4,FALSE)*0.95</f>
        <v>1.8737001999999996</v>
      </c>
      <c r="AT58">
        <f>VLOOKUP(all_lmics1819[[worldbank_region]:[worldbank_region]],Table14[],5,FALSE)*0.95</f>
        <v>2.4603251999999998</v>
      </c>
      <c r="AU58">
        <f>VLOOKUP(all_lmics1819[[worldbank_region]:[worldbank_region]],Table14[],6,FALSE)*0.95</f>
        <v>3.0020645999999997</v>
      </c>
      <c r="AV58">
        <f>IFERROR(VLOOKUP(all_lmics1819[[Setting]:[Setting]],nFacSBA[],4,FALSE),VLOOKUP(all_lmics1819[[who_choice_region]:[who_choice_region]],missing[],30,FALSE))*0.95</f>
        <v>0.1518638670270247</v>
      </c>
      <c r="AW58">
        <f>VLOOKUP(all_lmics1819[[worldbank_region]:[worldbank_region]],hbe[],3)</f>
        <v>0.2</v>
      </c>
      <c r="AX58">
        <f>VLOOKUP(all_lmics1819[[worldbank_region]:[worldbank_region]],hbe[],6)</f>
        <v>0.75</v>
      </c>
      <c r="AY58">
        <f>VLOOKUP(all_lmics1819[[worldbank_region]:[worldbank_region]],hbe[],9)</f>
        <v>0.05</v>
      </c>
    </row>
    <row r="59" spans="1:51" x14ac:dyDescent="0.35">
      <c r="A59" s="8" t="s">
        <v>163</v>
      </c>
      <c r="B59" s="10" t="s">
        <v>22</v>
      </c>
      <c r="C59" s="11" t="s">
        <v>383</v>
      </c>
      <c r="D59">
        <f>VLOOKUP(all_lmics1819[[Setting]:[Setting]],populations[],9,FALSE)</f>
        <v>6811297</v>
      </c>
      <c r="E59">
        <f>VLOOKUP(all_lmics1819[[Setting]:[Setting]],birthrate[],3,FALSE)</f>
        <v>2.0947E-2</v>
      </c>
      <c r="F59">
        <f>all_lmics1819[[#This Row],[2017_population]]*all_lmics1819[[#This Row],[2016_birthrate]]</f>
        <v>142676.23825900001</v>
      </c>
      <c r="G59">
        <f>VLOOKUP(all_lmics1819[[Setting]:[Setting]],birthdose[],4,FALSE)*0.95</f>
        <v>0.49399999999999999</v>
      </c>
      <c r="H59">
        <f>VLOOKUP(all_lmics1819[[Setting]:[Setting]],fullvax[],4,FALSE)*0.95</f>
        <v>0.86449999999999994</v>
      </c>
      <c r="I59">
        <f>IFERROR(VLOOKUP(all_lmics1819[[Setting]:[Setting]],prev[],3,FALSE),VLOOKUP(all_lmics1819[[who_choice_region]:[who_choice_region]],missing[],2,FALSE))</f>
        <v>4.1444892127893984E-3</v>
      </c>
      <c r="J59">
        <f>IFERROR(VLOOKUP(all_lmics1819[[Setting]:[Setting]],prev[],4,FALSE),VLOOKUP(all_lmics1819[[who_choice_region]:[who_choice_region]],missing[],3,FALSE))</f>
        <v>2.6055266579680684E-3</v>
      </c>
      <c r="K59">
        <f>IFERROR(VLOOKUP(all_lmics1819[[Setting]:[Setting]],prev[],5,FALSE),VLOOKUP(all_lmics1819[[who_choice_region]:[who_choice_region]],missing[],4,FALSE))</f>
        <v>7.7002555713058798E-3</v>
      </c>
      <c r="L59">
        <f>IFERROR(VLOOKUP(all_lmics1819[[Setting]:[Setting]],prev[],7,FALSE),VLOOKUP(all_lmics1819[[who_choice_region]:[who_choice_region]],missing[],5,FALSE))</f>
        <v>1.8146552860433664E-3</v>
      </c>
      <c r="M59">
        <f>IFERROR(VLOOKUP(all_lmics1819[[Setting]:[Setting]],prev[],6,FALSE),0)</f>
        <v>0</v>
      </c>
      <c r="N59">
        <f>IFERROR(VLOOKUP(all_lmics1819[[Setting]:[Setting]],SBA[],4,FALSE),VLOOKUP(all_lmics1819[[who_choice_region]:[who_choice_region]],missing[],6,FALSE))*0.95</f>
        <v>0.90724999999999989</v>
      </c>
      <c r="O59">
        <f>IFERROR(VLOOKUP(all_lmics1819[[Setting]:[Setting]], facility[], 3,FALSE),VLOOKUP(all_lmics1819[[who_choice_region]:[who_choice_region]],missing[],7,FALSE))*0.95</f>
        <v>0.88539999999999996</v>
      </c>
      <c r="P59">
        <f>IF(VLOOKUP(all_lmics1819[[Setting]:[Setting]],all_cause_mort[],4,FALSE)="",VLOOKUP(all_lmics1819[[who_choice_region]:[who_choice_region]],missing[],8,FALSE),VLOOKUP(all_lmics1819[[Setting]:[Setting]],all_cause_mort[],4,FALSE))*0.95</f>
        <v>1.8387823799999998E-2</v>
      </c>
      <c r="Q59">
        <f>IF(VLOOKUP(all_lmics1819[[Setting]:[Setting]],all_cause_mort[],5,FALSE)="",VLOOKUP(all_lmics1819[[who_choice_region]:[who_choice_region]],missing[],9,FALSE),VLOOKUP(all_lmics1819[[Setting]:[Setting]],all_cause_mort[],5,FALSE))*0.95</f>
        <v>5.9737673899999991E-4</v>
      </c>
      <c r="R59">
        <f>IF(VLOOKUP(all_lmics1819[[Setting]:[Setting]],all_cause_mort[],6,FALSE)="",VLOOKUP(all_lmics1819[[who_choice_region]:[who_choice_region]],missing[],10,FALSE),VLOOKUP(all_lmics1819[[Setting]:[Setting]],all_cause_mort[],6,FALSE))*0.95</f>
        <v>5.2473210100000001E-4</v>
      </c>
      <c r="S59">
        <f>IF(VLOOKUP(all_lmics1819[[Setting]:[Setting]],all_cause_mort[],7,FALSE)="",VLOOKUP(all_lmics1819[[who_choice_region]:[who_choice_region]],missing[],11,FALSE),VLOOKUP(all_lmics1819[[Setting]:[Setting]],all_cause_mort[],7,FALSE))*0.95</f>
        <v>4.2701349549999998E-4</v>
      </c>
      <c r="T59">
        <f>IF(VLOOKUP(all_lmics1819[[Setting]:[Setting]],all_cause_mort[],8,FALSE)="",VLOOKUP(all_lmics1819[[who_choice_region]:[who_choice_region]],missing[],12,FALSE),VLOOKUP(all_lmics1819[[Setting]:[Setting]],all_cause_mort[],8,FALSE))*0.95</f>
        <v>1.001576735E-3</v>
      </c>
      <c r="U59">
        <f>IF(VLOOKUP(all_lmics1819[[Setting]:[Setting]],all_cause_mort[],9,FALSE)="",VLOOKUP(all_lmics1819[[who_choice_region]:[who_choice_region]],missing[],13,FALSE),VLOOKUP(all_lmics1819[[Setting]:[Setting]],all_cause_mort[],9,FALSE))*0.95</f>
        <v>1.5256083249999999E-3</v>
      </c>
      <c r="V59">
        <f>IF(VLOOKUP(all_lmics1819[[Setting]:[Setting]],all_cause_mort[],10,FALSE)="",VLOOKUP(all_lmics1819[[who_choice_region]:[who_choice_region]],missing[],14,FALSE),VLOOKUP(all_lmics1819[[Setting]:[Setting]],all_cause_mort[],10,FALSE))*0.95</f>
        <v>1.8608579099999997E-3</v>
      </c>
      <c r="W59">
        <f>IF(VLOOKUP(all_lmics1819[[Setting]:[Setting]],all_cause_mort[],11,FALSE)="",VLOOKUP(all_lmics1819[[who_choice_region]:[who_choice_region]],missing[],15,FALSE),VLOOKUP(all_lmics1819[[Setting]:[Setting]],all_cause_mort[],11,FALSE))*0.95</f>
        <v>1.8955503899999999E-3</v>
      </c>
      <c r="X59">
        <f>IF(VLOOKUP(all_lmics1819[[Setting]:[Setting]],all_cause_mort[],12,FALSE)="",VLOOKUP(all_lmics1819[[who_choice_region]:[who_choice_region]],missing[],16,FALSE),VLOOKUP(all_lmics1819[[Setting]:[Setting]],all_cause_mort[],12,FALSE))*0.95</f>
        <v>2.246419305E-3</v>
      </c>
      <c r="Y59">
        <f>IF(VLOOKUP(all_lmics1819[[Setting]:[Setting]],all_cause_mort[],13,FALSE)="",VLOOKUP(all_lmics1819[[who_choice_region]:[who_choice_region]],missing[],17,FALSE),VLOOKUP(all_lmics1819[[Setting]:[Setting]],all_cause_mort[],13,FALSE))*0.95</f>
        <v>2.7530664650000001E-3</v>
      </c>
      <c r="Z59">
        <f>IF(VLOOKUP(all_lmics1819[[Setting]:[Setting]],all_cause_mort[],14,FALSE)="",VLOOKUP(all_lmics1819[[who_choice_region]:[who_choice_region]],missing[],18,FALSE),VLOOKUP(all_lmics1819[[Setting]:[Setting]],all_cause_mort[],14,FALSE))*0.95</f>
        <v>4.0315075900000004E-3</v>
      </c>
      <c r="AA59">
        <f>IF(VLOOKUP(all_lmics1819[[Setting]:[Setting]],all_cause_mort[],15,FALSE)="",VLOOKUP(all_lmics1819[[who_choice_region]:[who_choice_region]],missing[],19,FALSE),VLOOKUP(all_lmics1819[[Setting]:[Setting]],all_cause_mort[],15,FALSE))*0.95</f>
        <v>5.8790796549999993E-3</v>
      </c>
      <c r="AB59">
        <f>IF(VLOOKUP(all_lmics1819[[Setting]:[Setting]],all_cause_mort[],16,FALSE)="",VLOOKUP(all_lmics1819[[who_choice_region]:[who_choice_region]],missing[],20,FALSE),VLOOKUP(all_lmics1819[[Setting]:[Setting]],all_cause_mort[],16,FALSE))*0.95</f>
        <v>8.2736180199999999E-3</v>
      </c>
      <c r="AC59">
        <f>IF(VLOOKUP(all_lmics1819[[Setting]:[Setting]],all_cause_mort[],17,FALSE)="",VLOOKUP(all_lmics1819[[who_choice_region]:[who_choice_region]],missing[],21,FALSE),VLOOKUP(all_lmics1819[[Setting]:[Setting]],all_cause_mort[],17,FALSE))*0.95</f>
        <v>1.2961311699999999E-2</v>
      </c>
      <c r="AD59">
        <f>IF(VLOOKUP(all_lmics1819[[Setting]:[Setting]],all_cause_mort[],18,FALSE)="",VLOOKUP(all_lmics1819[[who_choice_region]:[who_choice_region]],missing[],22,FALSE),VLOOKUP(all_lmics1819[[Setting]:[Setting]],all_cause_mort[],18,FALSE))*0.95</f>
        <v>1.9184402599999997E-2</v>
      </c>
      <c r="AE59">
        <f>IF(VLOOKUP(all_lmics1819[[Setting]:[Setting]],all_cause_mort[],19,FALSE)="",VLOOKUP(all_lmics1819[[who_choice_region]:[who_choice_region]],missing[],23,FALSE),VLOOKUP(all_lmics1819[[Setting]:[Setting]],all_cause_mort[],19,FALSE))*0.95</f>
        <v>2.819773565E-2</v>
      </c>
      <c r="AF59">
        <f>IF(VLOOKUP(all_lmics1819[[Setting]:[Setting]],all_cause_mort[],20,FALSE)="",VLOOKUP(all_lmics1819[[who_choice_region]:[who_choice_region]],missing[],24,FALSE),VLOOKUP(all_lmics1819[[Setting]:[Setting]],all_cause_mort[],20,FALSE))*0.95</f>
        <v>4.0773833750000002E-2</v>
      </c>
      <c r="AG59">
        <f>IF(VLOOKUP(all_lmics1819[[Setting]:[Setting]],all_cause_mort[],21,FALSE)="",VLOOKUP(all_lmics1819[[who_choice_region]:[who_choice_region]],missing[],25,FALSE),VLOOKUP(all_lmics1819[[Setting]:[Setting]],all_cause_mort[],21,FALSE))*0.95</f>
        <v>8.0035210499999995E-2</v>
      </c>
      <c r="AH59">
        <f>IF(VLOOKUP(all_lmics1819[[Setting]:[Setting]],all_cause_mort[],22,FALSE)="",VLOOKUP(all_lmics1819[[who_choice_region]:[who_choice_region]],missing[],26,FALSE),VLOOKUP(all_lmics1819[[Setting]:[Setting]],all_cause_mort[],22,FALSE))*0.95</f>
        <v>0.12816259999999999</v>
      </c>
      <c r="AI59">
        <f>IF(VLOOKUP(all_lmics1819[[Setting]:[Setting]],all_cause_mort[],23,FALSE)="",VLOOKUP(all_lmics1819[[who_choice_region]:[who_choice_region]],missing[],27,FALSE),VLOOKUP(all_lmics1819[[Setting]:[Setting]],all_cause_mort[],23,FALSE))*0.95</f>
        <v>0.19058686250000001</v>
      </c>
      <c r="AJ59">
        <f>IF(VLOOKUP(all_lmics1819[[Setting]:[Setting]],all_cause_mort[],24,FALSE)="",VLOOKUP(all_lmics1819[[who_choice_region]:[who_choice_region]],missing[],28,FALSE),VLOOKUP(all_lmics1819[[Setting]:[Setting]],all_cause_mort[],24,FALSE))*0.95</f>
        <v>0.26339572699999997</v>
      </c>
      <c r="AK59">
        <f>IF(VLOOKUP(all_lmics1819[[Setting]:[Setting]],all_cause_mort[],25,FALSE)="",VLOOKUP(all_lmics1819[[who_choice_region]:[who_choice_region]],missing[],29,FALSE),VLOOKUP(all_lmics1819[[Setting]:[Setting]],all_cause_mort[],25,FALSE))*0.95</f>
        <v>0.36581554609791866</v>
      </c>
      <c r="AL59">
        <f>VLOOKUP(all_lmics1819[[worldbank_region]:[worldbank_region]],Table13[],2,FALSE)*0.95</f>
        <v>82.51698764999999</v>
      </c>
      <c r="AM59">
        <f>VLOOKUP(all_lmics1819[[worldbank_region]:[worldbank_region]],Table13[],3,FALSE)*0.95</f>
        <v>82.51698764999999</v>
      </c>
      <c r="AN59">
        <f>VLOOKUP(all_lmics1819[[worldbank_region]:[worldbank_region]],Table13[],4,FALSE)*0.95</f>
        <v>127.85940464999999</v>
      </c>
      <c r="AO59">
        <f>VLOOKUP(all_lmics1819[[worldbank_region]:[worldbank_region]],Table13[],5,FALSE)*0.95</f>
        <v>127.85940464999999</v>
      </c>
      <c r="AP59">
        <f>VLOOKUP(all_lmics1819[[worldbank_region]:[worldbank_region]],Table13[],6,FALSE)*0.95</f>
        <v>127.85940464999999</v>
      </c>
      <c r="AQ59">
        <f>VLOOKUP(all_lmics1819[[worldbank_region]:[worldbank_region]],Table14[],2,FALSE)*0.95</f>
        <v>1.4389099000000001</v>
      </c>
      <c r="AR59">
        <f>VLOOKUP(all_lmics1819[[worldbank_region]:[worldbank_region]],Table14[],3,FALSE)*0.95</f>
        <v>2.0255348999999998</v>
      </c>
      <c r="AS59">
        <f>VLOOKUP(all_lmics1819[[worldbank_region]:[worldbank_region]],Table14[],4,FALSE)*0.95</f>
        <v>1.4596142000000001</v>
      </c>
      <c r="AT59">
        <f>VLOOKUP(all_lmics1819[[worldbank_region]:[worldbank_region]],Table14[],5,FALSE)*0.95</f>
        <v>2.0462391999999996</v>
      </c>
      <c r="AU59">
        <f>VLOOKUP(all_lmics1819[[worldbank_region]:[worldbank_region]],Table14[],6,FALSE)*0.95</f>
        <v>2.5879785999999996</v>
      </c>
      <c r="AV59">
        <f>IFERROR(VLOOKUP(all_lmics1819[[Setting]:[Setting]],nFacSBA[],4,FALSE),VLOOKUP(all_lmics1819[[who_choice_region]:[who_choice_region]],missing[],30,FALSE))*0.95</f>
        <v>0.19387920306497206</v>
      </c>
      <c r="AW59">
        <f>VLOOKUP(all_lmics1819[[worldbank_region]:[worldbank_region]],hbe[],3)</f>
        <v>0.2</v>
      </c>
      <c r="AX59">
        <f>VLOOKUP(all_lmics1819[[worldbank_region]:[worldbank_region]],hbe[],6)</f>
        <v>0.75</v>
      </c>
      <c r="AY59">
        <f>VLOOKUP(all_lmics1819[[worldbank_region]:[worldbank_region]],hbe[],9)</f>
        <v>0.05</v>
      </c>
    </row>
    <row r="60" spans="1:51" x14ac:dyDescent="0.35">
      <c r="A60" s="12" t="s">
        <v>164</v>
      </c>
      <c r="B60" s="13" t="s">
        <v>46</v>
      </c>
      <c r="C60" s="14" t="s">
        <v>383</v>
      </c>
      <c r="D60">
        <f>VLOOKUP(all_lmics1819[[Setting]:[Setting]],populations[],9,FALSE)</f>
        <v>32165485</v>
      </c>
      <c r="E60">
        <f>VLOOKUP(all_lmics1819[[Setting]:[Setting]],birthrate[],3,FALSE)</f>
        <v>1.9281E-2</v>
      </c>
      <c r="F60">
        <f>all_lmics1819[[#This Row],[2017_population]]*all_lmics1819[[#This Row],[2016_birthrate]]</f>
        <v>620182.71628499997</v>
      </c>
      <c r="G60">
        <f>VLOOKUP(all_lmics1819[[Setting]:[Setting]],birthdose[],4,FALSE)*0.95</f>
        <v>0.71249999999999991</v>
      </c>
      <c r="H60">
        <f>VLOOKUP(all_lmics1819[[Setting]:[Setting]],fullvax[],4,FALSE)*0.95</f>
        <v>0.78849999999999998</v>
      </c>
      <c r="I60">
        <f>IFERROR(VLOOKUP(all_lmics1819[[Setting]:[Setting]],prev[],3,FALSE),VLOOKUP(all_lmics1819[[who_choice_region]:[who_choice_region]],missing[],2,FALSE))</f>
        <v>3.0000000000000001E-3</v>
      </c>
      <c r="J60">
        <f>IFERROR(VLOOKUP(all_lmics1819[[Setting]:[Setting]],prev[],4,FALSE),VLOOKUP(all_lmics1819[[who_choice_region]:[who_choice_region]],missing[],3,FALSE))</f>
        <v>3.0000000000000001E-3</v>
      </c>
      <c r="K60">
        <f>IFERROR(VLOOKUP(all_lmics1819[[Setting]:[Setting]],prev[],5,FALSE),VLOOKUP(all_lmics1819[[who_choice_region]:[who_choice_region]],missing[],4,FALSE))</f>
        <v>4.0000000000000001E-3</v>
      </c>
      <c r="L60">
        <f>IFERROR(VLOOKUP(all_lmics1819[[Setting]:[Setting]],prev[],7,FALSE),VLOOKUP(all_lmics1819[[who_choice_region]:[who_choice_region]],missing[],5,FALSE))</f>
        <v>5.1020408163265311E-4</v>
      </c>
      <c r="M60">
        <f>IFERROR(VLOOKUP(all_lmics1819[[Setting]:[Setting]],prev[],6,FALSE),0)</f>
        <v>32165485</v>
      </c>
      <c r="N60">
        <f>IFERROR(VLOOKUP(all_lmics1819[[Setting]:[Setting]],SBA[],4,FALSE),VLOOKUP(all_lmics1819[[who_choice_region]:[who_choice_region]],missing[],6,FALSE))*0.95</f>
        <v>0.87780000000000002</v>
      </c>
      <c r="O60">
        <f>IFERROR(VLOOKUP(all_lmics1819[[Setting]:[Setting]], facility[], 3,FALSE),VLOOKUP(all_lmics1819[[who_choice_region]:[who_choice_region]],missing[],7,FALSE))*0.95</f>
        <v>0.86449999999999994</v>
      </c>
      <c r="P60">
        <f>IF(VLOOKUP(all_lmics1819[[Setting]:[Setting]],all_cause_mort[],4,FALSE)="",VLOOKUP(all_lmics1819[[who_choice_region]:[who_choice_region]],missing[],8,FALSE),VLOOKUP(all_lmics1819[[Setting]:[Setting]],all_cause_mort[],4,FALSE))*0.95</f>
        <v>1.2292065199999999E-2</v>
      </c>
      <c r="Q60">
        <f>IF(VLOOKUP(all_lmics1819[[Setting]:[Setting]],all_cause_mort[],5,FALSE)="",VLOOKUP(all_lmics1819[[who_choice_region]:[who_choice_region]],missing[],9,FALSE),VLOOKUP(all_lmics1819[[Setting]:[Setting]],all_cause_mort[],5,FALSE))*0.95</f>
        <v>8.3324207399999991E-4</v>
      </c>
      <c r="R60">
        <f>IF(VLOOKUP(all_lmics1819[[Setting]:[Setting]],all_cause_mort[],6,FALSE)="",VLOOKUP(all_lmics1819[[who_choice_region]:[who_choice_region]],missing[],10,FALSE),VLOOKUP(all_lmics1819[[Setting]:[Setting]],all_cause_mort[],6,FALSE))*0.95</f>
        <v>4.7078743400000002E-4</v>
      </c>
      <c r="S60">
        <f>IF(VLOOKUP(all_lmics1819[[Setting]:[Setting]],all_cause_mort[],7,FALSE)="",VLOOKUP(all_lmics1819[[who_choice_region]:[who_choice_region]],missing[],11,FALSE),VLOOKUP(all_lmics1819[[Setting]:[Setting]],all_cause_mort[],7,FALSE))*0.95</f>
        <v>3.1935313999999996E-4</v>
      </c>
      <c r="T60">
        <f>IF(VLOOKUP(all_lmics1819[[Setting]:[Setting]],all_cause_mort[],8,FALSE)="",VLOOKUP(all_lmics1819[[who_choice_region]:[who_choice_region]],missing[],12,FALSE),VLOOKUP(all_lmics1819[[Setting]:[Setting]],all_cause_mort[],8,FALSE))*0.95</f>
        <v>7.5612726800000001E-4</v>
      </c>
      <c r="U60">
        <f>IF(VLOOKUP(all_lmics1819[[Setting]:[Setting]],all_cause_mort[],9,FALSE)="",VLOOKUP(all_lmics1819[[who_choice_region]:[who_choice_region]],missing[],13,FALSE),VLOOKUP(all_lmics1819[[Setting]:[Setting]],all_cause_mort[],9,FALSE))*0.95</f>
        <v>1.124412875E-3</v>
      </c>
      <c r="V60">
        <f>IF(VLOOKUP(all_lmics1819[[Setting]:[Setting]],all_cause_mort[],10,FALSE)="",VLOOKUP(all_lmics1819[[who_choice_region]:[who_choice_region]],missing[],14,FALSE),VLOOKUP(all_lmics1819[[Setting]:[Setting]],all_cause_mort[],10,FALSE))*0.95</f>
        <v>1.4602710300000001E-3</v>
      </c>
      <c r="W60">
        <f>IF(VLOOKUP(all_lmics1819[[Setting]:[Setting]],all_cause_mort[],11,FALSE)="",VLOOKUP(all_lmics1819[[who_choice_region]:[who_choice_region]],missing[],15,FALSE),VLOOKUP(all_lmics1819[[Setting]:[Setting]],all_cause_mort[],11,FALSE))*0.95</f>
        <v>1.6058764849999998E-3</v>
      </c>
      <c r="X60">
        <f>IF(VLOOKUP(all_lmics1819[[Setting]:[Setting]],all_cause_mort[],12,FALSE)="",VLOOKUP(all_lmics1819[[who_choice_region]:[who_choice_region]],missing[],16,FALSE),VLOOKUP(all_lmics1819[[Setting]:[Setting]],all_cause_mort[],12,FALSE))*0.95</f>
        <v>1.92178578E-3</v>
      </c>
      <c r="Y60">
        <f>IF(VLOOKUP(all_lmics1819[[Setting]:[Setting]],all_cause_mort[],13,FALSE)="",VLOOKUP(all_lmics1819[[who_choice_region]:[who_choice_region]],missing[],17,FALSE),VLOOKUP(all_lmics1819[[Setting]:[Setting]],all_cause_mort[],13,FALSE))*0.95</f>
        <v>2.452407045E-3</v>
      </c>
      <c r="Z60">
        <f>IF(VLOOKUP(all_lmics1819[[Setting]:[Setting]],all_cause_mort[],14,FALSE)="",VLOOKUP(all_lmics1819[[who_choice_region]:[who_choice_region]],missing[],18,FALSE),VLOOKUP(all_lmics1819[[Setting]:[Setting]],all_cause_mort[],14,FALSE))*0.95</f>
        <v>3.2779880149999998E-3</v>
      </c>
      <c r="AA60">
        <f>IF(VLOOKUP(all_lmics1819[[Setting]:[Setting]],all_cause_mort[],15,FALSE)="",VLOOKUP(all_lmics1819[[who_choice_region]:[who_choice_region]],missing[],19,FALSE),VLOOKUP(all_lmics1819[[Setting]:[Setting]],all_cause_mort[],15,FALSE))*0.95</f>
        <v>4.573036755E-3</v>
      </c>
      <c r="AB60">
        <f>IF(VLOOKUP(all_lmics1819[[Setting]:[Setting]],all_cause_mort[],16,FALSE)="",VLOOKUP(all_lmics1819[[who_choice_region]:[who_choice_region]],missing[],20,FALSE),VLOOKUP(all_lmics1819[[Setting]:[Setting]],all_cause_mort[],16,FALSE))*0.95</f>
        <v>6.5575764949999992E-3</v>
      </c>
      <c r="AC60">
        <f>IF(VLOOKUP(all_lmics1819[[Setting]:[Setting]],all_cause_mort[],17,FALSE)="",VLOOKUP(all_lmics1819[[who_choice_region]:[who_choice_region]],missing[],21,FALSE),VLOOKUP(all_lmics1819[[Setting]:[Setting]],all_cause_mort[],17,FALSE))*0.95</f>
        <v>9.9704323999999997E-3</v>
      </c>
      <c r="AD60">
        <f>IF(VLOOKUP(all_lmics1819[[Setting]:[Setting]],all_cause_mort[],18,FALSE)="",VLOOKUP(all_lmics1819[[who_choice_region]:[who_choice_region]],missing[],22,FALSE),VLOOKUP(all_lmics1819[[Setting]:[Setting]],all_cause_mort[],18,FALSE))*0.95</f>
        <v>1.504662725E-2</v>
      </c>
      <c r="AE60">
        <f>IF(VLOOKUP(all_lmics1819[[Setting]:[Setting]],all_cause_mort[],19,FALSE)="",VLOOKUP(all_lmics1819[[who_choice_region]:[who_choice_region]],missing[],23,FALSE),VLOOKUP(all_lmics1819[[Setting]:[Setting]],all_cause_mort[],19,FALSE))*0.95</f>
        <v>2.6054775999999998E-2</v>
      </c>
      <c r="AF60">
        <f>IF(VLOOKUP(all_lmics1819[[Setting]:[Setting]],all_cause_mort[],20,FALSE)="",VLOOKUP(all_lmics1819[[who_choice_region]:[who_choice_region]],missing[],24,FALSE),VLOOKUP(all_lmics1819[[Setting]:[Setting]],all_cause_mort[],20,FALSE))*0.95</f>
        <v>4.1867241950000002E-2</v>
      </c>
      <c r="AG60">
        <f>IF(VLOOKUP(all_lmics1819[[Setting]:[Setting]],all_cause_mort[],21,FALSE)="",VLOOKUP(all_lmics1819[[who_choice_region]:[who_choice_region]],missing[],25,FALSE),VLOOKUP(all_lmics1819[[Setting]:[Setting]],all_cause_mort[],21,FALSE))*0.95</f>
        <v>7.0152673999999998E-2</v>
      </c>
      <c r="AH60">
        <f>IF(VLOOKUP(all_lmics1819[[Setting]:[Setting]],all_cause_mort[],22,FALSE)="",VLOOKUP(all_lmics1819[[who_choice_region]:[who_choice_region]],missing[],26,FALSE),VLOOKUP(all_lmics1819[[Setting]:[Setting]],all_cause_mort[],22,FALSE))*0.95</f>
        <v>0.1161413095</v>
      </c>
      <c r="AI60">
        <f>IF(VLOOKUP(all_lmics1819[[Setting]:[Setting]],all_cause_mort[],23,FALSE)="",VLOOKUP(all_lmics1819[[who_choice_region]:[who_choice_region]],missing[],27,FALSE),VLOOKUP(all_lmics1819[[Setting]:[Setting]],all_cause_mort[],23,FALSE))*0.95</f>
        <v>0.17705446399999999</v>
      </c>
      <c r="AJ60">
        <f>IF(VLOOKUP(all_lmics1819[[Setting]:[Setting]],all_cause_mort[],24,FALSE)="",VLOOKUP(all_lmics1819[[who_choice_region]:[who_choice_region]],missing[],28,FALSE),VLOOKUP(all_lmics1819[[Setting]:[Setting]],all_cause_mort[],24,FALSE))*0.95</f>
        <v>0.25079172549999995</v>
      </c>
      <c r="AK60">
        <f>IF(VLOOKUP(all_lmics1819[[Setting]:[Setting]],all_cause_mort[],25,FALSE)="",VLOOKUP(all_lmics1819[[who_choice_region]:[who_choice_region]],missing[],29,FALSE),VLOOKUP(all_lmics1819[[Setting]:[Setting]],all_cause_mort[],25,FALSE))*0.95</f>
        <v>0.35916875797401915</v>
      </c>
      <c r="AL60">
        <f>VLOOKUP(all_lmics1819[[worldbank_region]:[worldbank_region]],Table13[],2,FALSE)*0.95</f>
        <v>82.51698764999999</v>
      </c>
      <c r="AM60">
        <f>VLOOKUP(all_lmics1819[[worldbank_region]:[worldbank_region]],Table13[],3,FALSE)*0.95</f>
        <v>82.51698764999999</v>
      </c>
      <c r="AN60">
        <f>VLOOKUP(all_lmics1819[[worldbank_region]:[worldbank_region]],Table13[],4,FALSE)*0.95</f>
        <v>127.85940464999999</v>
      </c>
      <c r="AO60">
        <f>VLOOKUP(all_lmics1819[[worldbank_region]:[worldbank_region]],Table13[],5,FALSE)*0.95</f>
        <v>127.85940464999999</v>
      </c>
      <c r="AP60">
        <f>VLOOKUP(all_lmics1819[[worldbank_region]:[worldbank_region]],Table13[],6,FALSE)*0.95</f>
        <v>127.85940464999999</v>
      </c>
      <c r="AQ60">
        <f>VLOOKUP(all_lmics1819[[worldbank_region]:[worldbank_region]],Table14[],2,FALSE)*0.95</f>
        <v>1.4389099000000001</v>
      </c>
      <c r="AR60">
        <f>VLOOKUP(all_lmics1819[[worldbank_region]:[worldbank_region]],Table14[],3,FALSE)*0.95</f>
        <v>2.0255348999999998</v>
      </c>
      <c r="AS60">
        <f>VLOOKUP(all_lmics1819[[worldbank_region]:[worldbank_region]],Table14[],4,FALSE)*0.95</f>
        <v>1.4596142000000001</v>
      </c>
      <c r="AT60">
        <f>VLOOKUP(all_lmics1819[[worldbank_region]:[worldbank_region]],Table14[],5,FALSE)*0.95</f>
        <v>2.0462391999999996</v>
      </c>
      <c r="AU60">
        <f>VLOOKUP(all_lmics1819[[worldbank_region]:[worldbank_region]],Table14[],6,FALSE)*0.95</f>
        <v>2.5879785999999996</v>
      </c>
      <c r="AV60">
        <f>IFERROR(VLOOKUP(all_lmics1819[[Setting]:[Setting]],nFacSBA[],4,FALSE),VLOOKUP(all_lmics1819[[who_choice_region]:[who_choice_region]],missing[],30,FALSE))*0.95</f>
        <v>0.17348317709533173</v>
      </c>
      <c r="AW60">
        <f>VLOOKUP(all_lmics1819[[worldbank_region]:[worldbank_region]],hbe[],3)</f>
        <v>0.2</v>
      </c>
      <c r="AX60">
        <f>VLOOKUP(all_lmics1819[[worldbank_region]:[worldbank_region]],hbe[],6)</f>
        <v>0.75</v>
      </c>
      <c r="AY60">
        <f>VLOOKUP(all_lmics1819[[worldbank_region]:[worldbank_region]],hbe[],9)</f>
        <v>0.05</v>
      </c>
    </row>
    <row r="61" spans="1:51" x14ac:dyDescent="0.35">
      <c r="A61" s="8" t="s">
        <v>165</v>
      </c>
      <c r="B61" s="10" t="s">
        <v>57</v>
      </c>
      <c r="C61" s="11" t="s">
        <v>58</v>
      </c>
      <c r="D61">
        <f>VLOOKUP(all_lmics1819[[Setting]:[Setting]],populations[],9,FALSE)</f>
        <v>104918090</v>
      </c>
      <c r="E61">
        <f>VLOOKUP(all_lmics1819[[Setting]:[Setting]],birthrate[],3,FALSE)</f>
        <v>2.3210000000000001E-2</v>
      </c>
      <c r="F61">
        <f>all_lmics1819[[#This Row],[2017_population]]*all_lmics1819[[#This Row],[2016_birthrate]]</f>
        <v>2435148.8689000001</v>
      </c>
      <c r="G61">
        <f>VLOOKUP(all_lmics1819[[Setting]:[Setting]],birthdose[],4,FALSE)*0.95</f>
        <v>0.63649999999999995</v>
      </c>
      <c r="H61">
        <f>VLOOKUP(all_lmics1819[[Setting]:[Setting]],fullvax[],4,FALSE)*0.95</f>
        <v>0.83599999999999997</v>
      </c>
      <c r="I61">
        <f>IFERROR(VLOOKUP(all_lmics1819[[Setting]:[Setting]],prev[],3,FALSE),VLOOKUP(all_lmics1819[[who_choice_region]:[who_choice_region]],missing[],2,FALSE))</f>
        <v>9.8000000000000004E-2</v>
      </c>
      <c r="J61">
        <f>IFERROR(VLOOKUP(all_lmics1819[[Setting]:[Setting]],prev[],4,FALSE),VLOOKUP(all_lmics1819[[who_choice_region]:[who_choice_region]],missing[],3,FALSE))</f>
        <v>8.7999999999999995E-2</v>
      </c>
      <c r="K61">
        <f>IFERROR(VLOOKUP(all_lmics1819[[Setting]:[Setting]],prev[],5,FALSE),VLOOKUP(all_lmics1819[[who_choice_region]:[who_choice_region]],missing[],4,FALSE))</f>
        <v>0.109</v>
      </c>
      <c r="L61">
        <f>IFERROR(VLOOKUP(all_lmics1819[[Setting]:[Setting]],prev[],7,FALSE),VLOOKUP(all_lmics1819[[who_choice_region]:[who_choice_region]],missing[],5,FALSE))</f>
        <v>5.6122448979591816E-3</v>
      </c>
      <c r="M61">
        <f>IFERROR(VLOOKUP(all_lmics1819[[Setting]:[Setting]],prev[],6,FALSE),0)</f>
        <v>104918090</v>
      </c>
      <c r="N61">
        <f>IFERROR(VLOOKUP(all_lmics1819[[Setting]:[Setting]],SBA[],4,FALSE),VLOOKUP(all_lmics1819[[who_choice_region]:[who_choice_region]],missing[],6,FALSE))*0.95</f>
        <v>0.69159999999999999</v>
      </c>
      <c r="O61">
        <f>IFERROR(VLOOKUP(all_lmics1819[[Setting]:[Setting]], facility[], 3,FALSE),VLOOKUP(all_lmics1819[[who_choice_region]:[who_choice_region]],missing[],7,FALSE))*0.95</f>
        <v>0.58044999999999991</v>
      </c>
      <c r="P61">
        <f>IF(VLOOKUP(all_lmics1819[[Setting]:[Setting]],all_cause_mort[],4,FALSE)="",VLOOKUP(all_lmics1819[[who_choice_region]:[who_choice_region]],missing[],8,FALSE),VLOOKUP(all_lmics1819[[Setting]:[Setting]],all_cause_mort[],4,FALSE))*0.95</f>
        <v>1.900765795E-2</v>
      </c>
      <c r="Q61">
        <f>IF(VLOOKUP(all_lmics1819[[Setting]:[Setting]],all_cause_mort[],5,FALSE)="",VLOOKUP(all_lmics1819[[who_choice_region]:[who_choice_region]],missing[],9,FALSE),VLOOKUP(all_lmics1819[[Setting]:[Setting]],all_cause_mort[],5,FALSE))*0.95</f>
        <v>1.9519276649999999E-3</v>
      </c>
      <c r="R61">
        <f>IF(VLOOKUP(all_lmics1819[[Setting]:[Setting]],all_cause_mort[],6,FALSE)="",VLOOKUP(all_lmics1819[[who_choice_region]:[who_choice_region]],missing[],10,FALSE),VLOOKUP(all_lmics1819[[Setting]:[Setting]],all_cause_mort[],6,FALSE))*0.95</f>
        <v>5.8323159049999994E-4</v>
      </c>
      <c r="S61">
        <f>IF(VLOOKUP(all_lmics1819[[Setting]:[Setting]],all_cause_mort[],7,FALSE)="",VLOOKUP(all_lmics1819[[who_choice_region]:[who_choice_region]],missing[],11,FALSE),VLOOKUP(all_lmics1819[[Setting]:[Setting]],all_cause_mort[],7,FALSE))*0.95</f>
        <v>5.0610431100000001E-4</v>
      </c>
      <c r="T61">
        <f>IF(VLOOKUP(all_lmics1819[[Setting]:[Setting]],all_cause_mort[],8,FALSE)="",VLOOKUP(all_lmics1819[[who_choice_region]:[who_choice_region]],missing[],12,FALSE),VLOOKUP(all_lmics1819[[Setting]:[Setting]],all_cause_mort[],8,FALSE))*0.95</f>
        <v>1.084043385E-3</v>
      </c>
      <c r="U61">
        <f>IF(VLOOKUP(all_lmics1819[[Setting]:[Setting]],all_cause_mort[],9,FALSE)="",VLOOKUP(all_lmics1819[[who_choice_region]:[who_choice_region]],missing[],13,FALSE),VLOOKUP(all_lmics1819[[Setting]:[Setting]],all_cause_mort[],9,FALSE))*0.95</f>
        <v>1.51825105E-3</v>
      </c>
      <c r="V61">
        <f>IF(VLOOKUP(all_lmics1819[[Setting]:[Setting]],all_cause_mort[],10,FALSE)="",VLOOKUP(all_lmics1819[[who_choice_region]:[who_choice_region]],missing[],14,FALSE),VLOOKUP(all_lmics1819[[Setting]:[Setting]],all_cause_mort[],10,FALSE))*0.95</f>
        <v>1.6599663499999998E-3</v>
      </c>
      <c r="W61">
        <f>IF(VLOOKUP(all_lmics1819[[Setting]:[Setting]],all_cause_mort[],11,FALSE)="",VLOOKUP(all_lmics1819[[who_choice_region]:[who_choice_region]],missing[],15,FALSE),VLOOKUP(all_lmics1819[[Setting]:[Setting]],all_cause_mort[],11,FALSE))*0.95</f>
        <v>1.982425515E-3</v>
      </c>
      <c r="X61">
        <f>IF(VLOOKUP(all_lmics1819[[Setting]:[Setting]],all_cause_mort[],12,FALSE)="",VLOOKUP(all_lmics1819[[who_choice_region]:[who_choice_region]],missing[],16,FALSE),VLOOKUP(all_lmics1819[[Setting]:[Setting]],all_cause_mort[],12,FALSE))*0.95</f>
        <v>2.6351211149999998E-3</v>
      </c>
      <c r="Y61">
        <f>IF(VLOOKUP(all_lmics1819[[Setting]:[Setting]],all_cause_mort[],13,FALSE)="",VLOOKUP(all_lmics1819[[who_choice_region]:[who_choice_region]],missing[],17,FALSE),VLOOKUP(all_lmics1819[[Setting]:[Setting]],all_cause_mort[],13,FALSE))*0.95</f>
        <v>3.7089119099999999E-3</v>
      </c>
      <c r="Z61">
        <f>IF(VLOOKUP(all_lmics1819[[Setting]:[Setting]],all_cause_mort[],14,FALSE)="",VLOOKUP(all_lmics1819[[who_choice_region]:[who_choice_region]],missing[],18,FALSE),VLOOKUP(all_lmics1819[[Setting]:[Setting]],all_cause_mort[],14,FALSE))*0.95</f>
        <v>5.5192284899999999E-3</v>
      </c>
      <c r="AA61">
        <f>IF(VLOOKUP(all_lmics1819[[Setting]:[Setting]],all_cause_mort[],15,FALSE)="",VLOOKUP(all_lmics1819[[who_choice_region]:[who_choice_region]],missing[],19,FALSE),VLOOKUP(all_lmics1819[[Setting]:[Setting]],all_cause_mort[],15,FALSE))*0.95</f>
        <v>8.313995204999999E-3</v>
      </c>
      <c r="AB61">
        <f>IF(VLOOKUP(all_lmics1819[[Setting]:[Setting]],all_cause_mort[],16,FALSE)="",VLOOKUP(all_lmics1819[[who_choice_region]:[who_choice_region]],missing[],20,FALSE),VLOOKUP(all_lmics1819[[Setting]:[Setting]],all_cause_mort[],16,FALSE))*0.95</f>
        <v>1.253589315E-2</v>
      </c>
      <c r="AC61">
        <f>IF(VLOOKUP(all_lmics1819[[Setting]:[Setting]],all_cause_mort[],17,FALSE)="",VLOOKUP(all_lmics1819[[who_choice_region]:[who_choice_region]],missing[],21,FALSE),VLOOKUP(all_lmics1819[[Setting]:[Setting]],all_cause_mort[],17,FALSE))*0.95</f>
        <v>1.7292015899999999E-2</v>
      </c>
      <c r="AD61">
        <f>IF(VLOOKUP(all_lmics1819[[Setting]:[Setting]],all_cause_mort[],18,FALSE)="",VLOOKUP(all_lmics1819[[who_choice_region]:[who_choice_region]],missing[],22,FALSE),VLOOKUP(all_lmics1819[[Setting]:[Setting]],all_cause_mort[],18,FALSE))*0.95</f>
        <v>2.3697275E-2</v>
      </c>
      <c r="AE61">
        <f>IF(VLOOKUP(all_lmics1819[[Setting]:[Setting]],all_cause_mort[],19,FALSE)="",VLOOKUP(all_lmics1819[[who_choice_region]:[who_choice_region]],missing[],23,FALSE),VLOOKUP(all_lmics1819[[Setting]:[Setting]],all_cause_mort[],19,FALSE))*0.95</f>
        <v>3.48918166E-2</v>
      </c>
      <c r="AF61">
        <f>IF(VLOOKUP(all_lmics1819[[Setting]:[Setting]],all_cause_mort[],20,FALSE)="",VLOOKUP(all_lmics1819[[who_choice_region]:[who_choice_region]],missing[],24,FALSE),VLOOKUP(all_lmics1819[[Setting]:[Setting]],all_cause_mort[],20,FALSE))*0.95</f>
        <v>5.6207706649999994E-2</v>
      </c>
      <c r="AG61">
        <f>IF(VLOOKUP(all_lmics1819[[Setting]:[Setting]],all_cause_mort[],21,FALSE)="",VLOOKUP(all_lmics1819[[who_choice_region]:[who_choice_region]],missing[],25,FALSE),VLOOKUP(all_lmics1819[[Setting]:[Setting]],all_cause_mort[],21,FALSE))*0.95</f>
        <v>8.9210075850000001E-2</v>
      </c>
      <c r="AH61">
        <f>IF(VLOOKUP(all_lmics1819[[Setting]:[Setting]],all_cause_mort[],22,FALSE)="",VLOOKUP(all_lmics1819[[who_choice_region]:[who_choice_region]],missing[],26,FALSE),VLOOKUP(all_lmics1819[[Setting]:[Setting]],all_cause_mort[],22,FALSE))*0.95</f>
        <v>0.13714734849999999</v>
      </c>
      <c r="AI61">
        <f>IF(VLOOKUP(all_lmics1819[[Setting]:[Setting]],all_cause_mort[],23,FALSE)="",VLOOKUP(all_lmics1819[[who_choice_region]:[who_choice_region]],missing[],27,FALSE),VLOOKUP(all_lmics1819[[Setting]:[Setting]],all_cause_mort[],23,FALSE))*0.95</f>
        <v>0.1984666185</v>
      </c>
      <c r="AJ61">
        <f>IF(VLOOKUP(all_lmics1819[[Setting]:[Setting]],all_cause_mort[],24,FALSE)="",VLOOKUP(all_lmics1819[[who_choice_region]:[who_choice_region]],missing[],28,FALSE),VLOOKUP(all_lmics1819[[Setting]:[Setting]],all_cause_mort[],24,FALSE))*0.95</f>
        <v>0.27871732700000001</v>
      </c>
      <c r="AK61">
        <f>IF(VLOOKUP(all_lmics1819[[Setting]:[Setting]],all_cause_mort[],25,FALSE)="",VLOOKUP(all_lmics1819[[who_choice_region]:[who_choice_region]],missing[],29,FALSE),VLOOKUP(all_lmics1819[[Setting]:[Setting]],all_cause_mort[],25,FALSE))*0.95</f>
        <v>0.37840657532011601</v>
      </c>
      <c r="AL61">
        <f>VLOOKUP(all_lmics1819[[worldbank_region]:[worldbank_region]],Table13[],2,FALSE)*0.95</f>
        <v>69.411165749999981</v>
      </c>
      <c r="AM61">
        <f>VLOOKUP(all_lmics1819[[worldbank_region]:[worldbank_region]],Table13[],3,FALSE)*0.95</f>
        <v>69.411165749999981</v>
      </c>
      <c r="AN61">
        <f>VLOOKUP(all_lmics1819[[worldbank_region]:[worldbank_region]],Table13[],4,FALSE)*0.95</f>
        <v>114.75358274999998</v>
      </c>
      <c r="AO61">
        <f>VLOOKUP(all_lmics1819[[worldbank_region]:[worldbank_region]],Table13[],5,FALSE)*0.95</f>
        <v>114.75358274999998</v>
      </c>
      <c r="AP61">
        <f>VLOOKUP(all_lmics1819[[worldbank_region]:[worldbank_region]],Table13[],6,FALSE)*0.95</f>
        <v>114.75358274999998</v>
      </c>
      <c r="AQ61">
        <f>VLOOKUP(all_lmics1819[[worldbank_region]:[worldbank_region]],Table14[],2,FALSE)*0.95</f>
        <v>1.2732755</v>
      </c>
      <c r="AR61">
        <f>VLOOKUP(all_lmics1819[[worldbank_region]:[worldbank_region]],Table14[],3,FALSE)*0.95</f>
        <v>1.8599005</v>
      </c>
      <c r="AS61">
        <f>VLOOKUP(all_lmics1819[[worldbank_region]:[worldbank_region]],Table14[],4,FALSE)*0.95</f>
        <v>1.8737001999999996</v>
      </c>
      <c r="AT61">
        <f>VLOOKUP(all_lmics1819[[worldbank_region]:[worldbank_region]],Table14[],5,FALSE)*0.95</f>
        <v>2.4603251999999998</v>
      </c>
      <c r="AU61">
        <f>VLOOKUP(all_lmics1819[[worldbank_region]:[worldbank_region]],Table14[],6,FALSE)*0.95</f>
        <v>3.0020645999999997</v>
      </c>
      <c r="AV61">
        <f>IFERROR(VLOOKUP(all_lmics1819[[Setting]:[Setting]],nFacSBA[],4,FALSE),VLOOKUP(all_lmics1819[[who_choice_region]:[who_choice_region]],missing[],30,FALSE))*0.95</f>
        <v>0.1518638670270247</v>
      </c>
      <c r="AW61">
        <f>VLOOKUP(all_lmics1819[[worldbank_region]:[worldbank_region]],hbe[],3)</f>
        <v>0.2</v>
      </c>
      <c r="AX61">
        <f>VLOOKUP(all_lmics1819[[worldbank_region]:[worldbank_region]],hbe[],6)</f>
        <v>0.75</v>
      </c>
      <c r="AY61">
        <f>VLOOKUP(all_lmics1819[[worldbank_region]:[worldbank_region]],hbe[],9)</f>
        <v>0.05</v>
      </c>
    </row>
    <row r="62" spans="1:51" x14ac:dyDescent="0.35">
      <c r="A62" s="12" t="s">
        <v>166</v>
      </c>
      <c r="B62" s="13" t="s">
        <v>10</v>
      </c>
      <c r="C62" s="14" t="s">
        <v>11</v>
      </c>
      <c r="D62">
        <f>VLOOKUP(all_lmics1819[[Setting]:[Setting]],populations[],9,FALSE)</f>
        <v>37975841</v>
      </c>
      <c r="E62">
        <f>VLOOKUP(all_lmics1819[[Setting]:[Setting]],birthrate[],3,FALSE)</f>
        <v>1.01E-2</v>
      </c>
      <c r="F62">
        <f>all_lmics1819[[#This Row],[2017_population]]*all_lmics1819[[#This Row],[2016_birthrate]]</f>
        <v>383555.99410000001</v>
      </c>
      <c r="G62">
        <f>VLOOKUP(all_lmics1819[[Setting]:[Setting]],birthdose[],4,FALSE)*0.95</f>
        <v>0.88349999999999995</v>
      </c>
      <c r="H62">
        <f>VLOOKUP(all_lmics1819[[Setting]:[Setting]],fullvax[],4,FALSE)*0.95</f>
        <v>0.90249999999999997</v>
      </c>
      <c r="I62">
        <f>IFERROR(VLOOKUP(all_lmics1819[[Setting]:[Setting]],prev[],3,FALSE),VLOOKUP(all_lmics1819[[who_choice_region]:[who_choice_region]],missing[],2,FALSE))</f>
        <v>8.9999999999999993E-3</v>
      </c>
      <c r="J62">
        <f>IFERROR(VLOOKUP(all_lmics1819[[Setting]:[Setting]],prev[],4,FALSE),VLOOKUP(all_lmics1819[[who_choice_region]:[who_choice_region]],missing[],3,FALSE))</f>
        <v>7.0000000000000001E-3</v>
      </c>
      <c r="K62">
        <f>IFERROR(VLOOKUP(all_lmics1819[[Setting]:[Setting]],prev[],5,FALSE),VLOOKUP(all_lmics1819[[who_choice_region]:[who_choice_region]],missing[],4,FALSE))</f>
        <v>1.0999999999999999E-2</v>
      </c>
      <c r="L62">
        <f>IFERROR(VLOOKUP(all_lmics1819[[Setting]:[Setting]],prev[],7,FALSE),VLOOKUP(all_lmics1819[[who_choice_region]:[who_choice_region]],missing[],5,FALSE))</f>
        <v>1.0204081632653062E-3</v>
      </c>
      <c r="M62">
        <f>IFERROR(VLOOKUP(all_lmics1819[[Setting]:[Setting]],prev[],6,FALSE),0)</f>
        <v>37975841</v>
      </c>
      <c r="N62">
        <f>IFERROR(VLOOKUP(all_lmics1819[[Setting]:[Setting]],SBA[],4,FALSE),VLOOKUP(all_lmics1819[[who_choice_region]:[who_choice_region]],missing[],6,FALSE))*0.95</f>
        <v>0.94809999999999994</v>
      </c>
      <c r="O62">
        <f>IFERROR(VLOOKUP(all_lmics1819[[Setting]:[Setting]], facility[], 3,FALSE),VLOOKUP(all_lmics1819[[who_choice_region]:[who_choice_region]],missing[],7,FALSE))*0.95</f>
        <v>0.94809999999999994</v>
      </c>
      <c r="P62">
        <f>IF(VLOOKUP(all_lmics1819[[Setting]:[Setting]],all_cause_mort[],4,FALSE)="",VLOOKUP(all_lmics1819[[who_choice_region]:[who_choice_region]],missing[],8,FALSE),VLOOKUP(all_lmics1819[[Setting]:[Setting]],all_cause_mort[],4,FALSE))*0.95</f>
        <v>3.1225074049999997E-3</v>
      </c>
      <c r="Q62">
        <f>IF(VLOOKUP(all_lmics1819[[Setting]:[Setting]],all_cause_mort[],5,FALSE)="",VLOOKUP(all_lmics1819[[who_choice_region]:[who_choice_region]],missing[],9,FALSE),VLOOKUP(all_lmics1819[[Setting]:[Setting]],all_cause_mort[],5,FALSE))*0.95</f>
        <v>1.37198373E-4</v>
      </c>
      <c r="R62">
        <f>IF(VLOOKUP(all_lmics1819[[Setting]:[Setting]],all_cause_mort[],6,FALSE)="",VLOOKUP(all_lmics1819[[who_choice_region]:[who_choice_region]],missing[],10,FALSE),VLOOKUP(all_lmics1819[[Setting]:[Setting]],all_cause_mort[],6,FALSE))*0.95</f>
        <v>7.6706297449999995E-5</v>
      </c>
      <c r="S62">
        <f>IF(VLOOKUP(all_lmics1819[[Setting]:[Setting]],all_cause_mort[],7,FALSE)="",VLOOKUP(all_lmics1819[[who_choice_region]:[who_choice_region]],missing[],11,FALSE),VLOOKUP(all_lmics1819[[Setting]:[Setting]],all_cause_mort[],7,FALSE))*0.95</f>
        <v>1.09681376E-4</v>
      </c>
      <c r="T62">
        <f>IF(VLOOKUP(all_lmics1819[[Setting]:[Setting]],all_cause_mort[],8,FALSE)="",VLOOKUP(all_lmics1819[[who_choice_region]:[who_choice_region]],missing[],12,FALSE),VLOOKUP(all_lmics1819[[Setting]:[Setting]],all_cause_mort[],8,FALSE))*0.95</f>
        <v>3.2528075999999995E-4</v>
      </c>
      <c r="U62">
        <f>IF(VLOOKUP(all_lmics1819[[Setting]:[Setting]],all_cause_mort[],9,FALSE)="",VLOOKUP(all_lmics1819[[who_choice_region]:[who_choice_region]],missing[],13,FALSE),VLOOKUP(all_lmics1819[[Setting]:[Setting]],all_cause_mort[],9,FALSE))*0.95</f>
        <v>5.166951769999999E-4</v>
      </c>
      <c r="V62">
        <f>IF(VLOOKUP(all_lmics1819[[Setting]:[Setting]],all_cause_mort[],10,FALSE)="",VLOOKUP(all_lmics1819[[who_choice_region]:[who_choice_region]],missing[],14,FALSE),VLOOKUP(all_lmics1819[[Setting]:[Setting]],all_cause_mort[],10,FALSE))*0.95</f>
        <v>5.7609661550000004E-4</v>
      </c>
      <c r="W62">
        <f>IF(VLOOKUP(all_lmics1819[[Setting]:[Setting]],all_cause_mort[],11,FALSE)="",VLOOKUP(all_lmics1819[[who_choice_region]:[who_choice_region]],missing[],15,FALSE),VLOOKUP(all_lmics1819[[Setting]:[Setting]],all_cause_mort[],11,FALSE))*0.95</f>
        <v>7.5706457599999998E-4</v>
      </c>
      <c r="X62">
        <f>IF(VLOOKUP(all_lmics1819[[Setting]:[Setting]],all_cause_mort[],12,FALSE)="",VLOOKUP(all_lmics1819[[who_choice_region]:[who_choice_region]],missing[],16,FALSE),VLOOKUP(all_lmics1819[[Setting]:[Setting]],all_cause_mort[],12,FALSE))*0.95</f>
        <v>1.133505895E-3</v>
      </c>
      <c r="Y62">
        <f>IF(VLOOKUP(all_lmics1819[[Setting]:[Setting]],all_cause_mort[],13,FALSE)="",VLOOKUP(all_lmics1819[[who_choice_region]:[who_choice_region]],missing[],17,FALSE),VLOOKUP(all_lmics1819[[Setting]:[Setting]],all_cause_mort[],13,FALSE))*0.95</f>
        <v>1.8529722449999999E-3</v>
      </c>
      <c r="Z62">
        <f>IF(VLOOKUP(all_lmics1819[[Setting]:[Setting]],all_cause_mort[],14,FALSE)="",VLOOKUP(all_lmics1819[[who_choice_region]:[who_choice_region]],missing[],18,FALSE),VLOOKUP(all_lmics1819[[Setting]:[Setting]],all_cause_mort[],14,FALSE))*0.95</f>
        <v>3.150831275E-3</v>
      </c>
      <c r="AA62">
        <f>IF(VLOOKUP(all_lmics1819[[Setting]:[Setting]],all_cause_mort[],15,FALSE)="",VLOOKUP(all_lmics1819[[who_choice_region]:[who_choice_region]],missing[],19,FALSE),VLOOKUP(all_lmics1819[[Setting]:[Setting]],all_cause_mort[],15,FALSE))*0.95</f>
        <v>5.2583287549999996E-3</v>
      </c>
      <c r="AB62">
        <f>IF(VLOOKUP(all_lmics1819[[Setting]:[Setting]],all_cause_mort[],16,FALSE)="",VLOOKUP(all_lmics1819[[who_choice_region]:[who_choice_region]],missing[],20,FALSE),VLOOKUP(all_lmics1819[[Setting]:[Setting]],all_cause_mort[],16,FALSE))*0.95</f>
        <v>8.2821379999999997E-3</v>
      </c>
      <c r="AC62">
        <f>IF(VLOOKUP(all_lmics1819[[Setting]:[Setting]],all_cause_mort[],17,FALSE)="",VLOOKUP(all_lmics1819[[who_choice_region]:[who_choice_region]],missing[],21,FALSE),VLOOKUP(all_lmics1819[[Setting]:[Setting]],all_cause_mort[],17,FALSE))*0.95</f>
        <v>1.22905129E-2</v>
      </c>
      <c r="AD62">
        <f>IF(VLOOKUP(all_lmics1819[[Setting]:[Setting]],all_cause_mort[],18,FALSE)="",VLOOKUP(all_lmics1819[[who_choice_region]:[who_choice_region]],missing[],22,FALSE),VLOOKUP(all_lmics1819[[Setting]:[Setting]],all_cause_mort[],18,FALSE))*0.95</f>
        <v>1.7244133999999998E-2</v>
      </c>
      <c r="AE62">
        <f>IF(VLOOKUP(all_lmics1819[[Setting]:[Setting]],all_cause_mort[],19,FALSE)="",VLOOKUP(all_lmics1819[[who_choice_region]:[who_choice_region]],missing[],23,FALSE),VLOOKUP(all_lmics1819[[Setting]:[Setting]],all_cause_mort[],19,FALSE))*0.95</f>
        <v>2.4202777599999999E-2</v>
      </c>
      <c r="AF62">
        <f>IF(VLOOKUP(all_lmics1819[[Setting]:[Setting]],all_cause_mort[],20,FALSE)="",VLOOKUP(all_lmics1819[[who_choice_region]:[who_choice_region]],missing[],24,FALSE),VLOOKUP(all_lmics1819[[Setting]:[Setting]],all_cause_mort[],20,FALSE))*0.95</f>
        <v>3.725260935E-2</v>
      </c>
      <c r="AG62">
        <f>IF(VLOOKUP(all_lmics1819[[Setting]:[Setting]],all_cause_mort[],21,FALSE)="",VLOOKUP(all_lmics1819[[who_choice_region]:[who_choice_region]],missing[],25,FALSE),VLOOKUP(all_lmics1819[[Setting]:[Setting]],all_cause_mort[],21,FALSE))*0.95</f>
        <v>6.2478565449999995E-2</v>
      </c>
      <c r="AH62">
        <f>IF(VLOOKUP(all_lmics1819[[Setting]:[Setting]],all_cause_mort[],22,FALSE)="",VLOOKUP(all_lmics1819[[who_choice_region]:[who_choice_region]],missing[],26,FALSE),VLOOKUP(all_lmics1819[[Setting]:[Setting]],all_cause_mort[],22,FALSE))*0.95</f>
        <v>0.10390983149999999</v>
      </c>
      <c r="AI62">
        <f>IF(VLOOKUP(all_lmics1819[[Setting]:[Setting]],all_cause_mort[],23,FALSE)="",VLOOKUP(all_lmics1819[[who_choice_region]:[who_choice_region]],missing[],27,FALSE),VLOOKUP(all_lmics1819[[Setting]:[Setting]],all_cause_mort[],23,FALSE))*0.95</f>
        <v>0.167872524</v>
      </c>
      <c r="AJ62">
        <f>IF(VLOOKUP(all_lmics1819[[Setting]:[Setting]],all_cause_mort[],24,FALSE)="",VLOOKUP(all_lmics1819[[who_choice_region]:[who_choice_region]],missing[],28,FALSE),VLOOKUP(all_lmics1819[[Setting]:[Setting]],all_cause_mort[],24,FALSE))*0.95</f>
        <v>0.25641822399999997</v>
      </c>
      <c r="AK62">
        <f>IF(VLOOKUP(all_lmics1819[[Setting]:[Setting]],all_cause_mort[],25,FALSE)="",VLOOKUP(all_lmics1819[[who_choice_region]:[who_choice_region]],missing[],29,FALSE),VLOOKUP(all_lmics1819[[Setting]:[Setting]],all_cause_mort[],25,FALSE))*0.95</f>
        <v>0.38379211169045363</v>
      </c>
      <c r="AL62">
        <f>VLOOKUP(all_lmics1819[[worldbank_region]:[worldbank_region]],Table13[],2,FALSE)*0.95</f>
        <v>42.29888489999999</v>
      </c>
      <c r="AM62">
        <f>VLOOKUP(all_lmics1819[[worldbank_region]:[worldbank_region]],Table13[],3,FALSE)*0.95</f>
        <v>42.29888489999999</v>
      </c>
      <c r="AN62">
        <f>VLOOKUP(all_lmics1819[[worldbank_region]:[worldbank_region]],Table13[],4,FALSE)*0.95</f>
        <v>87.641301899999988</v>
      </c>
      <c r="AO62">
        <f>VLOOKUP(all_lmics1819[[worldbank_region]:[worldbank_region]],Table13[],5,FALSE)*0.95</f>
        <v>87.641301899999988</v>
      </c>
      <c r="AP62">
        <f>VLOOKUP(all_lmics1819[[worldbank_region]:[worldbank_region]],Table13[],6,FALSE)*0.95</f>
        <v>87.641301899999988</v>
      </c>
      <c r="AQ62">
        <f>VLOOKUP(all_lmics1819[[worldbank_region]:[worldbank_region]],Table14[],2,FALSE)*0.95</f>
        <v>6.0973773999999992</v>
      </c>
      <c r="AR62">
        <f>VLOOKUP(all_lmics1819[[worldbank_region]:[worldbank_region]],Table14[],3,FALSE)*0.95</f>
        <v>6.6840023999999998</v>
      </c>
      <c r="AS62">
        <f>VLOOKUP(all_lmics1819[[worldbank_region]:[worldbank_region]],Table14[],4,FALSE)*0.95</f>
        <v>9.9587293499999969</v>
      </c>
      <c r="AT62">
        <f>VLOOKUP(all_lmics1819[[worldbank_region]:[worldbank_region]],Table14[],5,FALSE)*0.95</f>
        <v>10.545354349999998</v>
      </c>
      <c r="AU62">
        <f>VLOOKUP(all_lmics1819[[worldbank_region]:[worldbank_region]],Table14[],6,FALSE)*0.95</f>
        <v>11.087093749999999</v>
      </c>
      <c r="AV62">
        <f>IFERROR(VLOOKUP(all_lmics1819[[Setting]:[Setting]],nFacSBA[],4,FALSE),VLOOKUP(all_lmics1819[[who_choice_region]:[who_choice_region]],missing[],30,FALSE))*0.95</f>
        <v>0.50689921499704871</v>
      </c>
      <c r="AW62">
        <f>VLOOKUP(all_lmics1819[[worldbank_region]:[worldbank_region]],hbe[],3)</f>
        <v>0.2</v>
      </c>
      <c r="AX62">
        <f>VLOOKUP(all_lmics1819[[worldbank_region]:[worldbank_region]],hbe[],6)</f>
        <v>0.75</v>
      </c>
      <c r="AY62">
        <f>VLOOKUP(all_lmics1819[[worldbank_region]:[worldbank_region]],hbe[],9)</f>
        <v>0.05</v>
      </c>
    </row>
    <row r="63" spans="1:51" x14ac:dyDescent="0.35">
      <c r="A63" s="12" t="s">
        <v>168</v>
      </c>
      <c r="B63" s="13" t="s">
        <v>33</v>
      </c>
      <c r="C63" s="14" t="s">
        <v>7</v>
      </c>
      <c r="D63">
        <f>VLOOKUP(all_lmics1819[[Setting]:[Setting]],populations[],9,FALSE)</f>
        <v>2639211</v>
      </c>
      <c r="E63">
        <f>VLOOKUP(all_lmics1819[[Setting]:[Setting]],birthrate[],3,FALSE)</f>
        <v>1.0146000000000001E-2</v>
      </c>
      <c r="F63">
        <f>all_lmics1819[[#This Row],[2017_population]]*all_lmics1819[[#This Row],[2016_birthrate]]</f>
        <v>26777.434806000001</v>
      </c>
      <c r="G63">
        <f>VLOOKUP(all_lmics1819[[Setting]:[Setting]],birthdose[],4,FALSE)*0.95</f>
        <v>0.92149999999999999</v>
      </c>
      <c r="H63">
        <f>VLOOKUP(all_lmics1819[[Setting]:[Setting]],fullvax[],4,FALSE)*0.95</f>
        <v>0.92149999999999999</v>
      </c>
      <c r="I63">
        <f>IFERROR(VLOOKUP(all_lmics1819[[Setting]:[Setting]],prev[],3,FALSE),VLOOKUP(all_lmics1819[[who_choice_region]:[who_choice_region]],missing[],2,FALSE))</f>
        <v>1.2E-2</v>
      </c>
      <c r="J63">
        <f>IFERROR(VLOOKUP(all_lmics1819[[Setting]:[Setting]],prev[],4,FALSE),VLOOKUP(all_lmics1819[[who_choice_region]:[who_choice_region]],missing[],3,FALSE))</f>
        <v>1.0999999999999999E-2</v>
      </c>
      <c r="K63">
        <f>IFERROR(VLOOKUP(all_lmics1819[[Setting]:[Setting]],prev[],5,FALSE),VLOOKUP(all_lmics1819[[who_choice_region]:[who_choice_region]],missing[],4,FALSE))</f>
        <v>1.4E-2</v>
      </c>
      <c r="L63">
        <f>IFERROR(VLOOKUP(all_lmics1819[[Setting]:[Setting]],prev[],7,FALSE),VLOOKUP(all_lmics1819[[who_choice_region]:[who_choice_region]],missing[],5,FALSE))</f>
        <v>1.0204081632653062E-3</v>
      </c>
      <c r="M63">
        <f>IFERROR(VLOOKUP(all_lmics1819[[Setting]:[Setting]],prev[],6,FALSE),0)</f>
        <v>2639211</v>
      </c>
      <c r="N63">
        <f>IFERROR(VLOOKUP(all_lmics1819[[Setting]:[Setting]],SBA[],4,FALSE),VLOOKUP(all_lmics1819[[who_choice_region]:[who_choice_region]],missing[],6,FALSE))*0.95</f>
        <v>0.94905000000000006</v>
      </c>
      <c r="O63">
        <f>IFERROR(VLOOKUP(all_lmics1819[[Setting]:[Setting]], facility[], 3,FALSE),VLOOKUP(all_lmics1819[[who_choice_region]:[who_choice_region]],missing[],7,FALSE))*0.95</f>
        <v>0.93955000000000011</v>
      </c>
      <c r="P63">
        <f>IF(VLOOKUP(all_lmics1819[[Setting]:[Setting]],all_cause_mort[],4,FALSE)="",VLOOKUP(all_lmics1819[[who_choice_region]:[who_choice_region]],missing[],8,FALSE),VLOOKUP(all_lmics1819[[Setting]:[Setting]],all_cause_mort[],4,FALSE))*0.95</f>
        <v>6.0092823799999997E-3</v>
      </c>
      <c r="Q63">
        <f>IF(VLOOKUP(all_lmics1819[[Setting]:[Setting]],all_cause_mort[],5,FALSE)="",VLOOKUP(all_lmics1819[[who_choice_region]:[who_choice_region]],missing[],9,FALSE),VLOOKUP(all_lmics1819[[Setting]:[Setting]],all_cause_mort[],5,FALSE))*0.95</f>
        <v>3.0413742699999998E-4</v>
      </c>
      <c r="R63">
        <f>IF(VLOOKUP(all_lmics1819[[Setting]:[Setting]],all_cause_mort[],6,FALSE)="",VLOOKUP(all_lmics1819[[who_choice_region]:[who_choice_region]],missing[],10,FALSE),VLOOKUP(all_lmics1819[[Setting]:[Setting]],all_cause_mort[],6,FALSE))*0.95</f>
        <v>1.7504375100000001E-4</v>
      </c>
      <c r="S63">
        <f>IF(VLOOKUP(all_lmics1819[[Setting]:[Setting]],all_cause_mort[],7,FALSE)="",VLOOKUP(all_lmics1819[[who_choice_region]:[who_choice_region]],missing[],11,FALSE),VLOOKUP(all_lmics1819[[Setting]:[Setting]],all_cause_mort[],7,FALSE))*0.95</f>
        <v>1.74256657E-4</v>
      </c>
      <c r="T63">
        <f>IF(VLOOKUP(all_lmics1819[[Setting]:[Setting]],all_cause_mort[],8,FALSE)="",VLOOKUP(all_lmics1819[[who_choice_region]:[who_choice_region]],missing[],12,FALSE),VLOOKUP(all_lmics1819[[Setting]:[Setting]],all_cause_mort[],8,FALSE))*0.95</f>
        <v>3.5912056749999995E-4</v>
      </c>
      <c r="U63">
        <f>IF(VLOOKUP(all_lmics1819[[Setting]:[Setting]],all_cause_mort[],9,FALSE)="",VLOOKUP(all_lmics1819[[who_choice_region]:[who_choice_region]],missing[],13,FALSE),VLOOKUP(all_lmics1819[[Setting]:[Setting]],all_cause_mort[],9,FALSE))*0.95</f>
        <v>4.1939419150000001E-4</v>
      </c>
      <c r="V63">
        <f>IF(VLOOKUP(all_lmics1819[[Setting]:[Setting]],all_cause_mort[],10,FALSE)="",VLOOKUP(all_lmics1819[[who_choice_region]:[who_choice_region]],missing[],14,FALSE),VLOOKUP(all_lmics1819[[Setting]:[Setting]],all_cause_mort[],10,FALSE))*0.95</f>
        <v>3.7109469049999999E-4</v>
      </c>
      <c r="W63">
        <f>IF(VLOOKUP(all_lmics1819[[Setting]:[Setting]],all_cause_mort[],11,FALSE)="",VLOOKUP(all_lmics1819[[who_choice_region]:[who_choice_region]],missing[],15,FALSE),VLOOKUP(all_lmics1819[[Setting]:[Setting]],all_cause_mort[],11,FALSE))*0.95</f>
        <v>3.9379938649999999E-4</v>
      </c>
      <c r="X63">
        <f>IF(VLOOKUP(all_lmics1819[[Setting]:[Setting]],all_cause_mort[],12,FALSE)="",VLOOKUP(all_lmics1819[[who_choice_region]:[who_choice_region]],missing[],16,FALSE),VLOOKUP(all_lmics1819[[Setting]:[Setting]],all_cause_mort[],12,FALSE))*0.95</f>
        <v>4.5443572049999999E-4</v>
      </c>
      <c r="Y63">
        <f>IF(VLOOKUP(all_lmics1819[[Setting]:[Setting]],all_cause_mort[],13,FALSE)="",VLOOKUP(all_lmics1819[[who_choice_region]:[who_choice_region]],missing[],17,FALSE),VLOOKUP(all_lmics1819[[Setting]:[Setting]],all_cause_mort[],13,FALSE))*0.95</f>
        <v>6.0978751999999996E-4</v>
      </c>
      <c r="Z63">
        <f>IF(VLOOKUP(all_lmics1819[[Setting]:[Setting]],all_cause_mort[],14,FALSE)="",VLOOKUP(all_lmics1819[[who_choice_region]:[who_choice_region]],missing[],18,FALSE),VLOOKUP(all_lmics1819[[Setting]:[Setting]],all_cause_mort[],14,FALSE))*0.95</f>
        <v>9.5750803999999988E-4</v>
      </c>
      <c r="AA63">
        <f>IF(VLOOKUP(all_lmics1819[[Setting]:[Setting]],all_cause_mort[],15,FALSE)="",VLOOKUP(all_lmics1819[[who_choice_region]:[who_choice_region]],missing[],19,FALSE),VLOOKUP(all_lmics1819[[Setting]:[Setting]],all_cause_mort[],15,FALSE))*0.95</f>
        <v>1.47521814E-3</v>
      </c>
      <c r="AB63">
        <f>IF(VLOOKUP(all_lmics1819[[Setting]:[Setting]],all_cause_mort[],16,FALSE)="",VLOOKUP(all_lmics1819[[who_choice_region]:[who_choice_region]],missing[],20,FALSE),VLOOKUP(all_lmics1819[[Setting]:[Setting]],all_cause_mort[],16,FALSE))*0.95</f>
        <v>2.6768039800000002E-3</v>
      </c>
      <c r="AC63">
        <f>IF(VLOOKUP(all_lmics1819[[Setting]:[Setting]],all_cause_mort[],17,FALSE)="",VLOOKUP(all_lmics1819[[who_choice_region]:[who_choice_region]],missing[],21,FALSE),VLOOKUP(all_lmics1819[[Setting]:[Setting]],all_cause_mort[],17,FALSE))*0.95</f>
        <v>4.9235800100000003E-3</v>
      </c>
      <c r="AD63">
        <f>IF(VLOOKUP(all_lmics1819[[Setting]:[Setting]],all_cause_mort[],18,FALSE)="",VLOOKUP(all_lmics1819[[who_choice_region]:[who_choice_region]],missing[],22,FALSE),VLOOKUP(all_lmics1819[[Setting]:[Setting]],all_cause_mort[],18,FALSE))*0.95</f>
        <v>2.2467937949999999E-2</v>
      </c>
      <c r="AE63">
        <f>IF(VLOOKUP(all_lmics1819[[Setting]:[Setting]],all_cause_mort[],19,FALSE)="",VLOOKUP(all_lmics1819[[who_choice_region]:[who_choice_region]],missing[],23,FALSE),VLOOKUP(all_lmics1819[[Setting]:[Setting]],all_cause_mort[],19,FALSE))*0.95</f>
        <v>4.0291562449999999E-2</v>
      </c>
      <c r="AF63">
        <f>IF(VLOOKUP(all_lmics1819[[Setting]:[Setting]],all_cause_mort[],20,FALSE)="",VLOOKUP(all_lmics1819[[who_choice_region]:[who_choice_region]],missing[],24,FALSE),VLOOKUP(all_lmics1819[[Setting]:[Setting]],all_cause_mort[],20,FALSE))*0.95</f>
        <v>4.7646053949999996E-2</v>
      </c>
      <c r="AG63">
        <f>IF(VLOOKUP(all_lmics1819[[Setting]:[Setting]],all_cause_mort[],21,FALSE)="",VLOOKUP(all_lmics1819[[who_choice_region]:[who_choice_region]],missing[],25,FALSE),VLOOKUP(all_lmics1819[[Setting]:[Setting]],all_cause_mort[],21,FALSE))*0.95</f>
        <v>6.7913325449999992E-2</v>
      </c>
      <c r="AH63">
        <f>IF(VLOOKUP(all_lmics1819[[Setting]:[Setting]],all_cause_mort[],22,FALSE)="",VLOOKUP(all_lmics1819[[who_choice_region]:[who_choice_region]],missing[],26,FALSE),VLOOKUP(all_lmics1819[[Setting]:[Setting]],all_cause_mort[],22,FALSE))*0.95</f>
        <v>8.1733001099999994E-2</v>
      </c>
      <c r="AI63">
        <f>IF(VLOOKUP(all_lmics1819[[Setting]:[Setting]],all_cause_mort[],23,FALSE)="",VLOOKUP(all_lmics1819[[who_choice_region]:[who_choice_region]],missing[],27,FALSE),VLOOKUP(all_lmics1819[[Setting]:[Setting]],all_cause_mort[],23,FALSE))*0.95</f>
        <v>0.112675396</v>
      </c>
      <c r="AJ63">
        <f>IF(VLOOKUP(all_lmics1819[[Setting]:[Setting]],all_cause_mort[],24,FALSE)="",VLOOKUP(all_lmics1819[[who_choice_region]:[who_choice_region]],missing[],28,FALSE),VLOOKUP(all_lmics1819[[Setting]:[Setting]],all_cause_mort[],24,FALSE))*0.95</f>
        <v>0.1490662005</v>
      </c>
      <c r="AK63">
        <f>IF(VLOOKUP(all_lmics1819[[Setting]:[Setting]],all_cause_mort[],25,FALSE)="",VLOOKUP(all_lmics1819[[who_choice_region]:[who_choice_region]],missing[],29,FALSE),VLOOKUP(all_lmics1819[[Setting]:[Setting]],all_cause_mort[],25,FALSE))*0.95</f>
        <v>0.20646095881947063</v>
      </c>
      <c r="AL63">
        <f>VLOOKUP(all_lmics1819[[worldbank_region]:[worldbank_region]],Table13[],2,FALSE)*0.95</f>
        <v>55.011325099999993</v>
      </c>
      <c r="AM63">
        <f>VLOOKUP(all_lmics1819[[worldbank_region]:[worldbank_region]],Table13[],3,FALSE)*0.95</f>
        <v>55.011325099999993</v>
      </c>
      <c r="AN63">
        <f>VLOOKUP(all_lmics1819[[worldbank_region]:[worldbank_region]],Table13[],4,FALSE)*0.95</f>
        <v>100.35374209999999</v>
      </c>
      <c r="AO63">
        <f>VLOOKUP(all_lmics1819[[worldbank_region]:[worldbank_region]],Table13[],5,FALSE)*0.95</f>
        <v>100.35374209999999</v>
      </c>
      <c r="AP63">
        <f>VLOOKUP(all_lmics1819[[worldbank_region]:[worldbank_region]],Table13[],6,FALSE)*0.95</f>
        <v>100.35374209999999</v>
      </c>
      <c r="AQ63">
        <f>VLOOKUP(all_lmics1819[[worldbank_region]:[worldbank_region]],Table14[],2,FALSE)*0.95</f>
        <v>1.4285577499999997</v>
      </c>
      <c r="AR63">
        <f>VLOOKUP(all_lmics1819[[worldbank_region]:[worldbank_region]],Table14[],3,FALSE)*0.95</f>
        <v>2.0151827500000001</v>
      </c>
      <c r="AS63">
        <f>VLOOKUP(all_lmics1819[[worldbank_region]:[worldbank_region]],Table14[],4,FALSE)*0.95</f>
        <v>1.8840523499999997</v>
      </c>
      <c r="AT63">
        <f>VLOOKUP(all_lmics1819[[worldbank_region]:[worldbank_region]],Table14[],5,FALSE)*0.95</f>
        <v>2.4706773499999999</v>
      </c>
      <c r="AU63">
        <f>VLOOKUP(all_lmics1819[[worldbank_region]:[worldbank_region]],Table14[],6,FALSE)*0.95</f>
        <v>3.0124167499999999</v>
      </c>
      <c r="AV63">
        <f>IFERROR(VLOOKUP(all_lmics1819[[Setting]:[Setting]],nFacSBA[],4,FALSE),VLOOKUP(all_lmics1819[[who_choice_region]:[who_choice_region]],missing[],30,FALSE))*0.95</f>
        <v>0.368442657134743</v>
      </c>
      <c r="AW63">
        <f>VLOOKUP(all_lmics1819[[worldbank_region]:[worldbank_region]],hbe[],3)</f>
        <v>0.2</v>
      </c>
      <c r="AX63">
        <f>VLOOKUP(all_lmics1819[[worldbank_region]:[worldbank_region]],hbe[],6)</f>
        <v>0.75</v>
      </c>
      <c r="AY63">
        <f>VLOOKUP(all_lmics1819[[worldbank_region]:[worldbank_region]],hbe[],9)</f>
        <v>0.05</v>
      </c>
    </row>
    <row r="64" spans="1:51" x14ac:dyDescent="0.35">
      <c r="A64" s="8" t="s">
        <v>169</v>
      </c>
      <c r="B64" s="10" t="s">
        <v>57</v>
      </c>
      <c r="C64" s="11" t="s">
        <v>58</v>
      </c>
      <c r="D64">
        <f>VLOOKUP(all_lmics1819[[Setting]:[Setting]],populations[],9,FALSE)</f>
        <v>51466201</v>
      </c>
      <c r="E64">
        <f>VLOOKUP(all_lmics1819[[Setting]:[Setting]],birthrate[],3,FALSE)</f>
        <v>7.9000000000000008E-3</v>
      </c>
      <c r="F64">
        <f>all_lmics1819[[#This Row],[2017_population]]*all_lmics1819[[#This Row],[2016_birthrate]]</f>
        <v>406582.98790000007</v>
      </c>
      <c r="G64">
        <f>VLOOKUP(all_lmics1819[[Setting]:[Setting]],birthdose[],4,FALSE)*0.95</f>
        <v>0.874</v>
      </c>
      <c r="H64">
        <f>VLOOKUP(all_lmics1819[[Setting]:[Setting]],fullvax[],4,FALSE)*0.95</f>
        <v>0.93099999999999994</v>
      </c>
      <c r="I64">
        <f>IFERROR(VLOOKUP(all_lmics1819[[Setting]:[Setting]],prev[],3,FALSE),VLOOKUP(all_lmics1819[[who_choice_region]:[who_choice_region]],missing[],2,FALSE))</f>
        <v>2.4E-2</v>
      </c>
      <c r="J64">
        <f>IFERROR(VLOOKUP(all_lmics1819[[Setting]:[Setting]],prev[],4,FALSE),VLOOKUP(all_lmics1819[[who_choice_region]:[who_choice_region]],missing[],3,FALSE))</f>
        <v>2.3E-2</v>
      </c>
      <c r="K64">
        <f>IFERROR(VLOOKUP(all_lmics1819[[Setting]:[Setting]],prev[],5,FALSE),VLOOKUP(all_lmics1819[[who_choice_region]:[who_choice_region]],missing[],4,FALSE))</f>
        <v>0.03</v>
      </c>
      <c r="L64">
        <f>IFERROR(VLOOKUP(all_lmics1819[[Setting]:[Setting]],prev[],7,FALSE),VLOOKUP(all_lmics1819[[who_choice_region]:[who_choice_region]],missing[],5,FALSE))</f>
        <v>3.0612244897959178E-3</v>
      </c>
      <c r="M64">
        <f>IFERROR(VLOOKUP(all_lmics1819[[Setting]:[Setting]],prev[],6,FALSE),0)</f>
        <v>51466201</v>
      </c>
      <c r="N64">
        <f>IFERROR(VLOOKUP(all_lmics1819[[Setting]:[Setting]],SBA[],4,FALSE),VLOOKUP(all_lmics1819[[who_choice_region]:[who_choice_region]],missing[],6,FALSE))*0.95</f>
        <v>0.94990499999999989</v>
      </c>
      <c r="O64">
        <f>IFERROR(VLOOKUP(all_lmics1819[[Setting]:[Setting]], facility[], 3,FALSE),VLOOKUP(all_lmics1819[[who_choice_region]:[who_choice_region]],missing[],7,FALSE))*0.95</f>
        <v>0.94990499999999989</v>
      </c>
      <c r="P64">
        <f>IF(VLOOKUP(all_lmics1819[[Setting]:[Setting]],all_cause_mort[],4,FALSE)="",VLOOKUP(all_lmics1819[[who_choice_region]:[who_choice_region]],missing[],8,FALSE),VLOOKUP(all_lmics1819[[Setting]:[Setting]],all_cause_mort[],4,FALSE))*0.95</f>
        <v>2.00530636E-3</v>
      </c>
      <c r="Q64">
        <f>IF(VLOOKUP(all_lmics1819[[Setting]:[Setting]],all_cause_mort[],5,FALSE)="",VLOOKUP(all_lmics1819[[who_choice_region]:[who_choice_region]],missing[],9,FALSE),VLOOKUP(all_lmics1819[[Setting]:[Setting]],all_cause_mort[],5,FALSE))*0.95</f>
        <v>1.2085809749999999E-4</v>
      </c>
      <c r="R64">
        <f>IF(VLOOKUP(all_lmics1819[[Setting]:[Setting]],all_cause_mort[],6,FALSE)="",VLOOKUP(all_lmics1819[[who_choice_region]:[who_choice_region]],missing[],10,FALSE),VLOOKUP(all_lmics1819[[Setting]:[Setting]],all_cause_mort[],6,FALSE))*0.95</f>
        <v>6.6599702500000002E-5</v>
      </c>
      <c r="S64">
        <f>IF(VLOOKUP(all_lmics1819[[Setting]:[Setting]],all_cause_mort[],7,FALSE)="",VLOOKUP(all_lmics1819[[who_choice_region]:[who_choice_region]],missing[],11,FALSE),VLOOKUP(all_lmics1819[[Setting]:[Setting]],all_cause_mort[],7,FALSE))*0.95</f>
        <v>7.2377399200000003E-5</v>
      </c>
      <c r="T64">
        <f>IF(VLOOKUP(all_lmics1819[[Setting]:[Setting]],all_cause_mort[],8,FALSE)="",VLOOKUP(all_lmics1819[[who_choice_region]:[who_choice_region]],missing[],12,FALSE),VLOOKUP(all_lmics1819[[Setting]:[Setting]],all_cause_mort[],8,FALSE))*0.95</f>
        <v>1.84583765E-4</v>
      </c>
      <c r="U64">
        <f>IF(VLOOKUP(all_lmics1819[[Setting]:[Setting]],all_cause_mort[],9,FALSE)="",VLOOKUP(all_lmics1819[[who_choice_region]:[who_choice_region]],missing[],13,FALSE),VLOOKUP(all_lmics1819[[Setting]:[Setting]],all_cause_mort[],9,FALSE))*0.95</f>
        <v>2.8333462149999995E-4</v>
      </c>
      <c r="V64">
        <f>IF(VLOOKUP(all_lmics1819[[Setting]:[Setting]],all_cause_mort[],10,FALSE)="",VLOOKUP(all_lmics1819[[who_choice_region]:[who_choice_region]],missing[],14,FALSE),VLOOKUP(all_lmics1819[[Setting]:[Setting]],all_cause_mort[],10,FALSE))*0.95</f>
        <v>3.9740725849999995E-4</v>
      </c>
      <c r="W64">
        <f>IF(VLOOKUP(all_lmics1819[[Setting]:[Setting]],all_cause_mort[],11,FALSE)="",VLOOKUP(all_lmics1819[[who_choice_region]:[who_choice_region]],missing[],15,FALSE),VLOOKUP(all_lmics1819[[Setting]:[Setting]],all_cause_mort[],11,FALSE))*0.95</f>
        <v>5.2766689799999998E-4</v>
      </c>
      <c r="X64">
        <f>IF(VLOOKUP(all_lmics1819[[Setting]:[Setting]],all_cause_mort[],12,FALSE)="",VLOOKUP(all_lmics1819[[who_choice_region]:[who_choice_region]],missing[],16,FALSE),VLOOKUP(all_lmics1819[[Setting]:[Setting]],all_cause_mort[],12,FALSE))*0.95</f>
        <v>7.0833183699999999E-4</v>
      </c>
      <c r="Y64">
        <f>IF(VLOOKUP(all_lmics1819[[Setting]:[Setting]],all_cause_mort[],13,FALSE)="",VLOOKUP(all_lmics1819[[who_choice_region]:[who_choice_region]],missing[],17,FALSE),VLOOKUP(all_lmics1819[[Setting]:[Setting]],all_cause_mort[],13,FALSE))*0.95</f>
        <v>1.0908577350000001E-3</v>
      </c>
      <c r="Z64">
        <f>IF(VLOOKUP(all_lmics1819[[Setting]:[Setting]],all_cause_mort[],14,FALSE)="",VLOOKUP(all_lmics1819[[who_choice_region]:[who_choice_region]],missing[],18,FALSE),VLOOKUP(all_lmics1819[[Setting]:[Setting]],all_cause_mort[],14,FALSE))*0.95</f>
        <v>1.733622985E-3</v>
      </c>
      <c r="AA64">
        <f>IF(VLOOKUP(all_lmics1819[[Setting]:[Setting]],all_cause_mort[],15,FALSE)="",VLOOKUP(all_lmics1819[[who_choice_region]:[who_choice_region]],missing[],19,FALSE),VLOOKUP(all_lmics1819[[Setting]:[Setting]],all_cause_mort[],15,FALSE))*0.95</f>
        <v>2.600131285E-3</v>
      </c>
      <c r="AB64">
        <f>IF(VLOOKUP(all_lmics1819[[Setting]:[Setting]],all_cause_mort[],16,FALSE)="",VLOOKUP(all_lmics1819[[who_choice_region]:[who_choice_region]],missing[],20,FALSE),VLOOKUP(all_lmics1819[[Setting]:[Setting]],all_cause_mort[],16,FALSE))*0.95</f>
        <v>3.6752267149999995E-3</v>
      </c>
      <c r="AC64">
        <f>IF(VLOOKUP(all_lmics1819[[Setting]:[Setting]],all_cause_mort[],17,FALSE)="",VLOOKUP(all_lmics1819[[who_choice_region]:[who_choice_region]],missing[],21,FALSE),VLOOKUP(all_lmics1819[[Setting]:[Setting]],all_cause_mort[],17,FALSE))*0.95</f>
        <v>5.3559185499999998E-3</v>
      </c>
      <c r="AD64">
        <f>IF(VLOOKUP(all_lmics1819[[Setting]:[Setting]],all_cause_mort[],18,FALSE)="",VLOOKUP(all_lmics1819[[who_choice_region]:[who_choice_region]],missing[],22,FALSE),VLOOKUP(all_lmics1819[[Setting]:[Setting]],all_cause_mort[],18,FALSE))*0.95</f>
        <v>8.4368372349999995E-3</v>
      </c>
      <c r="AE64">
        <f>IF(VLOOKUP(all_lmics1819[[Setting]:[Setting]],all_cause_mort[],19,FALSE)="",VLOOKUP(all_lmics1819[[who_choice_region]:[who_choice_region]],missing[],23,FALSE),VLOOKUP(all_lmics1819[[Setting]:[Setting]],all_cause_mort[],19,FALSE))*0.95</f>
        <v>1.5558801699999998E-2</v>
      </c>
      <c r="AF64">
        <f>IF(VLOOKUP(all_lmics1819[[Setting]:[Setting]],all_cause_mort[],20,FALSE)="",VLOOKUP(all_lmics1819[[who_choice_region]:[who_choice_region]],missing[],24,FALSE),VLOOKUP(all_lmics1819[[Setting]:[Setting]],all_cause_mort[],20,FALSE))*0.95</f>
        <v>2.8999238299999997E-2</v>
      </c>
      <c r="AG64">
        <f>IF(VLOOKUP(all_lmics1819[[Setting]:[Setting]],all_cause_mort[],21,FALSE)="",VLOOKUP(all_lmics1819[[who_choice_region]:[who_choice_region]],missing[],25,FALSE),VLOOKUP(all_lmics1819[[Setting]:[Setting]],all_cause_mort[],21,FALSE))*0.95</f>
        <v>5.4273433500000003E-2</v>
      </c>
      <c r="AH64">
        <f>IF(VLOOKUP(all_lmics1819[[Setting]:[Setting]],all_cause_mort[],22,FALSE)="",VLOOKUP(all_lmics1819[[who_choice_region]:[who_choice_region]],missing[],26,FALSE),VLOOKUP(all_lmics1819[[Setting]:[Setting]],all_cause_mort[],22,FALSE))*0.95</f>
        <v>9.7693449499999988E-2</v>
      </c>
      <c r="AI64">
        <f>IF(VLOOKUP(all_lmics1819[[Setting]:[Setting]],all_cause_mort[],23,FALSE)="",VLOOKUP(all_lmics1819[[who_choice_region]:[who_choice_region]],missing[],27,FALSE),VLOOKUP(all_lmics1819[[Setting]:[Setting]],all_cause_mort[],23,FALSE))*0.95</f>
        <v>0.16651271300000001</v>
      </c>
      <c r="AJ64">
        <f>IF(VLOOKUP(all_lmics1819[[Setting]:[Setting]],all_cause_mort[],24,FALSE)="",VLOOKUP(all_lmics1819[[who_choice_region]:[who_choice_region]],missing[],28,FALSE),VLOOKUP(all_lmics1819[[Setting]:[Setting]],all_cause_mort[],24,FALSE))*0.95</f>
        <v>0.26350517649999999</v>
      </c>
      <c r="AK64">
        <f>IF(VLOOKUP(all_lmics1819[[Setting]:[Setting]],all_cause_mort[],25,FALSE)="",VLOOKUP(all_lmics1819[[who_choice_region]:[who_choice_region]],missing[],29,FALSE),VLOOKUP(all_lmics1819[[Setting]:[Setting]],all_cause_mort[],25,FALSE))*0.95</f>
        <v>0.40576805699888013</v>
      </c>
      <c r="AL64">
        <f>VLOOKUP(all_lmics1819[[worldbank_region]:[worldbank_region]],Table13[],2,FALSE)*0.95</f>
        <v>69.411165749999981</v>
      </c>
      <c r="AM64">
        <f>VLOOKUP(all_lmics1819[[worldbank_region]:[worldbank_region]],Table13[],3,FALSE)*0.95</f>
        <v>69.411165749999981</v>
      </c>
      <c r="AN64">
        <f>VLOOKUP(all_lmics1819[[worldbank_region]:[worldbank_region]],Table13[],4,FALSE)*0.95</f>
        <v>114.75358274999998</v>
      </c>
      <c r="AO64">
        <f>VLOOKUP(all_lmics1819[[worldbank_region]:[worldbank_region]],Table13[],5,FALSE)*0.95</f>
        <v>114.75358274999998</v>
      </c>
      <c r="AP64">
        <f>VLOOKUP(all_lmics1819[[worldbank_region]:[worldbank_region]],Table13[],6,FALSE)*0.95</f>
        <v>114.75358274999998</v>
      </c>
      <c r="AQ64">
        <f>VLOOKUP(all_lmics1819[[worldbank_region]:[worldbank_region]],Table14[],2,FALSE)*0.95</f>
        <v>1.2732755</v>
      </c>
      <c r="AR64">
        <f>VLOOKUP(all_lmics1819[[worldbank_region]:[worldbank_region]],Table14[],3,FALSE)*0.95</f>
        <v>1.8599005</v>
      </c>
      <c r="AS64">
        <f>VLOOKUP(all_lmics1819[[worldbank_region]:[worldbank_region]],Table14[],4,FALSE)*0.95</f>
        <v>1.8737001999999996</v>
      </c>
      <c r="AT64">
        <f>VLOOKUP(all_lmics1819[[worldbank_region]:[worldbank_region]],Table14[],5,FALSE)*0.95</f>
        <v>2.4603251999999998</v>
      </c>
      <c r="AU64">
        <f>VLOOKUP(all_lmics1819[[worldbank_region]:[worldbank_region]],Table14[],6,FALSE)*0.95</f>
        <v>3.0020645999999997</v>
      </c>
      <c r="AV64">
        <f>IFERROR(VLOOKUP(all_lmics1819[[Setting]:[Setting]],nFacSBA[],4,FALSE),VLOOKUP(all_lmics1819[[who_choice_region]:[who_choice_region]],missing[],30,FALSE))*0.95</f>
        <v>0.1518638670270247</v>
      </c>
      <c r="AW64">
        <f>VLOOKUP(all_lmics1819[[worldbank_region]:[worldbank_region]],hbe[],3)</f>
        <v>0.2</v>
      </c>
      <c r="AX64">
        <f>VLOOKUP(all_lmics1819[[worldbank_region]:[worldbank_region]],hbe[],6)</f>
        <v>0.75</v>
      </c>
      <c r="AY64">
        <f>VLOOKUP(all_lmics1819[[worldbank_region]:[worldbank_region]],hbe[],9)</f>
        <v>0.05</v>
      </c>
    </row>
    <row r="65" spans="1:51" x14ac:dyDescent="0.35">
      <c r="A65" s="12" t="s">
        <v>170</v>
      </c>
      <c r="B65" s="13" t="s">
        <v>40</v>
      </c>
      <c r="C65" s="14" t="s">
        <v>11</v>
      </c>
      <c r="D65">
        <f>VLOOKUP(all_lmics1819[[Setting]:[Setting]],populations[],9,FALSE)</f>
        <v>3549750</v>
      </c>
      <c r="E65">
        <f>VLOOKUP(all_lmics1819[[Setting]:[Setting]],birthrate[],3,FALSE)</f>
        <v>1.0323000000000001E-2</v>
      </c>
      <c r="F65">
        <f>all_lmics1819[[#This Row],[2017_population]]*all_lmics1819[[#This Row],[2016_birthrate]]</f>
        <v>36644.06925</v>
      </c>
      <c r="G65">
        <f>VLOOKUP(all_lmics1819[[Setting]:[Setting]],birthdose[],4,FALSE)*0.95</f>
        <v>0.91199999999999992</v>
      </c>
      <c r="H65">
        <f>VLOOKUP(all_lmics1819[[Setting]:[Setting]],fullvax[],4,FALSE)*0.95</f>
        <v>0.84549999999999992</v>
      </c>
      <c r="I65">
        <f>IFERROR(VLOOKUP(all_lmics1819[[Setting]:[Setting]],prev[],3,FALSE),VLOOKUP(all_lmics1819[[who_choice_region]:[who_choice_region]],missing[],2,FALSE))</f>
        <v>7.3800000000000004E-2</v>
      </c>
      <c r="J65">
        <f>IFERROR(VLOOKUP(all_lmics1819[[Setting]:[Setting]],prev[],4,FALSE),VLOOKUP(all_lmics1819[[who_choice_region]:[who_choice_region]],missing[],3,FALSE))</f>
        <v>6.6799999999999998E-2</v>
      </c>
      <c r="K65">
        <f>IFERROR(VLOOKUP(all_lmics1819[[Setting]:[Setting]],prev[],5,FALSE),VLOOKUP(all_lmics1819[[who_choice_region]:[who_choice_region]],missing[],4,FALSE))</f>
        <v>8.14E-2</v>
      </c>
      <c r="L65">
        <f>IFERROR(VLOOKUP(all_lmics1819[[Setting]:[Setting]],prev[],7,FALSE),VLOOKUP(all_lmics1819[[who_choice_region]:[who_choice_region]],missing[],5,FALSE))</f>
        <v>3.8775510204081612E-3</v>
      </c>
      <c r="M65">
        <f>IFERROR(VLOOKUP(all_lmics1819[[Setting]:[Setting]],prev[],6,FALSE),0)</f>
        <v>3562045</v>
      </c>
      <c r="N65">
        <f>IFERROR(VLOOKUP(all_lmics1819[[Setting]:[Setting]],SBA[],4,FALSE),VLOOKUP(all_lmics1819[[who_choice_region]:[who_choice_region]],missing[],6,FALSE))*0.95</f>
        <v>0.94714999999999994</v>
      </c>
      <c r="O65">
        <f>IFERROR(VLOOKUP(all_lmics1819[[Setting]:[Setting]], facility[], 3,FALSE),VLOOKUP(all_lmics1819[[who_choice_region]:[who_choice_region]],missing[],7,FALSE))*0.95</f>
        <v>0.94430000000000003</v>
      </c>
      <c r="P65">
        <f>IF(VLOOKUP(all_lmics1819[[Setting]:[Setting]],all_cause_mort[],4,FALSE)="",VLOOKUP(all_lmics1819[[who_choice_region]:[who_choice_region]],missing[],8,FALSE),VLOOKUP(all_lmics1819[[Setting]:[Setting]],all_cause_mort[],4,FALSE))*0.95</f>
        <v>1.1872891949999999E-2</v>
      </c>
      <c r="Q65">
        <f>IF(VLOOKUP(all_lmics1819[[Setting]:[Setting]],all_cause_mort[],5,FALSE)="",VLOOKUP(all_lmics1819[[who_choice_region]:[who_choice_region]],missing[],9,FALSE),VLOOKUP(all_lmics1819[[Setting]:[Setting]],all_cause_mort[],5,FALSE))*0.95</f>
        <v>4.9132570249999993E-4</v>
      </c>
      <c r="R65">
        <f>IF(VLOOKUP(all_lmics1819[[Setting]:[Setting]],all_cause_mort[],6,FALSE)="",VLOOKUP(all_lmics1819[[who_choice_region]:[who_choice_region]],missing[],10,FALSE),VLOOKUP(all_lmics1819[[Setting]:[Setting]],all_cause_mort[],6,FALSE))*0.95</f>
        <v>2.1456720899999999E-4</v>
      </c>
      <c r="S65">
        <f>IF(VLOOKUP(all_lmics1819[[Setting]:[Setting]],all_cause_mort[],7,FALSE)="",VLOOKUP(all_lmics1819[[who_choice_region]:[who_choice_region]],missing[],11,FALSE),VLOOKUP(all_lmics1819[[Setting]:[Setting]],all_cause_mort[],7,FALSE))*0.95</f>
        <v>1.6774329549999999E-4</v>
      </c>
      <c r="T65">
        <f>IF(VLOOKUP(all_lmics1819[[Setting]:[Setting]],all_cause_mort[],8,FALSE)="",VLOOKUP(all_lmics1819[[who_choice_region]:[who_choice_region]],missing[],12,FALSE),VLOOKUP(all_lmics1819[[Setting]:[Setting]],all_cause_mort[],8,FALSE))*0.95</f>
        <v>3.9197717250000002E-4</v>
      </c>
      <c r="U65">
        <f>IF(VLOOKUP(all_lmics1819[[Setting]:[Setting]],all_cause_mort[],9,FALSE)="",VLOOKUP(all_lmics1819[[who_choice_region]:[who_choice_region]],missing[],13,FALSE),VLOOKUP(all_lmics1819[[Setting]:[Setting]],all_cause_mort[],9,FALSE))*0.95</f>
        <v>5.3116377199999992E-4</v>
      </c>
      <c r="V65">
        <f>IF(VLOOKUP(all_lmics1819[[Setting]:[Setting]],all_cause_mort[],10,FALSE)="",VLOOKUP(all_lmics1819[[who_choice_region]:[who_choice_region]],missing[],14,FALSE),VLOOKUP(all_lmics1819[[Setting]:[Setting]],all_cause_mort[],10,FALSE))*0.95</f>
        <v>7.9935544099999994E-4</v>
      </c>
      <c r="W65">
        <f>IF(VLOOKUP(all_lmics1819[[Setting]:[Setting]],all_cause_mort[],11,FALSE)="",VLOOKUP(all_lmics1819[[who_choice_region]:[who_choice_region]],missing[],15,FALSE),VLOOKUP(all_lmics1819[[Setting]:[Setting]],all_cause_mort[],11,FALSE))*0.95</f>
        <v>1.2302235899999999E-3</v>
      </c>
      <c r="X65">
        <f>IF(VLOOKUP(all_lmics1819[[Setting]:[Setting]],all_cause_mort[],12,FALSE)="",VLOOKUP(all_lmics1819[[who_choice_region]:[who_choice_region]],missing[],16,FALSE),VLOOKUP(all_lmics1819[[Setting]:[Setting]],all_cause_mort[],12,FALSE))*0.95</f>
        <v>2.2053090049999999E-3</v>
      </c>
      <c r="Y65">
        <f>IF(VLOOKUP(all_lmics1819[[Setting]:[Setting]],all_cause_mort[],13,FALSE)="",VLOOKUP(all_lmics1819[[who_choice_region]:[who_choice_region]],missing[],17,FALSE),VLOOKUP(all_lmics1819[[Setting]:[Setting]],all_cause_mort[],13,FALSE))*0.95</f>
        <v>3.1082083849999997E-3</v>
      </c>
      <c r="Z65">
        <f>IF(VLOOKUP(all_lmics1819[[Setting]:[Setting]],all_cause_mort[],14,FALSE)="",VLOOKUP(all_lmics1819[[who_choice_region]:[who_choice_region]],missing[],18,FALSE),VLOOKUP(all_lmics1819[[Setting]:[Setting]],all_cause_mort[],14,FALSE))*0.95</f>
        <v>5.5446226550000003E-3</v>
      </c>
      <c r="AA65">
        <f>IF(VLOOKUP(all_lmics1819[[Setting]:[Setting]],all_cause_mort[],15,FALSE)="",VLOOKUP(all_lmics1819[[who_choice_region]:[who_choice_region]],missing[],19,FALSE),VLOOKUP(all_lmics1819[[Setting]:[Setting]],all_cause_mort[],15,FALSE))*0.95</f>
        <v>8.2908530150000003E-3</v>
      </c>
      <c r="AB65">
        <f>IF(VLOOKUP(all_lmics1819[[Setting]:[Setting]],all_cause_mort[],16,FALSE)="",VLOOKUP(all_lmics1819[[who_choice_region]:[who_choice_region]],missing[],20,FALSE),VLOOKUP(all_lmics1819[[Setting]:[Setting]],all_cause_mort[],16,FALSE))*0.95</f>
        <v>1.25564331E-2</v>
      </c>
      <c r="AC65">
        <f>IF(VLOOKUP(all_lmics1819[[Setting]:[Setting]],all_cause_mort[],17,FALSE)="",VLOOKUP(all_lmics1819[[who_choice_region]:[who_choice_region]],missing[],21,FALSE),VLOOKUP(all_lmics1819[[Setting]:[Setting]],all_cause_mort[],17,FALSE))*0.95</f>
        <v>2.1096367849999999E-2</v>
      </c>
      <c r="AD65">
        <f>IF(VLOOKUP(all_lmics1819[[Setting]:[Setting]],all_cause_mort[],18,FALSE)="",VLOOKUP(all_lmics1819[[who_choice_region]:[who_choice_region]],missing[],22,FALSE),VLOOKUP(all_lmics1819[[Setting]:[Setting]],all_cause_mort[],18,FALSE))*0.95</f>
        <v>2.7835183349999997E-2</v>
      </c>
      <c r="AE65">
        <f>IF(VLOOKUP(all_lmics1819[[Setting]:[Setting]],all_cause_mort[],19,FALSE)="",VLOOKUP(all_lmics1819[[who_choice_region]:[who_choice_region]],missing[],23,FALSE),VLOOKUP(all_lmics1819[[Setting]:[Setting]],all_cause_mort[],19,FALSE))*0.95</f>
        <v>4.4883034999999995E-2</v>
      </c>
      <c r="AF65">
        <f>IF(VLOOKUP(all_lmics1819[[Setting]:[Setting]],all_cause_mort[],20,FALSE)="",VLOOKUP(all_lmics1819[[who_choice_region]:[who_choice_region]],missing[],24,FALSE),VLOOKUP(all_lmics1819[[Setting]:[Setting]],all_cause_mort[],20,FALSE))*0.95</f>
        <v>7.1839126350000004E-2</v>
      </c>
      <c r="AG65">
        <f>IF(VLOOKUP(all_lmics1819[[Setting]:[Setting]],all_cause_mort[],21,FALSE)="",VLOOKUP(all_lmics1819[[who_choice_region]:[who_choice_region]],missing[],25,FALSE),VLOOKUP(all_lmics1819[[Setting]:[Setting]],all_cause_mort[],21,FALSE))*0.95</f>
        <v>0.1145734675</v>
      </c>
      <c r="AH65">
        <f>IF(VLOOKUP(all_lmics1819[[Setting]:[Setting]],all_cause_mort[],22,FALSE)="",VLOOKUP(all_lmics1819[[who_choice_region]:[who_choice_region]],missing[],26,FALSE),VLOOKUP(all_lmics1819[[Setting]:[Setting]],all_cause_mort[],22,FALSE))*0.95</f>
        <v>0.17725867599999998</v>
      </c>
      <c r="AI65">
        <f>IF(VLOOKUP(all_lmics1819[[Setting]:[Setting]],all_cause_mort[],23,FALSE)="",VLOOKUP(all_lmics1819[[who_choice_region]:[who_choice_region]],missing[],27,FALSE),VLOOKUP(all_lmics1819[[Setting]:[Setting]],all_cause_mort[],23,FALSE))*0.95</f>
        <v>0.252279853</v>
      </c>
      <c r="AJ65">
        <f>IF(VLOOKUP(all_lmics1819[[Setting]:[Setting]],all_cause_mort[],24,FALSE)="",VLOOKUP(all_lmics1819[[who_choice_region]:[who_choice_region]],missing[],28,FALSE),VLOOKUP(all_lmics1819[[Setting]:[Setting]],all_cause_mort[],24,FALSE))*0.95</f>
        <v>0.36025253999999995</v>
      </c>
      <c r="AK65">
        <f>IF(VLOOKUP(all_lmics1819[[Setting]:[Setting]],all_cause_mort[],25,FALSE)="",VLOOKUP(all_lmics1819[[who_choice_region]:[who_choice_region]],missing[],29,FALSE),VLOOKUP(all_lmics1819[[Setting]:[Setting]],all_cause_mort[],25,FALSE))*0.95</f>
        <v>0.50932747488787689</v>
      </c>
      <c r="AL65">
        <f>VLOOKUP(all_lmics1819[[worldbank_region]:[worldbank_region]],Table13[],2,FALSE)*0.95</f>
        <v>42.29888489999999</v>
      </c>
      <c r="AM65">
        <f>VLOOKUP(all_lmics1819[[worldbank_region]:[worldbank_region]],Table13[],3,FALSE)*0.95</f>
        <v>42.29888489999999</v>
      </c>
      <c r="AN65">
        <f>VLOOKUP(all_lmics1819[[worldbank_region]:[worldbank_region]],Table13[],4,FALSE)*0.95</f>
        <v>87.641301899999988</v>
      </c>
      <c r="AO65">
        <f>VLOOKUP(all_lmics1819[[worldbank_region]:[worldbank_region]],Table13[],5,FALSE)*0.95</f>
        <v>87.641301899999988</v>
      </c>
      <c r="AP65">
        <f>VLOOKUP(all_lmics1819[[worldbank_region]:[worldbank_region]],Table13[],6,FALSE)*0.95</f>
        <v>87.641301899999988</v>
      </c>
      <c r="AQ65">
        <f>VLOOKUP(all_lmics1819[[worldbank_region]:[worldbank_region]],Table14[],2,FALSE)*0.95</f>
        <v>6.0973773999999992</v>
      </c>
      <c r="AR65">
        <f>VLOOKUP(all_lmics1819[[worldbank_region]:[worldbank_region]],Table14[],3,FALSE)*0.95</f>
        <v>6.6840023999999998</v>
      </c>
      <c r="AS65">
        <f>VLOOKUP(all_lmics1819[[worldbank_region]:[worldbank_region]],Table14[],4,FALSE)*0.95</f>
        <v>9.9587293499999969</v>
      </c>
      <c r="AT65">
        <f>VLOOKUP(all_lmics1819[[worldbank_region]:[worldbank_region]],Table14[],5,FALSE)*0.95</f>
        <v>10.545354349999998</v>
      </c>
      <c r="AU65">
        <f>VLOOKUP(all_lmics1819[[worldbank_region]:[worldbank_region]],Table14[],6,FALSE)*0.95</f>
        <v>11.087093749999999</v>
      </c>
      <c r="AV65">
        <f>IFERROR(VLOOKUP(all_lmics1819[[Setting]:[Setting]],nFacSBA[],4,FALSE),VLOOKUP(all_lmics1819[[who_choice_region]:[who_choice_region]],missing[],30,FALSE))*0.95</f>
        <v>0.2589670967516346</v>
      </c>
      <c r="AW65">
        <f>VLOOKUP(all_lmics1819[[worldbank_region]:[worldbank_region]],hbe[],3)</f>
        <v>0.2</v>
      </c>
      <c r="AX65">
        <f>VLOOKUP(all_lmics1819[[worldbank_region]:[worldbank_region]],hbe[],6)</f>
        <v>0.75</v>
      </c>
      <c r="AY65">
        <f>VLOOKUP(all_lmics1819[[worldbank_region]:[worldbank_region]],hbe[],9)</f>
        <v>0.05</v>
      </c>
    </row>
    <row r="66" spans="1:51" x14ac:dyDescent="0.35">
      <c r="A66" s="8" t="s">
        <v>171</v>
      </c>
      <c r="B66" s="10" t="s">
        <v>10</v>
      </c>
      <c r="C66" s="11" t="s">
        <v>11</v>
      </c>
      <c r="D66">
        <f>VLOOKUP(all_lmics1819[[Setting]:[Setting]],populations[],9,FALSE)</f>
        <v>19586539</v>
      </c>
      <c r="E66">
        <f>VLOOKUP(all_lmics1819[[Setting]:[Setting]],birthrate[],3,FALSE)</f>
        <v>9.5999999999999992E-3</v>
      </c>
      <c r="F66">
        <f>all_lmics1819[[#This Row],[2017_population]]*all_lmics1819[[#This Row],[2016_birthrate]]</f>
        <v>188030.77439999999</v>
      </c>
      <c r="G66">
        <f>VLOOKUP(all_lmics1819[[Setting]:[Setting]],birthdose[],4,FALSE)*0.95</f>
        <v>0.88349999999999995</v>
      </c>
      <c r="H66">
        <f>VLOOKUP(all_lmics1819[[Setting]:[Setting]],fullvax[],4,FALSE)*0.95</f>
        <v>0.874</v>
      </c>
      <c r="I66">
        <f>IFERROR(VLOOKUP(all_lmics1819[[Setting]:[Setting]],prev[],3,FALSE),VLOOKUP(all_lmics1819[[who_choice_region]:[who_choice_region]],missing[],2,FALSE))</f>
        <v>3.4000000000000002E-2</v>
      </c>
      <c r="J66">
        <f>IFERROR(VLOOKUP(all_lmics1819[[Setting]:[Setting]],prev[],4,FALSE),VLOOKUP(all_lmics1819[[who_choice_region]:[who_choice_region]],missing[],3,FALSE))</f>
        <v>3.2000000000000001E-2</v>
      </c>
      <c r="K66">
        <f>IFERROR(VLOOKUP(all_lmics1819[[Setting]:[Setting]],prev[],5,FALSE),VLOOKUP(all_lmics1819[[who_choice_region]:[who_choice_region]],missing[],4,FALSE))</f>
        <v>3.6999999999999998E-2</v>
      </c>
      <c r="L66">
        <f>IFERROR(VLOOKUP(all_lmics1819[[Setting]:[Setting]],prev[],7,FALSE),VLOOKUP(all_lmics1819[[who_choice_region]:[who_choice_region]],missing[],5,FALSE))</f>
        <v>1.5306122448979569E-3</v>
      </c>
      <c r="M66">
        <f>IFERROR(VLOOKUP(all_lmics1819[[Setting]:[Setting]],prev[],6,FALSE),0)</f>
        <v>19586539</v>
      </c>
      <c r="N66">
        <f>IFERROR(VLOOKUP(all_lmics1819[[Setting]:[Setting]],SBA[],4,FALSE),VLOOKUP(all_lmics1819[[who_choice_region]:[who_choice_region]],missing[],6,FALSE))*0.95</f>
        <v>0.90439999999999998</v>
      </c>
      <c r="O66">
        <f>IFERROR(VLOOKUP(all_lmics1819[[Setting]:[Setting]], facility[], 3,FALSE),VLOOKUP(all_lmics1819[[who_choice_region]:[who_choice_region]],missing[],7,FALSE))*0.95</f>
        <v>0.90155000000000007</v>
      </c>
      <c r="P66">
        <f>IF(VLOOKUP(all_lmics1819[[Setting]:[Setting]],all_cause_mort[],4,FALSE)="",VLOOKUP(all_lmics1819[[who_choice_region]:[who_choice_region]],missing[],8,FALSE),VLOOKUP(all_lmics1819[[Setting]:[Setting]],all_cause_mort[],4,FALSE))*0.95</f>
        <v>6.3898836349999995E-3</v>
      </c>
      <c r="Q66">
        <f>IF(VLOOKUP(all_lmics1819[[Setting]:[Setting]],all_cause_mort[],5,FALSE)="",VLOOKUP(all_lmics1819[[who_choice_region]:[who_choice_region]],missing[],9,FALSE),VLOOKUP(all_lmics1819[[Setting]:[Setting]],all_cause_mort[],5,FALSE))*0.95</f>
        <v>2.8823688749999996E-4</v>
      </c>
      <c r="R66">
        <f>IF(VLOOKUP(all_lmics1819[[Setting]:[Setting]],all_cause_mort[],6,FALSE)="",VLOOKUP(all_lmics1819[[who_choice_region]:[who_choice_region]],missing[],10,FALSE),VLOOKUP(all_lmics1819[[Setting]:[Setting]],all_cause_mort[],6,FALSE))*0.95</f>
        <v>1.35426642E-4</v>
      </c>
      <c r="S66">
        <f>IF(VLOOKUP(all_lmics1819[[Setting]:[Setting]],all_cause_mort[],7,FALSE)="",VLOOKUP(all_lmics1819[[who_choice_region]:[who_choice_region]],missing[],11,FALSE),VLOOKUP(all_lmics1819[[Setting]:[Setting]],all_cause_mort[],7,FALSE))*0.95</f>
        <v>1.85181543E-4</v>
      </c>
      <c r="T66">
        <f>IF(VLOOKUP(all_lmics1819[[Setting]:[Setting]],all_cause_mort[],8,FALSE)="",VLOOKUP(all_lmics1819[[who_choice_region]:[who_choice_region]],missing[],12,FALSE),VLOOKUP(all_lmics1819[[Setting]:[Setting]],all_cause_mort[],8,FALSE))*0.95</f>
        <v>3.4338150899999994E-4</v>
      </c>
      <c r="U66">
        <f>IF(VLOOKUP(all_lmics1819[[Setting]:[Setting]],all_cause_mort[],9,FALSE)="",VLOOKUP(all_lmics1819[[who_choice_region]:[who_choice_region]],missing[],13,FALSE),VLOOKUP(all_lmics1819[[Setting]:[Setting]],all_cause_mort[],9,FALSE))*0.95</f>
        <v>4.4628854899999995E-4</v>
      </c>
      <c r="V66">
        <f>IF(VLOOKUP(all_lmics1819[[Setting]:[Setting]],all_cause_mort[],10,FALSE)="",VLOOKUP(all_lmics1819[[who_choice_region]:[who_choice_region]],missing[],14,FALSE),VLOOKUP(all_lmics1819[[Setting]:[Setting]],all_cause_mort[],10,FALSE))*0.95</f>
        <v>6.1963858299999999E-4</v>
      </c>
      <c r="W66">
        <f>IF(VLOOKUP(all_lmics1819[[Setting]:[Setting]],all_cause_mort[],11,FALSE)="",VLOOKUP(all_lmics1819[[who_choice_region]:[who_choice_region]],missing[],15,FALSE),VLOOKUP(all_lmics1819[[Setting]:[Setting]],all_cause_mort[],11,FALSE))*0.95</f>
        <v>7.0927313499999996E-4</v>
      </c>
      <c r="X66">
        <f>IF(VLOOKUP(all_lmics1819[[Setting]:[Setting]],all_cause_mort[],12,FALSE)="",VLOOKUP(all_lmics1819[[who_choice_region]:[who_choice_region]],missing[],16,FALSE),VLOOKUP(all_lmics1819[[Setting]:[Setting]],all_cause_mort[],12,FALSE))*0.95</f>
        <v>1.1454909049999999E-3</v>
      </c>
      <c r="Y66">
        <f>IF(VLOOKUP(all_lmics1819[[Setting]:[Setting]],all_cause_mort[],13,FALSE)="",VLOOKUP(all_lmics1819[[who_choice_region]:[who_choice_region]],missing[],17,FALSE),VLOOKUP(all_lmics1819[[Setting]:[Setting]],all_cause_mort[],13,FALSE))*0.95</f>
        <v>2.1431599100000002E-3</v>
      </c>
      <c r="Z66">
        <f>IF(VLOOKUP(all_lmics1819[[Setting]:[Setting]],all_cause_mort[],14,FALSE)="",VLOOKUP(all_lmics1819[[who_choice_region]:[who_choice_region]],missing[],18,FALSE),VLOOKUP(all_lmics1819[[Setting]:[Setting]],all_cause_mort[],14,FALSE))*0.95</f>
        <v>3.3876860349999999E-3</v>
      </c>
      <c r="AA66">
        <f>IF(VLOOKUP(all_lmics1819[[Setting]:[Setting]],all_cause_mort[],15,FALSE)="",VLOOKUP(all_lmics1819[[who_choice_region]:[who_choice_region]],missing[],19,FALSE),VLOOKUP(all_lmics1819[[Setting]:[Setting]],all_cause_mort[],15,FALSE))*0.95</f>
        <v>6.1117054899999992E-3</v>
      </c>
      <c r="AB66">
        <f>IF(VLOOKUP(all_lmics1819[[Setting]:[Setting]],all_cause_mort[],16,FALSE)="",VLOOKUP(all_lmics1819[[who_choice_region]:[who_choice_region]],missing[],20,FALSE),VLOOKUP(all_lmics1819[[Setting]:[Setting]],all_cause_mort[],16,FALSE))*0.95</f>
        <v>1.03618381E-2</v>
      </c>
      <c r="AC66">
        <f>IF(VLOOKUP(all_lmics1819[[Setting]:[Setting]],all_cause_mort[],17,FALSE)="",VLOOKUP(all_lmics1819[[who_choice_region]:[who_choice_region]],missing[],21,FALSE),VLOOKUP(all_lmics1819[[Setting]:[Setting]],all_cause_mort[],17,FALSE))*0.95</f>
        <v>1.5150116450000001E-2</v>
      </c>
      <c r="AD66">
        <f>IF(VLOOKUP(all_lmics1819[[Setting]:[Setting]],all_cause_mort[],18,FALSE)="",VLOOKUP(all_lmics1819[[who_choice_region]:[who_choice_region]],missing[],22,FALSE),VLOOKUP(all_lmics1819[[Setting]:[Setting]],all_cause_mort[],18,FALSE))*0.95</f>
        <v>1.9926414349999998E-2</v>
      </c>
      <c r="AE66">
        <f>IF(VLOOKUP(all_lmics1819[[Setting]:[Setting]],all_cause_mort[],19,FALSE)="",VLOOKUP(all_lmics1819[[who_choice_region]:[who_choice_region]],missing[],23,FALSE),VLOOKUP(all_lmics1819[[Setting]:[Setting]],all_cause_mort[],19,FALSE))*0.95</f>
        <v>2.9503200949999999E-2</v>
      </c>
      <c r="AF66">
        <f>IF(VLOOKUP(all_lmics1819[[Setting]:[Setting]],all_cause_mort[],20,FALSE)="",VLOOKUP(all_lmics1819[[who_choice_region]:[who_choice_region]],missing[],24,FALSE),VLOOKUP(all_lmics1819[[Setting]:[Setting]],all_cause_mort[],20,FALSE))*0.95</f>
        <v>4.9387379250000002E-2</v>
      </c>
      <c r="AG66">
        <f>IF(VLOOKUP(all_lmics1819[[Setting]:[Setting]],all_cause_mort[],21,FALSE)="",VLOOKUP(all_lmics1819[[who_choice_region]:[who_choice_region]],missing[],25,FALSE),VLOOKUP(all_lmics1819[[Setting]:[Setting]],all_cause_mort[],21,FALSE))*0.95</f>
        <v>8.5298285549999991E-2</v>
      </c>
      <c r="AH66">
        <f>IF(VLOOKUP(all_lmics1819[[Setting]:[Setting]],all_cause_mort[],22,FALSE)="",VLOOKUP(all_lmics1819[[who_choice_region]:[who_choice_region]],missing[],26,FALSE),VLOOKUP(all_lmics1819[[Setting]:[Setting]],all_cause_mort[],22,FALSE))*0.95</f>
        <v>0.14406791799999999</v>
      </c>
      <c r="AI66">
        <f>IF(VLOOKUP(all_lmics1819[[Setting]:[Setting]],all_cause_mort[],23,FALSE)="",VLOOKUP(all_lmics1819[[who_choice_region]:[who_choice_region]],missing[],27,FALSE),VLOOKUP(all_lmics1819[[Setting]:[Setting]],all_cause_mort[],23,FALSE))*0.95</f>
        <v>0.227424775</v>
      </c>
      <c r="AJ66">
        <f>IF(VLOOKUP(all_lmics1819[[Setting]:[Setting]],all_cause_mort[],24,FALSE)="",VLOOKUP(all_lmics1819[[who_choice_region]:[who_choice_region]],missing[],28,FALSE),VLOOKUP(all_lmics1819[[Setting]:[Setting]],all_cause_mort[],24,FALSE))*0.95</f>
        <v>0.33181394799999997</v>
      </c>
      <c r="AK66">
        <f>IF(VLOOKUP(all_lmics1819[[Setting]:[Setting]],all_cause_mort[],25,FALSE)="",VLOOKUP(all_lmics1819[[who_choice_region]:[who_choice_region]],missing[],29,FALSE),VLOOKUP(all_lmics1819[[Setting]:[Setting]],all_cause_mort[],25,FALSE))*0.95</f>
        <v>0.46580649368574767</v>
      </c>
      <c r="AL66">
        <f>VLOOKUP(all_lmics1819[[worldbank_region]:[worldbank_region]],Table13[],2,FALSE)*0.95</f>
        <v>42.29888489999999</v>
      </c>
      <c r="AM66">
        <f>VLOOKUP(all_lmics1819[[worldbank_region]:[worldbank_region]],Table13[],3,FALSE)*0.95</f>
        <v>42.29888489999999</v>
      </c>
      <c r="AN66">
        <f>VLOOKUP(all_lmics1819[[worldbank_region]:[worldbank_region]],Table13[],4,FALSE)*0.95</f>
        <v>87.641301899999988</v>
      </c>
      <c r="AO66">
        <f>VLOOKUP(all_lmics1819[[worldbank_region]:[worldbank_region]],Table13[],5,FALSE)*0.95</f>
        <v>87.641301899999988</v>
      </c>
      <c r="AP66">
        <f>VLOOKUP(all_lmics1819[[worldbank_region]:[worldbank_region]],Table13[],6,FALSE)*0.95</f>
        <v>87.641301899999988</v>
      </c>
      <c r="AQ66">
        <f>VLOOKUP(all_lmics1819[[worldbank_region]:[worldbank_region]],Table14[],2,FALSE)*0.95</f>
        <v>6.0973773999999992</v>
      </c>
      <c r="AR66">
        <f>VLOOKUP(all_lmics1819[[worldbank_region]:[worldbank_region]],Table14[],3,FALSE)*0.95</f>
        <v>6.6840023999999998</v>
      </c>
      <c r="AS66">
        <f>VLOOKUP(all_lmics1819[[worldbank_region]:[worldbank_region]],Table14[],4,FALSE)*0.95</f>
        <v>9.9587293499999969</v>
      </c>
      <c r="AT66">
        <f>VLOOKUP(all_lmics1819[[worldbank_region]:[worldbank_region]],Table14[],5,FALSE)*0.95</f>
        <v>10.545354349999998</v>
      </c>
      <c r="AU66">
        <f>VLOOKUP(all_lmics1819[[worldbank_region]:[worldbank_region]],Table14[],6,FALSE)*0.95</f>
        <v>11.087093749999999</v>
      </c>
      <c r="AV66">
        <f>IFERROR(VLOOKUP(all_lmics1819[[Setting]:[Setting]],nFacSBA[],4,FALSE),VLOOKUP(all_lmics1819[[who_choice_region]:[who_choice_region]],missing[],30,FALSE))*0.95</f>
        <v>0.50689921499704871</v>
      </c>
      <c r="AW66">
        <f>VLOOKUP(all_lmics1819[[worldbank_region]:[worldbank_region]],hbe[],3)</f>
        <v>0.2</v>
      </c>
      <c r="AX66">
        <f>VLOOKUP(all_lmics1819[[worldbank_region]:[worldbank_region]],hbe[],6)</f>
        <v>0.75</v>
      </c>
      <c r="AY66">
        <f>VLOOKUP(all_lmics1819[[worldbank_region]:[worldbank_region]],hbe[],9)</f>
        <v>0.05</v>
      </c>
    </row>
    <row r="67" spans="1:51" x14ac:dyDescent="0.35">
      <c r="A67" s="12" t="s">
        <v>174</v>
      </c>
      <c r="B67" s="13" t="s">
        <v>22</v>
      </c>
      <c r="C67" s="14" t="s">
        <v>383</v>
      </c>
      <c r="D67">
        <f>VLOOKUP(all_lmics1819[[Setting]:[Setting]],populations[],9,FALSE)</f>
        <v>55345</v>
      </c>
      <c r="E67">
        <f>VLOOKUP(all_lmics1819[[Setting]:[Setting]],birthrate[],3,FALSE)</f>
        <v>1.32E-2</v>
      </c>
      <c r="F67">
        <f>all_lmics1819[[#This Row],[2017_population]]*all_lmics1819[[#This Row],[2016_birthrate]]</f>
        <v>730.55399999999997</v>
      </c>
      <c r="G67">
        <f>VLOOKUP(all_lmics1819[[Setting]:[Setting]],birthdose[],4,FALSE)*0.95</f>
        <v>0.78849999999999998</v>
      </c>
      <c r="H67">
        <f>VLOOKUP(all_lmics1819[[Setting]:[Setting]],fullvax[],4,FALSE)*0.95</f>
        <v>0.93099999999999994</v>
      </c>
      <c r="I67">
        <f>IFERROR(VLOOKUP(all_lmics1819[[Setting]:[Setting]],prev[],3,FALSE),VLOOKUP(all_lmics1819[[who_choice_region]:[who_choice_region]],missing[],2,FALSE))</f>
        <v>4.1444892127893984E-3</v>
      </c>
      <c r="J67">
        <f>IFERROR(VLOOKUP(all_lmics1819[[Setting]:[Setting]],prev[],4,FALSE),VLOOKUP(all_lmics1819[[who_choice_region]:[who_choice_region]],missing[],3,FALSE))</f>
        <v>2.6055266579680684E-3</v>
      </c>
      <c r="K67">
        <f>IFERROR(VLOOKUP(all_lmics1819[[Setting]:[Setting]],prev[],5,FALSE),VLOOKUP(all_lmics1819[[who_choice_region]:[who_choice_region]],missing[],4,FALSE))</f>
        <v>7.7002555713058798E-3</v>
      </c>
      <c r="L67">
        <f>IFERROR(VLOOKUP(all_lmics1819[[Setting]:[Setting]],prev[],7,FALSE),VLOOKUP(all_lmics1819[[who_choice_region]:[who_choice_region]],missing[],5,FALSE))</f>
        <v>1.8146552860433664E-3</v>
      </c>
      <c r="M67">
        <f>IFERROR(VLOOKUP(all_lmics1819[[Setting]:[Setting]],prev[],6,FALSE),0)</f>
        <v>0</v>
      </c>
      <c r="N67">
        <f>IFERROR(VLOOKUP(all_lmics1819[[Setting]:[Setting]],SBA[],4,FALSE),VLOOKUP(all_lmics1819[[who_choice_region]:[who_choice_region]],missing[],6,FALSE))*0.95</f>
        <v>0.94990499999999989</v>
      </c>
      <c r="O67">
        <f>IFERROR(VLOOKUP(all_lmics1819[[Setting]:[Setting]], facility[], 3,FALSE),VLOOKUP(all_lmics1819[[who_choice_region]:[who_choice_region]],missing[],7,FALSE))*0.95</f>
        <v>0.93002870506146962</v>
      </c>
      <c r="P67">
        <f>IF(VLOOKUP(all_lmics1819[[Setting]:[Setting]],all_cause_mort[],4,FALSE)="",VLOOKUP(all_lmics1819[[who_choice_region]:[who_choice_region]],missing[],8,FALSE),VLOOKUP(all_lmics1819[[Setting]:[Setting]],all_cause_mort[],4,FALSE))*0.95</f>
        <v>1.3536486568565735E-2</v>
      </c>
      <c r="Q67">
        <f>IF(VLOOKUP(all_lmics1819[[Setting]:[Setting]],all_cause_mort[],5,FALSE)="",VLOOKUP(all_lmics1819[[who_choice_region]:[who_choice_region]],missing[],9,FALSE),VLOOKUP(all_lmics1819[[Setting]:[Setting]],all_cause_mort[],5,FALSE))*0.95</f>
        <v>5.895668853720886E-4</v>
      </c>
      <c r="R67">
        <f>IF(VLOOKUP(all_lmics1819[[Setting]:[Setting]],all_cause_mort[],6,FALSE)="",VLOOKUP(all_lmics1819[[who_choice_region]:[who_choice_region]],missing[],10,FALSE),VLOOKUP(all_lmics1819[[Setting]:[Setting]],all_cause_mort[],6,FALSE))*0.95</f>
        <v>2.5805459494341356E-4</v>
      </c>
      <c r="S67">
        <f>IF(VLOOKUP(all_lmics1819[[Setting]:[Setting]],all_cause_mort[],7,FALSE)="",VLOOKUP(all_lmics1819[[who_choice_region]:[who_choice_region]],missing[],11,FALSE),VLOOKUP(all_lmics1819[[Setting]:[Setting]],all_cause_mort[],7,FALSE))*0.95</f>
        <v>3.2266943274367237E-4</v>
      </c>
      <c r="T67">
        <f>IF(VLOOKUP(all_lmics1819[[Setting]:[Setting]],all_cause_mort[],8,FALSE)="",VLOOKUP(all_lmics1819[[who_choice_region]:[who_choice_region]],missing[],12,FALSE),VLOOKUP(all_lmics1819[[Setting]:[Setting]],all_cause_mort[],8,FALSE))*0.95</f>
        <v>9.0473794656726117E-4</v>
      </c>
      <c r="U67">
        <f>IF(VLOOKUP(all_lmics1819[[Setting]:[Setting]],all_cause_mort[],9,FALSE)="",VLOOKUP(all_lmics1819[[who_choice_region]:[who_choice_region]],missing[],13,FALSE),VLOOKUP(all_lmics1819[[Setting]:[Setting]],all_cause_mort[],9,FALSE))*0.95</f>
        <v>1.4307702457260923E-3</v>
      </c>
      <c r="V67">
        <f>IF(VLOOKUP(all_lmics1819[[Setting]:[Setting]],all_cause_mort[],10,FALSE)="",VLOOKUP(all_lmics1819[[who_choice_region]:[who_choice_region]],missing[],14,FALSE),VLOOKUP(all_lmics1819[[Setting]:[Setting]],all_cause_mort[],10,FALSE))*0.95</f>
        <v>1.5377045741762228E-3</v>
      </c>
      <c r="W67">
        <f>IF(VLOOKUP(all_lmics1819[[Setting]:[Setting]],all_cause_mort[],11,FALSE)="",VLOOKUP(all_lmics1819[[who_choice_region]:[who_choice_region]],missing[],15,FALSE),VLOOKUP(all_lmics1819[[Setting]:[Setting]],all_cause_mort[],11,FALSE))*0.95</f>
        <v>1.7177983002120186E-3</v>
      </c>
      <c r="X67">
        <f>IF(VLOOKUP(all_lmics1819[[Setting]:[Setting]],all_cause_mort[],12,FALSE)="",VLOOKUP(all_lmics1819[[who_choice_region]:[who_choice_region]],missing[],16,FALSE),VLOOKUP(all_lmics1819[[Setting]:[Setting]],all_cause_mort[],12,FALSE))*0.95</f>
        <v>2.0483254173106866E-3</v>
      </c>
      <c r="Y67">
        <f>IF(VLOOKUP(all_lmics1819[[Setting]:[Setting]],all_cause_mort[],13,FALSE)="",VLOOKUP(all_lmics1819[[who_choice_region]:[who_choice_region]],missing[],17,FALSE),VLOOKUP(all_lmics1819[[Setting]:[Setting]],all_cause_mort[],13,FALSE))*0.95</f>
        <v>2.6403067732110232E-3</v>
      </c>
      <c r="Z67">
        <f>IF(VLOOKUP(all_lmics1819[[Setting]:[Setting]],all_cause_mort[],14,FALSE)="",VLOOKUP(all_lmics1819[[who_choice_region]:[who_choice_region]],missing[],18,FALSE),VLOOKUP(all_lmics1819[[Setting]:[Setting]],all_cause_mort[],14,FALSE))*0.95</f>
        <v>3.7675476352673396E-3</v>
      </c>
      <c r="AA67">
        <f>IF(VLOOKUP(all_lmics1819[[Setting]:[Setting]],all_cause_mort[],15,FALSE)="",VLOOKUP(all_lmics1819[[who_choice_region]:[who_choice_region]],missing[],19,FALSE),VLOOKUP(all_lmics1819[[Setting]:[Setting]],all_cause_mort[],15,FALSE))*0.95</f>
        <v>5.5588821160685985E-3</v>
      </c>
      <c r="AB67">
        <f>IF(VLOOKUP(all_lmics1819[[Setting]:[Setting]],all_cause_mort[],16,FALSE)="",VLOOKUP(all_lmics1819[[who_choice_region]:[who_choice_region]],missing[],20,FALSE),VLOOKUP(all_lmics1819[[Setting]:[Setting]],all_cause_mort[],16,FALSE))*0.95</f>
        <v>8.2245803454973898E-3</v>
      </c>
      <c r="AC67">
        <f>IF(VLOOKUP(all_lmics1819[[Setting]:[Setting]],all_cause_mort[],17,FALSE)="",VLOOKUP(all_lmics1819[[who_choice_region]:[who_choice_region]],missing[],21,FALSE),VLOOKUP(all_lmics1819[[Setting]:[Setting]],all_cause_mort[],17,FALSE))*0.95</f>
        <v>1.2460039656317074E-2</v>
      </c>
      <c r="AD67">
        <f>IF(VLOOKUP(all_lmics1819[[Setting]:[Setting]],all_cause_mort[],18,FALSE)="",VLOOKUP(all_lmics1819[[who_choice_region]:[who_choice_region]],missing[],22,FALSE),VLOOKUP(all_lmics1819[[Setting]:[Setting]],all_cause_mort[],18,FALSE))*0.95</f>
        <v>1.9062691221362157E-2</v>
      </c>
      <c r="AE67">
        <f>IF(VLOOKUP(all_lmics1819[[Setting]:[Setting]],all_cause_mort[],19,FALSE)="",VLOOKUP(all_lmics1819[[who_choice_region]:[who_choice_region]],missing[],23,FALSE),VLOOKUP(all_lmics1819[[Setting]:[Setting]],all_cause_mort[],19,FALSE))*0.95</f>
        <v>2.852298607898842E-2</v>
      </c>
      <c r="AF67">
        <f>IF(VLOOKUP(all_lmics1819[[Setting]:[Setting]],all_cause_mort[],20,FALSE)="",VLOOKUP(all_lmics1819[[who_choice_region]:[who_choice_region]],missing[],24,FALSE),VLOOKUP(all_lmics1819[[Setting]:[Setting]],all_cause_mort[],20,FALSE))*0.95</f>
        <v>4.3850130926235367E-2</v>
      </c>
      <c r="AG67">
        <f>IF(VLOOKUP(all_lmics1819[[Setting]:[Setting]],all_cause_mort[],21,FALSE)="",VLOOKUP(all_lmics1819[[who_choice_region]:[who_choice_region]],missing[],25,FALSE),VLOOKUP(all_lmics1819[[Setting]:[Setting]],all_cause_mort[],21,FALSE))*0.95</f>
        <v>6.7382440981694894E-2</v>
      </c>
      <c r="AH67">
        <f>IF(VLOOKUP(all_lmics1819[[Setting]:[Setting]],all_cause_mort[],22,FALSE)="",VLOOKUP(all_lmics1819[[who_choice_region]:[who_choice_region]],missing[],26,FALSE),VLOOKUP(all_lmics1819[[Setting]:[Setting]],all_cause_mort[],22,FALSE))*0.95</f>
        <v>0.10419288160788669</v>
      </c>
      <c r="AI67">
        <f>IF(VLOOKUP(all_lmics1819[[Setting]:[Setting]],all_cause_mort[],23,FALSE)="",VLOOKUP(all_lmics1819[[who_choice_region]:[who_choice_region]],missing[],27,FALSE),VLOOKUP(all_lmics1819[[Setting]:[Setting]],all_cause_mort[],23,FALSE))*0.95</f>
        <v>0.15318658719253003</v>
      </c>
      <c r="AJ67">
        <f>IF(VLOOKUP(all_lmics1819[[Setting]:[Setting]],all_cause_mort[],24,FALSE)="",VLOOKUP(all_lmics1819[[who_choice_region]:[who_choice_region]],missing[],28,FALSE),VLOOKUP(all_lmics1819[[Setting]:[Setting]],all_cause_mort[],24,FALSE))*0.95</f>
        <v>0.23798996312175769</v>
      </c>
      <c r="AK67">
        <f>IF(VLOOKUP(all_lmics1819[[Setting]:[Setting]],all_cause_mort[],25,FALSE)="",VLOOKUP(all_lmics1819[[who_choice_region]:[who_choice_region]],missing[],29,FALSE),VLOOKUP(all_lmics1819[[Setting]:[Setting]],all_cause_mort[],25,FALSE))*0.95</f>
        <v>0.36691863643049494</v>
      </c>
      <c r="AL67">
        <f>VLOOKUP(all_lmics1819[[worldbank_region]:[worldbank_region]],Table13[],2,FALSE)*0.95</f>
        <v>82.51698764999999</v>
      </c>
      <c r="AM67">
        <f>VLOOKUP(all_lmics1819[[worldbank_region]:[worldbank_region]],Table13[],3,FALSE)*0.95</f>
        <v>82.51698764999999</v>
      </c>
      <c r="AN67">
        <f>VLOOKUP(all_lmics1819[[worldbank_region]:[worldbank_region]],Table13[],4,FALSE)*0.95</f>
        <v>127.85940464999999</v>
      </c>
      <c r="AO67">
        <f>VLOOKUP(all_lmics1819[[worldbank_region]:[worldbank_region]],Table13[],5,FALSE)*0.95</f>
        <v>127.85940464999999</v>
      </c>
      <c r="AP67">
        <f>VLOOKUP(all_lmics1819[[worldbank_region]:[worldbank_region]],Table13[],6,FALSE)*0.95</f>
        <v>127.85940464999999</v>
      </c>
      <c r="AQ67">
        <f>VLOOKUP(all_lmics1819[[worldbank_region]:[worldbank_region]],Table14[],2,FALSE)*0.95</f>
        <v>1.4389099000000001</v>
      </c>
      <c r="AR67">
        <f>VLOOKUP(all_lmics1819[[worldbank_region]:[worldbank_region]],Table14[],3,FALSE)*0.95</f>
        <v>2.0255348999999998</v>
      </c>
      <c r="AS67">
        <f>VLOOKUP(all_lmics1819[[worldbank_region]:[worldbank_region]],Table14[],4,FALSE)*0.95</f>
        <v>1.4596142000000001</v>
      </c>
      <c r="AT67">
        <f>VLOOKUP(all_lmics1819[[worldbank_region]:[worldbank_region]],Table14[],5,FALSE)*0.95</f>
        <v>2.0462391999999996</v>
      </c>
      <c r="AU67">
        <f>VLOOKUP(all_lmics1819[[worldbank_region]:[worldbank_region]],Table14[],6,FALSE)*0.95</f>
        <v>2.5879785999999996</v>
      </c>
      <c r="AV67">
        <f>IFERROR(VLOOKUP(all_lmics1819[[Setting]:[Setting]],nFacSBA[],4,FALSE),VLOOKUP(all_lmics1819[[who_choice_region]:[who_choice_region]],missing[],30,FALSE))*0.95</f>
        <v>0.19387920306497206</v>
      </c>
      <c r="AW67">
        <f>VLOOKUP(all_lmics1819[[worldbank_region]:[worldbank_region]],hbe[],3)</f>
        <v>0.2</v>
      </c>
      <c r="AX67">
        <f>VLOOKUP(all_lmics1819[[worldbank_region]:[worldbank_region]],hbe[],6)</f>
        <v>0.75</v>
      </c>
      <c r="AY67">
        <f>VLOOKUP(all_lmics1819[[worldbank_region]:[worldbank_region]],hbe[],9)</f>
        <v>0.05</v>
      </c>
    </row>
    <row r="68" spans="1:51" x14ac:dyDescent="0.35">
      <c r="A68" s="12" t="s">
        <v>176</v>
      </c>
      <c r="B68" s="13" t="s">
        <v>22</v>
      </c>
      <c r="C68" s="14" t="s">
        <v>383</v>
      </c>
      <c r="D68">
        <f>VLOOKUP(all_lmics1819[[Setting]:[Setting]],populations[],9,FALSE)</f>
        <v>109897</v>
      </c>
      <c r="E68">
        <f>VLOOKUP(all_lmics1819[[Setting]:[Setting]],birthrate[],3,FALSE)</f>
        <v>1.5507E-2</v>
      </c>
      <c r="F68">
        <f>all_lmics1819[[#This Row],[2017_population]]*all_lmics1819[[#This Row],[2016_birthrate]]</f>
        <v>1704.172779</v>
      </c>
      <c r="G68">
        <f>VLOOKUP(all_lmics1819[[Setting]:[Setting]],birthdose[],4,FALSE)*0.95</f>
        <v>0.28499999999999998</v>
      </c>
      <c r="H68">
        <f>VLOOKUP(all_lmics1819[[Setting]:[Setting]],fullvax[],4,FALSE)*0.95</f>
        <v>0.9405</v>
      </c>
      <c r="I68">
        <f>IFERROR(VLOOKUP(all_lmics1819[[Setting]:[Setting]],prev[],3,FALSE),VLOOKUP(all_lmics1819[[who_choice_region]:[who_choice_region]],missing[],2,FALSE))</f>
        <v>4.1444892127893984E-3</v>
      </c>
      <c r="J68">
        <f>IFERROR(VLOOKUP(all_lmics1819[[Setting]:[Setting]],prev[],4,FALSE),VLOOKUP(all_lmics1819[[who_choice_region]:[who_choice_region]],missing[],3,FALSE))</f>
        <v>2.6055266579680684E-3</v>
      </c>
      <c r="K68">
        <f>IFERROR(VLOOKUP(all_lmics1819[[Setting]:[Setting]],prev[],5,FALSE),VLOOKUP(all_lmics1819[[who_choice_region]:[who_choice_region]],missing[],4,FALSE))</f>
        <v>7.7002555713058798E-3</v>
      </c>
      <c r="L68">
        <f>IFERROR(VLOOKUP(all_lmics1819[[Setting]:[Setting]],prev[],7,FALSE),VLOOKUP(all_lmics1819[[who_choice_region]:[who_choice_region]],missing[],5,FALSE))</f>
        <v>1.8146552860433664E-3</v>
      </c>
      <c r="M68">
        <f>IFERROR(VLOOKUP(all_lmics1819[[Setting]:[Setting]],prev[],6,FALSE),0)</f>
        <v>0</v>
      </c>
      <c r="N68">
        <f>IFERROR(VLOOKUP(all_lmics1819[[Setting]:[Setting]],SBA[],4,FALSE),VLOOKUP(all_lmics1819[[who_choice_region]:[who_choice_region]],missing[],6,FALSE))*0.95</f>
        <v>0.9405</v>
      </c>
      <c r="O68">
        <f>IFERROR(VLOOKUP(all_lmics1819[[Setting]:[Setting]], facility[], 3,FALSE),VLOOKUP(all_lmics1819[[who_choice_region]:[who_choice_region]],missing[],7,FALSE))*0.95</f>
        <v>0.93002870506146962</v>
      </c>
      <c r="P68">
        <f>IF(VLOOKUP(all_lmics1819[[Setting]:[Setting]],all_cause_mort[],4,FALSE)="",VLOOKUP(all_lmics1819[[who_choice_region]:[who_choice_region]],missing[],8,FALSE),VLOOKUP(all_lmics1819[[Setting]:[Setting]],all_cause_mort[],4,FALSE))*0.95</f>
        <v>1.41189304E-2</v>
      </c>
      <c r="Q68">
        <f>IF(VLOOKUP(all_lmics1819[[Setting]:[Setting]],all_cause_mort[],5,FALSE)="",VLOOKUP(all_lmics1819[[who_choice_region]:[who_choice_region]],missing[],9,FALSE),VLOOKUP(all_lmics1819[[Setting]:[Setting]],all_cause_mort[],5,FALSE))*0.95</f>
        <v>3.2347081999999999E-4</v>
      </c>
      <c r="R68">
        <f>IF(VLOOKUP(all_lmics1819[[Setting]:[Setting]],all_cause_mort[],6,FALSE)="",VLOOKUP(all_lmics1819[[who_choice_region]:[who_choice_region]],missing[],10,FALSE),VLOOKUP(all_lmics1819[[Setting]:[Setting]],all_cause_mort[],6,FALSE))*0.95</f>
        <v>4.0549210049999995E-4</v>
      </c>
      <c r="S68">
        <f>IF(VLOOKUP(all_lmics1819[[Setting]:[Setting]],all_cause_mort[],7,FALSE)="",VLOOKUP(all_lmics1819[[who_choice_region]:[who_choice_region]],missing[],11,FALSE),VLOOKUP(all_lmics1819[[Setting]:[Setting]],all_cause_mort[],7,FALSE))*0.95</f>
        <v>3.9129094949999998E-4</v>
      </c>
      <c r="T68">
        <f>IF(VLOOKUP(all_lmics1819[[Setting]:[Setting]],all_cause_mort[],8,FALSE)="",VLOOKUP(all_lmics1819[[who_choice_region]:[who_choice_region]],missing[],12,FALSE),VLOOKUP(all_lmics1819[[Setting]:[Setting]],all_cause_mort[],8,FALSE))*0.95</f>
        <v>9.5064362499999982E-4</v>
      </c>
      <c r="U68">
        <f>IF(VLOOKUP(all_lmics1819[[Setting]:[Setting]],all_cause_mort[],9,FALSE)="",VLOOKUP(all_lmics1819[[who_choice_region]:[who_choice_region]],missing[],13,FALSE),VLOOKUP(all_lmics1819[[Setting]:[Setting]],all_cause_mort[],9,FALSE))*0.95</f>
        <v>1.3391341550000001E-3</v>
      </c>
      <c r="V68">
        <f>IF(VLOOKUP(all_lmics1819[[Setting]:[Setting]],all_cause_mort[],10,FALSE)="",VLOOKUP(all_lmics1819[[who_choice_region]:[who_choice_region]],missing[],14,FALSE),VLOOKUP(all_lmics1819[[Setting]:[Setting]],all_cause_mort[],10,FALSE))*0.95</f>
        <v>1.45984695E-3</v>
      </c>
      <c r="W68">
        <f>IF(VLOOKUP(all_lmics1819[[Setting]:[Setting]],all_cause_mort[],11,FALSE)="",VLOOKUP(all_lmics1819[[who_choice_region]:[who_choice_region]],missing[],15,FALSE),VLOOKUP(all_lmics1819[[Setting]:[Setting]],all_cause_mort[],11,FALSE))*0.95</f>
        <v>1.7409760799999999E-3</v>
      </c>
      <c r="X68">
        <f>IF(VLOOKUP(all_lmics1819[[Setting]:[Setting]],all_cause_mort[],12,FALSE)="",VLOOKUP(all_lmics1819[[who_choice_region]:[who_choice_region]],missing[],16,FALSE),VLOOKUP(all_lmics1819[[Setting]:[Setting]],all_cause_mort[],12,FALSE))*0.95</f>
        <v>2.3221984299999997E-3</v>
      </c>
      <c r="Y68">
        <f>IF(VLOOKUP(all_lmics1819[[Setting]:[Setting]],all_cause_mort[],13,FALSE)="",VLOOKUP(all_lmics1819[[who_choice_region]:[who_choice_region]],missing[],17,FALSE),VLOOKUP(all_lmics1819[[Setting]:[Setting]],all_cause_mort[],13,FALSE))*0.95</f>
        <v>3.3250965199999997E-3</v>
      </c>
      <c r="Z68">
        <f>IF(VLOOKUP(all_lmics1819[[Setting]:[Setting]],all_cause_mort[],14,FALSE)="",VLOOKUP(all_lmics1819[[who_choice_region]:[who_choice_region]],missing[],18,FALSE),VLOOKUP(all_lmics1819[[Setting]:[Setting]],all_cause_mort[],14,FALSE))*0.95</f>
        <v>5.0100139549999999E-3</v>
      </c>
      <c r="AA68">
        <f>IF(VLOOKUP(all_lmics1819[[Setting]:[Setting]],all_cause_mort[],15,FALSE)="",VLOOKUP(all_lmics1819[[who_choice_region]:[who_choice_region]],missing[],19,FALSE),VLOOKUP(all_lmics1819[[Setting]:[Setting]],all_cause_mort[],15,FALSE))*0.95</f>
        <v>7.5974271150000003E-3</v>
      </c>
      <c r="AB68">
        <f>IF(VLOOKUP(all_lmics1819[[Setting]:[Setting]],all_cause_mort[],16,FALSE)="",VLOOKUP(all_lmics1819[[who_choice_region]:[who_choice_region]],missing[],20,FALSE),VLOOKUP(all_lmics1819[[Setting]:[Setting]],all_cause_mort[],16,FALSE))*0.95</f>
        <v>1.1537899149999999E-2</v>
      </c>
      <c r="AC68">
        <f>IF(VLOOKUP(all_lmics1819[[Setting]:[Setting]],all_cause_mort[],17,FALSE)="",VLOOKUP(all_lmics1819[[who_choice_region]:[who_choice_region]],missing[],21,FALSE),VLOOKUP(all_lmics1819[[Setting]:[Setting]],all_cause_mort[],17,FALSE))*0.95</f>
        <v>1.6416279299999999E-2</v>
      </c>
      <c r="AD68">
        <f>IF(VLOOKUP(all_lmics1819[[Setting]:[Setting]],all_cause_mort[],18,FALSE)="",VLOOKUP(all_lmics1819[[who_choice_region]:[who_choice_region]],missing[],22,FALSE),VLOOKUP(all_lmics1819[[Setting]:[Setting]],all_cause_mort[],18,FALSE))*0.95</f>
        <v>2.3335134049999998E-2</v>
      </c>
      <c r="AE68">
        <f>IF(VLOOKUP(all_lmics1819[[Setting]:[Setting]],all_cause_mort[],19,FALSE)="",VLOOKUP(all_lmics1819[[who_choice_region]:[who_choice_region]],missing[],23,FALSE),VLOOKUP(all_lmics1819[[Setting]:[Setting]],all_cause_mort[],19,FALSE))*0.95</f>
        <v>3.5579406649999999E-2</v>
      </c>
      <c r="AF68">
        <f>IF(VLOOKUP(all_lmics1819[[Setting]:[Setting]],all_cause_mort[],20,FALSE)="",VLOOKUP(all_lmics1819[[who_choice_region]:[who_choice_region]],missing[],24,FALSE),VLOOKUP(all_lmics1819[[Setting]:[Setting]],all_cause_mort[],20,FALSE))*0.95</f>
        <v>5.8032896049999998E-2</v>
      </c>
      <c r="AG68">
        <f>IF(VLOOKUP(all_lmics1819[[Setting]:[Setting]],all_cause_mort[],21,FALSE)="",VLOOKUP(all_lmics1819[[who_choice_region]:[who_choice_region]],missing[],25,FALSE),VLOOKUP(all_lmics1819[[Setting]:[Setting]],all_cause_mort[],21,FALSE))*0.95</f>
        <v>9.4423503899999983E-2</v>
      </c>
      <c r="AH68">
        <f>IF(VLOOKUP(all_lmics1819[[Setting]:[Setting]],all_cause_mort[],22,FALSE)="",VLOOKUP(all_lmics1819[[who_choice_region]:[who_choice_region]],missing[],26,FALSE),VLOOKUP(all_lmics1819[[Setting]:[Setting]],all_cause_mort[],22,FALSE))*0.95</f>
        <v>0.15132510099999999</v>
      </c>
      <c r="AI68">
        <f>IF(VLOOKUP(all_lmics1819[[Setting]:[Setting]],all_cause_mort[],23,FALSE)="",VLOOKUP(all_lmics1819[[who_choice_region]:[who_choice_region]],missing[],27,FALSE),VLOOKUP(all_lmics1819[[Setting]:[Setting]],all_cause_mort[],23,FALSE))*0.95</f>
        <v>0.23065715949999999</v>
      </c>
      <c r="AJ68">
        <f>IF(VLOOKUP(all_lmics1819[[Setting]:[Setting]],all_cause_mort[],24,FALSE)="",VLOOKUP(all_lmics1819[[who_choice_region]:[who_choice_region]],missing[],28,FALSE),VLOOKUP(all_lmics1819[[Setting]:[Setting]],all_cause_mort[],24,FALSE))*0.95</f>
        <v>0.33507969649999997</v>
      </c>
      <c r="AK68">
        <f>IF(VLOOKUP(all_lmics1819[[Setting]:[Setting]],all_cause_mort[],25,FALSE)="",VLOOKUP(all_lmics1819[[who_choice_region]:[who_choice_region]],missing[],29,FALSE),VLOOKUP(all_lmics1819[[Setting]:[Setting]],all_cause_mort[],25,FALSE))*0.95</f>
        <v>0.46055427755783457</v>
      </c>
      <c r="AL68">
        <f>VLOOKUP(all_lmics1819[[worldbank_region]:[worldbank_region]],Table13[],2,FALSE)*0.95</f>
        <v>82.51698764999999</v>
      </c>
      <c r="AM68">
        <f>VLOOKUP(all_lmics1819[[worldbank_region]:[worldbank_region]],Table13[],3,FALSE)*0.95</f>
        <v>82.51698764999999</v>
      </c>
      <c r="AN68">
        <f>VLOOKUP(all_lmics1819[[worldbank_region]:[worldbank_region]],Table13[],4,FALSE)*0.95</f>
        <v>127.85940464999999</v>
      </c>
      <c r="AO68">
        <f>VLOOKUP(all_lmics1819[[worldbank_region]:[worldbank_region]],Table13[],5,FALSE)*0.95</f>
        <v>127.85940464999999</v>
      </c>
      <c r="AP68">
        <f>VLOOKUP(all_lmics1819[[worldbank_region]:[worldbank_region]],Table13[],6,FALSE)*0.95</f>
        <v>127.85940464999999</v>
      </c>
      <c r="AQ68">
        <f>VLOOKUP(all_lmics1819[[worldbank_region]:[worldbank_region]],Table14[],2,FALSE)*0.95</f>
        <v>1.4389099000000001</v>
      </c>
      <c r="AR68">
        <f>VLOOKUP(all_lmics1819[[worldbank_region]:[worldbank_region]],Table14[],3,FALSE)*0.95</f>
        <v>2.0255348999999998</v>
      </c>
      <c r="AS68">
        <f>VLOOKUP(all_lmics1819[[worldbank_region]:[worldbank_region]],Table14[],4,FALSE)*0.95</f>
        <v>1.4596142000000001</v>
      </c>
      <c r="AT68">
        <f>VLOOKUP(all_lmics1819[[worldbank_region]:[worldbank_region]],Table14[],5,FALSE)*0.95</f>
        <v>2.0462391999999996</v>
      </c>
      <c r="AU68">
        <f>VLOOKUP(all_lmics1819[[worldbank_region]:[worldbank_region]],Table14[],6,FALSE)*0.95</f>
        <v>2.5879785999999996</v>
      </c>
      <c r="AV68">
        <f>IFERROR(VLOOKUP(all_lmics1819[[Setting]:[Setting]],nFacSBA[],4,FALSE),VLOOKUP(all_lmics1819[[who_choice_region]:[who_choice_region]],missing[],30,FALSE))*0.95</f>
        <v>0.19387920306497206</v>
      </c>
      <c r="AW68">
        <f>VLOOKUP(all_lmics1819[[worldbank_region]:[worldbank_region]],hbe[],3)</f>
        <v>0.2</v>
      </c>
      <c r="AX68">
        <f>VLOOKUP(all_lmics1819[[worldbank_region]:[worldbank_region]],hbe[],6)</f>
        <v>0.75</v>
      </c>
      <c r="AY68">
        <f>VLOOKUP(all_lmics1819[[worldbank_region]:[worldbank_region]],hbe[],9)</f>
        <v>0.05</v>
      </c>
    </row>
    <row r="69" spans="1:51" x14ac:dyDescent="0.35">
      <c r="A69" s="8" t="s">
        <v>177</v>
      </c>
      <c r="B69" s="10" t="s">
        <v>57</v>
      </c>
      <c r="C69" s="11" t="s">
        <v>58</v>
      </c>
      <c r="D69">
        <f>VLOOKUP(all_lmics1819[[Setting]:[Setting]],populations[],9,FALSE)</f>
        <v>196440</v>
      </c>
      <c r="E69">
        <f>VLOOKUP(all_lmics1819[[Setting]:[Setting]],birthrate[],3,FALSE)</f>
        <v>2.4688999999999999E-2</v>
      </c>
      <c r="F69">
        <f>all_lmics1819[[#This Row],[2017_population]]*all_lmics1819[[#This Row],[2016_birthrate]]</f>
        <v>4849.9071599999997</v>
      </c>
      <c r="G69">
        <f>VLOOKUP(all_lmics1819[[Setting]:[Setting]],birthdose[],4,FALSE)*0.95</f>
        <v>0.76949999999999996</v>
      </c>
      <c r="H69">
        <f>VLOOKUP(all_lmics1819[[Setting]:[Setting]],fullvax[],4,FALSE)*0.95</f>
        <v>0.69350000000000001</v>
      </c>
      <c r="I69">
        <f>IFERROR(VLOOKUP(all_lmics1819[[Setting]:[Setting]],prev[],3,FALSE),VLOOKUP(all_lmics1819[[who_choice_region]:[who_choice_region]],missing[],2,FALSE))</f>
        <v>5.5300000000000002E-2</v>
      </c>
      <c r="J69">
        <f>IFERROR(VLOOKUP(all_lmics1819[[Setting]:[Setting]],prev[],4,FALSE),VLOOKUP(all_lmics1819[[who_choice_region]:[who_choice_region]],missing[],3,FALSE))</f>
        <v>3.6700000000000003E-2</v>
      </c>
      <c r="K69">
        <f>IFERROR(VLOOKUP(all_lmics1819[[Setting]:[Setting]],prev[],5,FALSE),VLOOKUP(all_lmics1819[[who_choice_region]:[who_choice_region]],missing[],4,FALSE))</f>
        <v>8.2500000000000004E-2</v>
      </c>
      <c r="L69">
        <f>IFERROR(VLOOKUP(all_lmics1819[[Setting]:[Setting]],prev[],7,FALSE),VLOOKUP(all_lmics1819[[who_choice_region]:[who_choice_region]],missing[],5,FALSE))</f>
        <v>1.3877551020408165E-2</v>
      </c>
      <c r="M69">
        <f>IFERROR(VLOOKUP(all_lmics1819[[Setting]:[Setting]],prev[],6,FALSE),0)</f>
        <v>186205</v>
      </c>
      <c r="N69">
        <f>IFERROR(VLOOKUP(all_lmics1819[[Setting]:[Setting]],SBA[],4,FALSE),VLOOKUP(all_lmics1819[[who_choice_region]:[who_choice_region]],missing[],6,FALSE))*0.95</f>
        <v>0.78374999999999995</v>
      </c>
      <c r="O69">
        <f>IFERROR(VLOOKUP(all_lmics1819[[Setting]:[Setting]], facility[], 3,FALSE),VLOOKUP(all_lmics1819[[who_choice_region]:[who_choice_region]],missing[],7,FALSE))*0.95</f>
        <v>0.77805000000000002</v>
      </c>
      <c r="P69">
        <f>IF(VLOOKUP(all_lmics1819[[Setting]:[Setting]],all_cause_mort[],4,FALSE)="",VLOOKUP(all_lmics1819[[who_choice_region]:[who_choice_region]],missing[],8,FALSE),VLOOKUP(all_lmics1819[[Setting]:[Setting]],all_cause_mort[],4,FALSE))*0.95</f>
        <v>1.293848605E-2</v>
      </c>
      <c r="Q69">
        <f>IF(VLOOKUP(all_lmics1819[[Setting]:[Setting]],all_cause_mort[],5,FALSE)="",VLOOKUP(all_lmics1819[[who_choice_region]:[who_choice_region]],missing[],9,FALSE),VLOOKUP(all_lmics1819[[Setting]:[Setting]],all_cause_mort[],5,FALSE))*0.95</f>
        <v>6.5901389799999995E-4</v>
      </c>
      <c r="R69">
        <f>IF(VLOOKUP(all_lmics1819[[Setting]:[Setting]],all_cause_mort[],6,FALSE)="",VLOOKUP(all_lmics1819[[who_choice_region]:[who_choice_region]],missing[],10,FALSE),VLOOKUP(all_lmics1819[[Setting]:[Setting]],all_cause_mort[],6,FALSE))*0.95</f>
        <v>2.5926216299999996E-4</v>
      </c>
      <c r="S69">
        <f>IF(VLOOKUP(all_lmics1819[[Setting]:[Setting]],all_cause_mort[],7,FALSE)="",VLOOKUP(all_lmics1819[[who_choice_region]:[who_choice_region]],missing[],11,FALSE),VLOOKUP(all_lmics1819[[Setting]:[Setting]],all_cause_mort[],7,FALSE))*0.95</f>
        <v>2.3637769850000002E-4</v>
      </c>
      <c r="T69">
        <f>IF(VLOOKUP(all_lmics1819[[Setting]:[Setting]],all_cause_mort[],8,FALSE)="",VLOOKUP(all_lmics1819[[who_choice_region]:[who_choice_region]],missing[],12,FALSE),VLOOKUP(all_lmics1819[[Setting]:[Setting]],all_cause_mort[],8,FALSE))*0.95</f>
        <v>5.4822386249999994E-4</v>
      </c>
      <c r="U69">
        <f>IF(VLOOKUP(all_lmics1819[[Setting]:[Setting]],all_cause_mort[],9,FALSE)="",VLOOKUP(all_lmics1819[[who_choice_region]:[who_choice_region]],missing[],13,FALSE),VLOOKUP(all_lmics1819[[Setting]:[Setting]],all_cause_mort[],9,FALSE))*0.95</f>
        <v>7.1269663099999994E-4</v>
      </c>
      <c r="V69">
        <f>IF(VLOOKUP(all_lmics1819[[Setting]:[Setting]],all_cause_mort[],10,FALSE)="",VLOOKUP(all_lmics1819[[who_choice_region]:[who_choice_region]],missing[],14,FALSE),VLOOKUP(all_lmics1819[[Setting]:[Setting]],all_cause_mort[],10,FALSE))*0.95</f>
        <v>7.2946947949999988E-4</v>
      </c>
      <c r="W69">
        <f>IF(VLOOKUP(all_lmics1819[[Setting]:[Setting]],all_cause_mort[],11,FALSE)="",VLOOKUP(all_lmics1819[[who_choice_region]:[who_choice_region]],missing[],15,FALSE),VLOOKUP(all_lmics1819[[Setting]:[Setting]],all_cause_mort[],11,FALSE))*0.95</f>
        <v>8.7413758849999991E-4</v>
      </c>
      <c r="X69">
        <f>IF(VLOOKUP(all_lmics1819[[Setting]:[Setting]],all_cause_mort[],12,FALSE)="",VLOOKUP(all_lmics1819[[who_choice_region]:[who_choice_region]],missing[],16,FALSE),VLOOKUP(all_lmics1819[[Setting]:[Setting]],all_cause_mort[],12,FALSE))*0.95</f>
        <v>1.225099955E-3</v>
      </c>
      <c r="Y69">
        <f>IF(VLOOKUP(all_lmics1819[[Setting]:[Setting]],all_cause_mort[],13,FALSE)="",VLOOKUP(all_lmics1819[[who_choice_region]:[who_choice_region]],missing[],17,FALSE),VLOOKUP(all_lmics1819[[Setting]:[Setting]],all_cause_mort[],13,FALSE))*0.95</f>
        <v>1.8911142700000002E-3</v>
      </c>
      <c r="Z69">
        <f>IF(VLOOKUP(all_lmics1819[[Setting]:[Setting]],all_cause_mort[],14,FALSE)="",VLOOKUP(all_lmics1819[[who_choice_region]:[who_choice_region]],missing[],18,FALSE),VLOOKUP(all_lmics1819[[Setting]:[Setting]],all_cause_mort[],14,FALSE))*0.95</f>
        <v>3.1251844099999997E-3</v>
      </c>
      <c r="AA69">
        <f>IF(VLOOKUP(all_lmics1819[[Setting]:[Setting]],all_cause_mort[],15,FALSE)="",VLOOKUP(all_lmics1819[[who_choice_region]:[who_choice_region]],missing[],19,FALSE),VLOOKUP(all_lmics1819[[Setting]:[Setting]],all_cause_mort[],15,FALSE))*0.95</f>
        <v>5.1157769800000003E-3</v>
      </c>
      <c r="AB69">
        <f>IF(VLOOKUP(all_lmics1819[[Setting]:[Setting]],all_cause_mort[],16,FALSE)="",VLOOKUP(all_lmics1819[[who_choice_region]:[who_choice_region]],missing[],20,FALSE),VLOOKUP(all_lmics1819[[Setting]:[Setting]],all_cause_mort[],16,FALSE))*0.95</f>
        <v>8.3379614250000001E-3</v>
      </c>
      <c r="AC69">
        <f>IF(VLOOKUP(all_lmics1819[[Setting]:[Setting]],all_cause_mort[],17,FALSE)="",VLOOKUP(all_lmics1819[[who_choice_region]:[who_choice_region]],missing[],21,FALSE),VLOOKUP(all_lmics1819[[Setting]:[Setting]],all_cause_mort[],17,FALSE))*0.95</f>
        <v>1.4976076449999999E-2</v>
      </c>
      <c r="AD69">
        <f>IF(VLOOKUP(all_lmics1819[[Setting]:[Setting]],all_cause_mort[],18,FALSE)="",VLOOKUP(all_lmics1819[[who_choice_region]:[who_choice_region]],missing[],22,FALSE),VLOOKUP(all_lmics1819[[Setting]:[Setting]],all_cause_mort[],18,FALSE))*0.95</f>
        <v>2.6791275849999997E-2</v>
      </c>
      <c r="AE69">
        <f>IF(VLOOKUP(all_lmics1819[[Setting]:[Setting]],all_cause_mort[],19,FALSE)="",VLOOKUP(all_lmics1819[[who_choice_region]:[who_choice_region]],missing[],23,FALSE),VLOOKUP(all_lmics1819[[Setting]:[Setting]],all_cause_mort[],19,FALSE))*0.95</f>
        <v>4.5844240249999994E-2</v>
      </c>
      <c r="AF69">
        <f>IF(VLOOKUP(all_lmics1819[[Setting]:[Setting]],all_cause_mort[],20,FALSE)="",VLOOKUP(all_lmics1819[[who_choice_region]:[who_choice_region]],missing[],24,FALSE),VLOOKUP(all_lmics1819[[Setting]:[Setting]],all_cause_mort[],20,FALSE))*0.95</f>
        <v>7.68862778E-2</v>
      </c>
      <c r="AG69">
        <f>IF(VLOOKUP(all_lmics1819[[Setting]:[Setting]],all_cause_mort[],21,FALSE)="",VLOOKUP(all_lmics1819[[who_choice_region]:[who_choice_region]],missing[],25,FALSE),VLOOKUP(all_lmics1819[[Setting]:[Setting]],all_cause_mort[],21,FALSE))*0.95</f>
        <v>0.12735228799999998</v>
      </c>
      <c r="AH69">
        <f>IF(VLOOKUP(all_lmics1819[[Setting]:[Setting]],all_cause_mort[],22,FALSE)="",VLOOKUP(all_lmics1819[[who_choice_region]:[who_choice_region]],missing[],26,FALSE),VLOOKUP(all_lmics1819[[Setting]:[Setting]],all_cause_mort[],22,FALSE))*0.95</f>
        <v>0.20663998149999999</v>
      </c>
      <c r="AI69">
        <f>IF(VLOOKUP(all_lmics1819[[Setting]:[Setting]],all_cause_mort[],23,FALSE)="",VLOOKUP(all_lmics1819[[who_choice_region]:[who_choice_region]],missing[],27,FALSE),VLOOKUP(all_lmics1819[[Setting]:[Setting]],all_cause_mort[],23,FALSE))*0.95</f>
        <v>0.3173783845</v>
      </c>
      <c r="AJ69">
        <f>IF(VLOOKUP(all_lmics1819[[Setting]:[Setting]],all_cause_mort[],24,FALSE)="",VLOOKUP(all_lmics1819[[who_choice_region]:[who_choice_region]],missing[],28,FALSE),VLOOKUP(all_lmics1819[[Setting]:[Setting]],all_cause_mort[],24,FALSE))*0.95</f>
        <v>0.46003890599999997</v>
      </c>
      <c r="AK69">
        <f>IF(VLOOKUP(all_lmics1819[[Setting]:[Setting]],all_cause_mort[],25,FALSE)="",VLOOKUP(all_lmics1819[[who_choice_region]:[who_choice_region]],missing[],29,FALSE),VLOOKUP(all_lmics1819[[Setting]:[Setting]],all_cause_mort[],25,FALSE))*0.95</f>
        <v>0.62729312780569202</v>
      </c>
      <c r="AL69">
        <f>VLOOKUP(all_lmics1819[[worldbank_region]:[worldbank_region]],Table13[],2,FALSE)*0.95</f>
        <v>69.411165749999981</v>
      </c>
      <c r="AM69">
        <f>VLOOKUP(all_lmics1819[[worldbank_region]:[worldbank_region]],Table13[],3,FALSE)*0.95</f>
        <v>69.411165749999981</v>
      </c>
      <c r="AN69">
        <f>VLOOKUP(all_lmics1819[[worldbank_region]:[worldbank_region]],Table13[],4,FALSE)*0.95</f>
        <v>114.75358274999998</v>
      </c>
      <c r="AO69">
        <f>VLOOKUP(all_lmics1819[[worldbank_region]:[worldbank_region]],Table13[],5,FALSE)*0.95</f>
        <v>114.75358274999998</v>
      </c>
      <c r="AP69">
        <f>VLOOKUP(all_lmics1819[[worldbank_region]:[worldbank_region]],Table13[],6,FALSE)*0.95</f>
        <v>114.75358274999998</v>
      </c>
      <c r="AQ69">
        <f>VLOOKUP(all_lmics1819[[worldbank_region]:[worldbank_region]],Table14[],2,FALSE)*0.95</f>
        <v>1.2732755</v>
      </c>
      <c r="AR69">
        <f>VLOOKUP(all_lmics1819[[worldbank_region]:[worldbank_region]],Table14[],3,FALSE)*0.95</f>
        <v>1.8599005</v>
      </c>
      <c r="AS69">
        <f>VLOOKUP(all_lmics1819[[worldbank_region]:[worldbank_region]],Table14[],4,FALSE)*0.95</f>
        <v>1.8737001999999996</v>
      </c>
      <c r="AT69">
        <f>VLOOKUP(all_lmics1819[[worldbank_region]:[worldbank_region]],Table14[],5,FALSE)*0.95</f>
        <v>2.4603251999999998</v>
      </c>
      <c r="AU69">
        <f>VLOOKUP(all_lmics1819[[worldbank_region]:[worldbank_region]],Table14[],6,FALSE)*0.95</f>
        <v>3.0020645999999997</v>
      </c>
      <c r="AV69">
        <f>IFERROR(VLOOKUP(all_lmics1819[[Setting]:[Setting]],nFacSBA[],4,FALSE),VLOOKUP(all_lmics1819[[who_choice_region]:[who_choice_region]],missing[],30,FALSE))*0.95</f>
        <v>0.1518638670270247</v>
      </c>
      <c r="AW69">
        <f>VLOOKUP(all_lmics1819[[worldbank_region]:[worldbank_region]],hbe[],3)</f>
        <v>0.2</v>
      </c>
      <c r="AX69">
        <f>VLOOKUP(all_lmics1819[[worldbank_region]:[worldbank_region]],hbe[],6)</f>
        <v>0.75</v>
      </c>
      <c r="AY69">
        <f>VLOOKUP(all_lmics1819[[worldbank_region]:[worldbank_region]],hbe[],9)</f>
        <v>0.05</v>
      </c>
    </row>
    <row r="70" spans="1:51" x14ac:dyDescent="0.35">
      <c r="A70" s="12" t="s">
        <v>180</v>
      </c>
      <c r="B70" s="13" t="s">
        <v>33</v>
      </c>
      <c r="C70" s="14" t="s">
        <v>7</v>
      </c>
      <c r="D70">
        <f>VLOOKUP(all_lmics1819[[Setting]:[Setting]],populations[],9,FALSE)</f>
        <v>32938213</v>
      </c>
      <c r="E70">
        <f>VLOOKUP(all_lmics1819[[Setting]:[Setting]],birthrate[],3,FALSE)</f>
        <v>1.9562E-2</v>
      </c>
      <c r="F70">
        <f>all_lmics1819[[#This Row],[2017_population]]*all_lmics1819[[#This Row],[2016_birthrate]]</f>
        <v>644337.32270599995</v>
      </c>
      <c r="G70">
        <f>VLOOKUP(all_lmics1819[[Setting]:[Setting]],birthdose[],4,FALSE)*0.95</f>
        <v>0.91199999999999992</v>
      </c>
      <c r="H70">
        <f>VLOOKUP(all_lmics1819[[Setting]:[Setting]],fullvax[],4,FALSE)*0.95</f>
        <v>0.93099999999999994</v>
      </c>
      <c r="I70">
        <f>IFERROR(VLOOKUP(all_lmics1819[[Setting]:[Setting]],prev[],3,FALSE),VLOOKUP(all_lmics1819[[who_choice_region]:[who_choice_region]],missing[],2,FALSE))</f>
        <v>1.6E-2</v>
      </c>
      <c r="J70">
        <f>IFERROR(VLOOKUP(all_lmics1819[[Setting]:[Setting]],prev[],4,FALSE),VLOOKUP(all_lmics1819[[who_choice_region]:[who_choice_region]],missing[],3,FALSE))</f>
        <v>1.0999999999999999E-2</v>
      </c>
      <c r="K70">
        <f>IFERROR(VLOOKUP(all_lmics1819[[Setting]:[Setting]],prev[],5,FALSE),VLOOKUP(all_lmics1819[[who_choice_region]:[who_choice_region]],missing[],4,FALSE))</f>
        <v>1.9E-2</v>
      </c>
      <c r="L70">
        <f>IFERROR(VLOOKUP(all_lmics1819[[Setting]:[Setting]],prev[],7,FALSE),VLOOKUP(all_lmics1819[[who_choice_region]:[who_choice_region]],missing[],5,FALSE))</f>
        <v>1.5306122448979589E-3</v>
      </c>
      <c r="M70">
        <f>IFERROR(VLOOKUP(all_lmics1819[[Setting]:[Setting]],prev[],6,FALSE),0)</f>
        <v>32938213</v>
      </c>
      <c r="N70">
        <f>IFERROR(VLOOKUP(all_lmics1819[[Setting]:[Setting]],SBA[],4,FALSE),VLOOKUP(all_lmics1819[[who_choice_region]:[who_choice_region]],missing[],6,FALSE))*0.95</f>
        <v>0.93099999999999994</v>
      </c>
      <c r="O70">
        <f>IFERROR(VLOOKUP(all_lmics1819[[Setting]:[Setting]], facility[], 3,FALSE),VLOOKUP(all_lmics1819[[who_choice_region]:[who_choice_region]],missing[],7,FALSE))*0.95</f>
        <v>0.86449999999999994</v>
      </c>
      <c r="P70">
        <f>IF(VLOOKUP(all_lmics1819[[Setting]:[Setting]],all_cause_mort[],4,FALSE)="",VLOOKUP(all_lmics1819[[who_choice_region]:[who_choice_region]],missing[],8,FALSE),VLOOKUP(all_lmics1819[[Setting]:[Setting]],all_cause_mort[],4,FALSE))*0.95</f>
        <v>6.0248970549999998E-3</v>
      </c>
      <c r="Q70">
        <f>IF(VLOOKUP(all_lmics1819[[Setting]:[Setting]],all_cause_mort[],5,FALSE)="",VLOOKUP(all_lmics1819[[who_choice_region]:[who_choice_region]],missing[],9,FALSE),VLOOKUP(all_lmics1819[[Setting]:[Setting]],all_cause_mort[],5,FALSE))*0.95</f>
        <v>2.5129385750000002E-4</v>
      </c>
      <c r="R70">
        <f>IF(VLOOKUP(all_lmics1819[[Setting]:[Setting]],all_cause_mort[],6,FALSE)="",VLOOKUP(all_lmics1819[[who_choice_region]:[who_choice_region]],missing[],10,FALSE),VLOOKUP(all_lmics1819[[Setting]:[Setting]],all_cause_mort[],6,FALSE))*0.95</f>
        <v>5.1563323849999996E-4</v>
      </c>
      <c r="S70">
        <f>IF(VLOOKUP(all_lmics1819[[Setting]:[Setting]],all_cause_mort[],7,FALSE)="",VLOOKUP(all_lmics1819[[who_choice_region]:[who_choice_region]],missing[],11,FALSE),VLOOKUP(all_lmics1819[[Setting]:[Setting]],all_cause_mort[],7,FALSE))*0.95</f>
        <v>5.3401789500000002E-4</v>
      </c>
      <c r="T70">
        <f>IF(VLOOKUP(all_lmics1819[[Setting]:[Setting]],all_cause_mort[],8,FALSE)="",VLOOKUP(all_lmics1819[[who_choice_region]:[who_choice_region]],missing[],12,FALSE),VLOOKUP(all_lmics1819[[Setting]:[Setting]],all_cause_mort[],8,FALSE))*0.95</f>
        <v>8.5112881650000003E-4</v>
      </c>
      <c r="U70">
        <f>IF(VLOOKUP(all_lmics1819[[Setting]:[Setting]],all_cause_mort[],9,FALSE)="",VLOOKUP(all_lmics1819[[who_choice_region]:[who_choice_region]],missing[],13,FALSE),VLOOKUP(all_lmics1819[[Setting]:[Setting]],all_cause_mort[],9,FALSE))*0.95</f>
        <v>9.3639139249999991E-4</v>
      </c>
      <c r="V70">
        <f>IF(VLOOKUP(all_lmics1819[[Setting]:[Setting]],all_cause_mort[],10,FALSE)="",VLOOKUP(all_lmics1819[[who_choice_region]:[who_choice_region]],missing[],14,FALSE),VLOOKUP(all_lmics1819[[Setting]:[Setting]],all_cause_mort[],10,FALSE))*0.95</f>
        <v>5.7783199950000002E-4</v>
      </c>
      <c r="W70">
        <f>IF(VLOOKUP(all_lmics1819[[Setting]:[Setting]],all_cause_mort[],11,FALSE)="",VLOOKUP(all_lmics1819[[who_choice_region]:[who_choice_region]],missing[],15,FALSE),VLOOKUP(all_lmics1819[[Setting]:[Setting]],all_cause_mort[],11,FALSE))*0.95</f>
        <v>5.0248018449999994E-4</v>
      </c>
      <c r="X70">
        <f>IF(VLOOKUP(all_lmics1819[[Setting]:[Setting]],all_cause_mort[],12,FALSE)="",VLOOKUP(all_lmics1819[[who_choice_region]:[who_choice_region]],missing[],16,FALSE),VLOOKUP(all_lmics1819[[Setting]:[Setting]],all_cause_mort[],12,FALSE))*0.95</f>
        <v>8.9973974649999993E-4</v>
      </c>
      <c r="Y70">
        <f>IF(VLOOKUP(all_lmics1819[[Setting]:[Setting]],all_cause_mort[],13,FALSE)="",VLOOKUP(all_lmics1819[[who_choice_region]:[who_choice_region]],missing[],17,FALSE),VLOOKUP(all_lmics1819[[Setting]:[Setting]],all_cause_mort[],13,FALSE))*0.95</f>
        <v>1.6225139299999999E-3</v>
      </c>
      <c r="Z70">
        <f>IF(VLOOKUP(all_lmics1819[[Setting]:[Setting]],all_cause_mort[],14,FALSE)="",VLOOKUP(all_lmics1819[[who_choice_region]:[who_choice_region]],missing[],18,FALSE),VLOOKUP(all_lmics1819[[Setting]:[Setting]],all_cause_mort[],14,FALSE))*0.95</f>
        <v>2.0451955300000001E-3</v>
      </c>
      <c r="AA70">
        <f>IF(VLOOKUP(all_lmics1819[[Setting]:[Setting]],all_cause_mort[],15,FALSE)="",VLOOKUP(all_lmics1819[[who_choice_region]:[who_choice_region]],missing[],19,FALSE),VLOOKUP(all_lmics1819[[Setting]:[Setting]],all_cause_mort[],15,FALSE))*0.95</f>
        <v>3.7733181099999999E-3</v>
      </c>
      <c r="AB70">
        <f>IF(VLOOKUP(all_lmics1819[[Setting]:[Setting]],all_cause_mort[],16,FALSE)="",VLOOKUP(all_lmics1819[[who_choice_region]:[who_choice_region]],missing[],20,FALSE),VLOOKUP(all_lmics1819[[Setting]:[Setting]],all_cause_mort[],16,FALSE))*0.95</f>
        <v>5.9550693950000001E-3</v>
      </c>
      <c r="AC70">
        <f>IF(VLOOKUP(all_lmics1819[[Setting]:[Setting]],all_cause_mort[],17,FALSE)="",VLOOKUP(all_lmics1819[[who_choice_region]:[who_choice_region]],missing[],21,FALSE),VLOOKUP(all_lmics1819[[Setting]:[Setting]],all_cause_mort[],17,FALSE))*0.95</f>
        <v>1.5947914099999998E-2</v>
      </c>
      <c r="AD70">
        <f>IF(VLOOKUP(all_lmics1819[[Setting]:[Setting]],all_cause_mort[],18,FALSE)="",VLOOKUP(all_lmics1819[[who_choice_region]:[who_choice_region]],missing[],22,FALSE),VLOOKUP(all_lmics1819[[Setting]:[Setting]],all_cause_mort[],18,FALSE))*0.95</f>
        <v>2.280447545E-2</v>
      </c>
      <c r="AE70">
        <f>IF(VLOOKUP(all_lmics1819[[Setting]:[Setting]],all_cause_mort[],19,FALSE)="",VLOOKUP(all_lmics1819[[who_choice_region]:[who_choice_region]],missing[],23,FALSE),VLOOKUP(all_lmics1819[[Setting]:[Setting]],all_cause_mort[],19,FALSE))*0.95</f>
        <v>4.7140914249999999E-2</v>
      </c>
      <c r="AF70">
        <f>IF(VLOOKUP(all_lmics1819[[Setting]:[Setting]],all_cause_mort[],20,FALSE)="",VLOOKUP(all_lmics1819[[who_choice_region]:[who_choice_region]],missing[],24,FALSE),VLOOKUP(all_lmics1819[[Setting]:[Setting]],all_cause_mort[],20,FALSE))*0.95</f>
        <v>6.3619483149999989E-2</v>
      </c>
      <c r="AG70">
        <f>IF(VLOOKUP(all_lmics1819[[Setting]:[Setting]],all_cause_mort[],21,FALSE)="",VLOOKUP(all_lmics1819[[who_choice_region]:[who_choice_region]],missing[],25,FALSE),VLOOKUP(all_lmics1819[[Setting]:[Setting]],all_cause_mort[],21,FALSE))*0.95</f>
        <v>0.10854881449999999</v>
      </c>
      <c r="AH70">
        <f>IF(VLOOKUP(all_lmics1819[[Setting]:[Setting]],all_cause_mort[],22,FALSE)="",VLOOKUP(all_lmics1819[[who_choice_region]:[who_choice_region]],missing[],26,FALSE),VLOOKUP(all_lmics1819[[Setting]:[Setting]],all_cause_mort[],22,FALSE))*0.95</f>
        <v>0.15891639900000001</v>
      </c>
      <c r="AI70">
        <f>IF(VLOOKUP(all_lmics1819[[Setting]:[Setting]],all_cause_mort[],23,FALSE)="",VLOOKUP(all_lmics1819[[who_choice_region]:[who_choice_region]],missing[],27,FALSE),VLOOKUP(all_lmics1819[[Setting]:[Setting]],all_cause_mort[],23,FALSE))*0.95</f>
        <v>0.22391984499999998</v>
      </c>
      <c r="AJ70">
        <f>IF(VLOOKUP(all_lmics1819[[Setting]:[Setting]],all_cause_mort[],24,FALSE)="",VLOOKUP(all_lmics1819[[who_choice_region]:[who_choice_region]],missing[],28,FALSE),VLOOKUP(all_lmics1819[[Setting]:[Setting]],all_cause_mort[],24,FALSE))*0.95</f>
        <v>0.31419482049999997</v>
      </c>
      <c r="AK70">
        <f>IF(VLOOKUP(all_lmics1819[[Setting]:[Setting]],all_cause_mort[],25,FALSE)="",VLOOKUP(all_lmics1819[[who_choice_region]:[who_choice_region]],missing[],29,FALSE),VLOOKUP(all_lmics1819[[Setting]:[Setting]],all_cause_mort[],25,FALSE))*0.95</f>
        <v>0.43771459533976759</v>
      </c>
      <c r="AL70">
        <f>VLOOKUP(all_lmics1819[[worldbank_region]:[worldbank_region]],Table13[],2,FALSE)*0.95</f>
        <v>55.011325099999993</v>
      </c>
      <c r="AM70">
        <f>VLOOKUP(all_lmics1819[[worldbank_region]:[worldbank_region]],Table13[],3,FALSE)*0.95</f>
        <v>55.011325099999993</v>
      </c>
      <c r="AN70">
        <f>VLOOKUP(all_lmics1819[[worldbank_region]:[worldbank_region]],Table13[],4,FALSE)*0.95</f>
        <v>100.35374209999999</v>
      </c>
      <c r="AO70">
        <f>VLOOKUP(all_lmics1819[[worldbank_region]:[worldbank_region]],Table13[],5,FALSE)*0.95</f>
        <v>100.35374209999999</v>
      </c>
      <c r="AP70">
        <f>VLOOKUP(all_lmics1819[[worldbank_region]:[worldbank_region]],Table13[],6,FALSE)*0.95</f>
        <v>100.35374209999999</v>
      </c>
      <c r="AQ70">
        <f>VLOOKUP(all_lmics1819[[worldbank_region]:[worldbank_region]],Table14[],2,FALSE)*0.95</f>
        <v>1.4285577499999997</v>
      </c>
      <c r="AR70">
        <f>VLOOKUP(all_lmics1819[[worldbank_region]:[worldbank_region]],Table14[],3,FALSE)*0.95</f>
        <v>2.0151827500000001</v>
      </c>
      <c r="AS70">
        <f>VLOOKUP(all_lmics1819[[worldbank_region]:[worldbank_region]],Table14[],4,FALSE)*0.95</f>
        <v>1.8840523499999997</v>
      </c>
      <c r="AT70">
        <f>VLOOKUP(all_lmics1819[[worldbank_region]:[worldbank_region]],Table14[],5,FALSE)*0.95</f>
        <v>2.4706773499999999</v>
      </c>
      <c r="AU70">
        <f>VLOOKUP(all_lmics1819[[worldbank_region]:[worldbank_region]],Table14[],6,FALSE)*0.95</f>
        <v>3.0124167499999999</v>
      </c>
      <c r="AV70">
        <f>IFERROR(VLOOKUP(all_lmics1819[[Setting]:[Setting]],nFacSBA[],4,FALSE),VLOOKUP(all_lmics1819[[who_choice_region]:[who_choice_region]],missing[],30,FALSE))*0.95</f>
        <v>0.368442657134743</v>
      </c>
      <c r="AW70">
        <f>VLOOKUP(all_lmics1819[[worldbank_region]:[worldbank_region]],hbe[],3)</f>
        <v>0.2</v>
      </c>
      <c r="AX70">
        <f>VLOOKUP(all_lmics1819[[worldbank_region]:[worldbank_region]],hbe[],6)</f>
        <v>0.75</v>
      </c>
      <c r="AY70">
        <f>VLOOKUP(all_lmics1819[[worldbank_region]:[worldbank_region]],hbe[],9)</f>
        <v>0.05</v>
      </c>
    </row>
    <row r="71" spans="1:51" x14ac:dyDescent="0.35">
      <c r="A71" s="8" t="s">
        <v>181</v>
      </c>
      <c r="B71" s="10" t="s">
        <v>14</v>
      </c>
      <c r="C71" s="11" t="s">
        <v>15</v>
      </c>
      <c r="D71">
        <f>VLOOKUP(all_lmics1819[[Setting]:[Setting]],populations[],9,FALSE)</f>
        <v>15850567</v>
      </c>
      <c r="E71">
        <f>VLOOKUP(all_lmics1819[[Setting]:[Setting]],birthrate[],3,FALSE)</f>
        <v>3.5598999999999999E-2</v>
      </c>
      <c r="F71">
        <f>all_lmics1819[[#This Row],[2017_population]]*all_lmics1819[[#This Row],[2016_birthrate]]</f>
        <v>564264.33463299996</v>
      </c>
      <c r="G71">
        <f>VLOOKUP(all_lmics1819[[Setting]:[Setting]],birthdose[],4,FALSE)*0.95</f>
        <v>0.68399999999999994</v>
      </c>
      <c r="H71">
        <f>VLOOKUP(all_lmics1819[[Setting]:[Setting]],fullvax[],4,FALSE)*0.95</f>
        <v>0.86449999999999994</v>
      </c>
      <c r="I71">
        <f>IFERROR(VLOOKUP(all_lmics1819[[Setting]:[Setting]],prev[],3,FALSE),VLOOKUP(all_lmics1819[[who_choice_region]:[who_choice_region]],missing[],2,FALSE))</f>
        <v>8.1000000000000003E-2</v>
      </c>
      <c r="J71">
        <f>IFERROR(VLOOKUP(all_lmics1819[[Setting]:[Setting]],prev[],4,FALSE),VLOOKUP(all_lmics1819[[who_choice_region]:[who_choice_region]],missing[],3,FALSE))</f>
        <v>7.4999999999999997E-2</v>
      </c>
      <c r="K71">
        <f>IFERROR(VLOOKUP(all_lmics1819[[Setting]:[Setting]],prev[],5,FALSE),VLOOKUP(all_lmics1819[[who_choice_region]:[who_choice_region]],missing[],4,FALSE))</f>
        <v>0.09</v>
      </c>
      <c r="L71">
        <f>IFERROR(VLOOKUP(all_lmics1819[[Setting]:[Setting]],prev[],7,FALSE),VLOOKUP(all_lmics1819[[who_choice_region]:[who_choice_region]],missing[],5,FALSE))</f>
        <v>4.5918367346938745E-3</v>
      </c>
      <c r="M71">
        <f>IFERROR(VLOOKUP(all_lmics1819[[Setting]:[Setting]],prev[],6,FALSE),0)</f>
        <v>15850567</v>
      </c>
      <c r="N71">
        <f>IFERROR(VLOOKUP(all_lmics1819[[Setting]:[Setting]],SBA[],4,FALSE),VLOOKUP(all_lmics1819[[who_choice_region]:[who_choice_region]],missing[],6,FALSE))*0.95</f>
        <v>0.55669999999999997</v>
      </c>
      <c r="O71">
        <f>IFERROR(VLOOKUP(all_lmics1819[[Setting]:[Setting]], facility[], 3,FALSE),VLOOKUP(all_lmics1819[[who_choice_region]:[who_choice_region]],missing[],7,FALSE))*0.95</f>
        <v>0.70774999999999999</v>
      </c>
      <c r="P71">
        <f>IF(VLOOKUP(all_lmics1819[[Setting]:[Setting]],all_cause_mort[],4,FALSE)="",VLOOKUP(all_lmics1819[[who_choice_region]:[who_choice_region]],missing[],8,FALSE),VLOOKUP(all_lmics1819[[Setting]:[Setting]],all_cause_mort[],4,FALSE))*0.95</f>
        <v>3.2016469649999997E-2</v>
      </c>
      <c r="Q71">
        <f>IF(VLOOKUP(all_lmics1819[[Setting]:[Setting]],all_cause_mort[],5,FALSE)="",VLOOKUP(all_lmics1819[[who_choice_region]:[who_choice_region]],missing[],9,FALSE),VLOOKUP(all_lmics1819[[Setting]:[Setting]],all_cause_mort[],5,FALSE))*0.95</f>
        <v>2.938443385E-3</v>
      </c>
      <c r="R71">
        <f>IF(VLOOKUP(all_lmics1819[[Setting]:[Setting]],all_cause_mort[],6,FALSE)="",VLOOKUP(all_lmics1819[[who_choice_region]:[who_choice_region]],missing[],10,FALSE),VLOOKUP(all_lmics1819[[Setting]:[Setting]],all_cause_mort[],6,FALSE))*0.95</f>
        <v>1.17873891E-3</v>
      </c>
      <c r="S71">
        <f>IF(VLOOKUP(all_lmics1819[[Setting]:[Setting]],all_cause_mort[],7,FALSE)="",VLOOKUP(all_lmics1819[[who_choice_region]:[who_choice_region]],missing[],11,FALSE),VLOOKUP(all_lmics1819[[Setting]:[Setting]],all_cause_mort[],7,FALSE))*0.95</f>
        <v>8.2376363899999997E-4</v>
      </c>
      <c r="T71">
        <f>IF(VLOOKUP(all_lmics1819[[Setting]:[Setting]],all_cause_mort[],8,FALSE)="",VLOOKUP(all_lmics1819[[who_choice_region]:[who_choice_region]],missing[],12,FALSE),VLOOKUP(all_lmics1819[[Setting]:[Setting]],all_cause_mort[],8,FALSE))*0.95</f>
        <v>1.2836376249999999E-3</v>
      </c>
      <c r="U71">
        <f>IF(VLOOKUP(all_lmics1819[[Setting]:[Setting]],all_cause_mort[],9,FALSE)="",VLOOKUP(all_lmics1819[[who_choice_region]:[who_choice_region]],missing[],13,FALSE),VLOOKUP(all_lmics1819[[Setting]:[Setting]],all_cause_mort[],9,FALSE))*0.95</f>
        <v>1.8694507549999997E-3</v>
      </c>
      <c r="V71">
        <f>IF(VLOOKUP(all_lmics1819[[Setting]:[Setting]],all_cause_mort[],10,FALSE)="",VLOOKUP(all_lmics1819[[who_choice_region]:[who_choice_region]],missing[],14,FALSE),VLOOKUP(all_lmics1819[[Setting]:[Setting]],all_cause_mort[],10,FALSE))*0.95</f>
        <v>2.0308388450000002E-3</v>
      </c>
      <c r="W71">
        <f>IF(VLOOKUP(all_lmics1819[[Setting]:[Setting]],all_cause_mort[],11,FALSE)="",VLOOKUP(all_lmics1819[[who_choice_region]:[who_choice_region]],missing[],15,FALSE),VLOOKUP(all_lmics1819[[Setting]:[Setting]],all_cause_mort[],11,FALSE))*0.95</f>
        <v>2.3717086299999998E-3</v>
      </c>
      <c r="X71">
        <f>IF(VLOOKUP(all_lmics1819[[Setting]:[Setting]],all_cause_mort[],12,FALSE)="",VLOOKUP(all_lmics1819[[who_choice_region]:[who_choice_region]],missing[],16,FALSE),VLOOKUP(all_lmics1819[[Setting]:[Setting]],all_cause_mort[],12,FALSE))*0.95</f>
        <v>2.8446092250000001E-3</v>
      </c>
      <c r="Y71">
        <f>IF(VLOOKUP(all_lmics1819[[Setting]:[Setting]],all_cause_mort[],13,FALSE)="",VLOOKUP(all_lmics1819[[who_choice_region]:[who_choice_region]],missing[],17,FALSE),VLOOKUP(all_lmics1819[[Setting]:[Setting]],all_cause_mort[],13,FALSE))*0.95</f>
        <v>3.7687345499999997E-3</v>
      </c>
      <c r="Z71">
        <f>IF(VLOOKUP(all_lmics1819[[Setting]:[Setting]],all_cause_mort[],14,FALSE)="",VLOOKUP(all_lmics1819[[who_choice_region]:[who_choice_region]],missing[],18,FALSE),VLOOKUP(all_lmics1819[[Setting]:[Setting]],all_cause_mort[],14,FALSE))*0.95</f>
        <v>5.0444818549999996E-3</v>
      </c>
      <c r="AA71">
        <f>IF(VLOOKUP(all_lmics1819[[Setting]:[Setting]],all_cause_mort[],15,FALSE)="",VLOOKUP(all_lmics1819[[who_choice_region]:[who_choice_region]],missing[],19,FALSE),VLOOKUP(all_lmics1819[[Setting]:[Setting]],all_cause_mort[],15,FALSE))*0.95</f>
        <v>7.4687841950000005E-3</v>
      </c>
      <c r="AB71">
        <f>IF(VLOOKUP(all_lmics1819[[Setting]:[Setting]],all_cause_mort[],16,FALSE)="",VLOOKUP(all_lmics1819[[who_choice_region]:[who_choice_region]],missing[],20,FALSE),VLOOKUP(all_lmics1819[[Setting]:[Setting]],all_cause_mort[],16,FALSE))*0.95</f>
        <v>1.1017629749999999E-2</v>
      </c>
      <c r="AC71">
        <f>IF(VLOOKUP(all_lmics1819[[Setting]:[Setting]],all_cause_mort[],17,FALSE)="",VLOOKUP(all_lmics1819[[who_choice_region]:[who_choice_region]],missing[],21,FALSE),VLOOKUP(all_lmics1819[[Setting]:[Setting]],all_cause_mort[],17,FALSE))*0.95</f>
        <v>1.7556420849999997E-2</v>
      </c>
      <c r="AD71">
        <f>IF(VLOOKUP(all_lmics1819[[Setting]:[Setting]],all_cause_mort[],18,FALSE)="",VLOOKUP(all_lmics1819[[who_choice_region]:[who_choice_region]],missing[],22,FALSE),VLOOKUP(all_lmics1819[[Setting]:[Setting]],all_cause_mort[],18,FALSE))*0.95</f>
        <v>2.8458790899999996E-2</v>
      </c>
      <c r="AE71">
        <f>IF(VLOOKUP(all_lmics1819[[Setting]:[Setting]],all_cause_mort[],19,FALSE)="",VLOOKUP(all_lmics1819[[who_choice_region]:[who_choice_region]],missing[],23,FALSE),VLOOKUP(all_lmics1819[[Setting]:[Setting]],all_cause_mort[],19,FALSE))*0.95</f>
        <v>4.9707210049999999E-2</v>
      </c>
      <c r="AF71">
        <f>IF(VLOOKUP(all_lmics1819[[Setting]:[Setting]],all_cause_mort[],20,FALSE)="",VLOOKUP(all_lmics1819[[who_choice_region]:[who_choice_region]],missing[],24,FALSE),VLOOKUP(all_lmics1819[[Setting]:[Setting]],all_cause_mort[],20,FALSE))*0.95</f>
        <v>8.7022594450000004E-2</v>
      </c>
      <c r="AG71">
        <f>IF(VLOOKUP(all_lmics1819[[Setting]:[Setting]],all_cause_mort[],21,FALSE)="",VLOOKUP(all_lmics1819[[who_choice_region]:[who_choice_region]],missing[],25,FALSE),VLOOKUP(all_lmics1819[[Setting]:[Setting]],all_cause_mort[],21,FALSE))*0.95</f>
        <v>0.1495651975</v>
      </c>
      <c r="AH71">
        <f>IF(VLOOKUP(all_lmics1819[[Setting]:[Setting]],all_cause_mort[],22,FALSE)="",VLOOKUP(all_lmics1819[[who_choice_region]:[who_choice_region]],missing[],26,FALSE),VLOOKUP(all_lmics1819[[Setting]:[Setting]],all_cause_mort[],22,FALSE))*0.95</f>
        <v>0.24100208949999996</v>
      </c>
      <c r="AI71">
        <f>IF(VLOOKUP(all_lmics1819[[Setting]:[Setting]],all_cause_mort[],23,FALSE)="",VLOOKUP(all_lmics1819[[who_choice_region]:[who_choice_region]],missing[],27,FALSE),VLOOKUP(all_lmics1819[[Setting]:[Setting]],all_cause_mort[],23,FALSE))*0.95</f>
        <v>0.36310614999999996</v>
      </c>
      <c r="AJ71">
        <f>IF(VLOOKUP(all_lmics1819[[Setting]:[Setting]],all_cause_mort[],24,FALSE)="",VLOOKUP(all_lmics1819[[who_choice_region]:[who_choice_region]],missing[],28,FALSE),VLOOKUP(all_lmics1819[[Setting]:[Setting]],all_cause_mort[],24,FALSE))*0.95</f>
        <v>0.49046925849999995</v>
      </c>
      <c r="AK71">
        <f>IF(VLOOKUP(all_lmics1819[[Setting]:[Setting]],all_cause_mort[],25,FALSE)="",VLOOKUP(all_lmics1819[[who_choice_region]:[who_choice_region]],missing[],29,FALSE),VLOOKUP(all_lmics1819[[Setting]:[Setting]],all_cause_mort[],25,FALSE))*0.95</f>
        <v>0.80174046884601102</v>
      </c>
      <c r="AL71">
        <f>VLOOKUP(all_lmics1819[[worldbank_region]:[worldbank_region]],Table13[],2,FALSE)*0.95</f>
        <v>28.416651749999996</v>
      </c>
      <c r="AM71">
        <f>VLOOKUP(all_lmics1819[[worldbank_region]:[worldbank_region]],Table13[],3,FALSE)*0.95</f>
        <v>28.416651749999996</v>
      </c>
      <c r="AN71">
        <f>VLOOKUP(all_lmics1819[[worldbank_region]:[worldbank_region]],Table13[],4,FALSE)*0.95</f>
        <v>73.759068749999983</v>
      </c>
      <c r="AO71">
        <f>VLOOKUP(all_lmics1819[[worldbank_region]:[worldbank_region]],Table13[],5,FALSE)*0.95</f>
        <v>73.759068749999983</v>
      </c>
      <c r="AP71">
        <f>VLOOKUP(all_lmics1819[[worldbank_region]:[worldbank_region]],Table13[],6,FALSE)*0.95</f>
        <v>73.759068749999983</v>
      </c>
      <c r="AQ71">
        <f>VLOOKUP(all_lmics1819[[worldbank_region]:[worldbank_region]],Table14[],2,FALSE)*0.95</f>
        <v>0.92130239999999997</v>
      </c>
      <c r="AR71">
        <f>VLOOKUP(all_lmics1819[[worldbank_region]:[worldbank_region]],Table14[],3,FALSE)*0.95</f>
        <v>1.5079274</v>
      </c>
      <c r="AS71">
        <f>VLOOKUP(all_lmics1819[[worldbank_region]:[worldbank_region]],Table14[],4,FALSE)*0.95</f>
        <v>5.5073048499999988</v>
      </c>
      <c r="AT71">
        <f>VLOOKUP(all_lmics1819[[worldbank_region]:[worldbank_region]],Table14[],5,FALSE)*0.95</f>
        <v>6.0939298499999985</v>
      </c>
      <c r="AU71">
        <f>VLOOKUP(all_lmics1819[[worldbank_region]:[worldbank_region]],Table14[],6,FALSE)*0.95</f>
        <v>6.6356692499999985</v>
      </c>
      <c r="AV71">
        <f>IFERROR(VLOOKUP(all_lmics1819[[Setting]:[Setting]],nFacSBA[],4,FALSE),VLOOKUP(all_lmics1819[[who_choice_region]:[who_choice_region]],missing[],30,FALSE))*0.95</f>
        <v>4.7644644660039585E-2</v>
      </c>
      <c r="AW71">
        <f>VLOOKUP(all_lmics1819[[worldbank_region]:[worldbank_region]],hbe[],3)</f>
        <v>0.2</v>
      </c>
      <c r="AX71">
        <f>VLOOKUP(all_lmics1819[[worldbank_region]:[worldbank_region]],hbe[],6)</f>
        <v>0.75</v>
      </c>
      <c r="AY71">
        <f>VLOOKUP(all_lmics1819[[worldbank_region]:[worldbank_region]],hbe[],9)</f>
        <v>0.05</v>
      </c>
    </row>
    <row r="72" spans="1:51" x14ac:dyDescent="0.35">
      <c r="A72" s="12" t="s">
        <v>188</v>
      </c>
      <c r="B72" s="13" t="s">
        <v>57</v>
      </c>
      <c r="C72" s="14" t="s">
        <v>58</v>
      </c>
      <c r="D72">
        <f>VLOOKUP(all_lmics1819[[Setting]:[Setting]],populations[],9,FALSE)</f>
        <v>611343</v>
      </c>
      <c r="E72">
        <f>VLOOKUP(all_lmics1819[[Setting]:[Setting]],birthrate[],3,FALSE)</f>
        <v>2.8713000000000002E-2</v>
      </c>
      <c r="F72">
        <f>all_lmics1819[[#This Row],[2017_population]]*all_lmics1819[[#This Row],[2016_birthrate]]</f>
        <v>17553.491559000002</v>
      </c>
      <c r="G72">
        <f>VLOOKUP(all_lmics1819[[Setting]:[Setting]],birthdose[],4,FALSE)*0.95</f>
        <v>0.63649999999999995</v>
      </c>
      <c r="H72">
        <f>VLOOKUP(all_lmics1819[[Setting]:[Setting]],fullvax[],4,FALSE)*0.95</f>
        <v>0.9405</v>
      </c>
      <c r="I72">
        <f>IFERROR(VLOOKUP(all_lmics1819[[Setting]:[Setting]],prev[],3,FALSE),VLOOKUP(all_lmics1819[[who_choice_region]:[who_choice_region]],missing[],2,FALSE))</f>
        <v>0.1883</v>
      </c>
      <c r="J72">
        <f>IFERROR(VLOOKUP(all_lmics1819[[Setting]:[Setting]],prev[],4,FALSE),VLOOKUP(all_lmics1819[[who_choice_region]:[who_choice_region]],missing[],3,FALSE))</f>
        <v>0.1757</v>
      </c>
      <c r="K72">
        <f>IFERROR(VLOOKUP(all_lmics1819[[Setting]:[Setting]],prev[],5,FALSE),VLOOKUP(all_lmics1819[[who_choice_region]:[who_choice_region]],missing[],4,FALSE))</f>
        <v>0.20150000000000001</v>
      </c>
      <c r="L72">
        <f>IFERROR(VLOOKUP(all_lmics1819[[Setting]:[Setting]],prev[],7,FALSE),VLOOKUP(all_lmics1819[[who_choice_region]:[who_choice_region]],missing[],5,FALSE))</f>
        <v>6.7346938775510292E-3</v>
      </c>
      <c r="M72">
        <f>IFERROR(VLOOKUP(all_lmics1819[[Setting]:[Setting]],prev[],6,FALSE),0)</f>
        <v>527790</v>
      </c>
      <c r="N72">
        <f>IFERROR(VLOOKUP(all_lmics1819[[Setting]:[Setting]],SBA[],4,FALSE),VLOOKUP(all_lmics1819[[who_choice_region]:[who_choice_region]],missing[],6,FALSE))*0.95</f>
        <v>0.81889999999999996</v>
      </c>
      <c r="O72">
        <f>IFERROR(VLOOKUP(all_lmics1819[[Setting]:[Setting]], facility[], 3,FALSE),VLOOKUP(all_lmics1819[[who_choice_region]:[who_choice_region]],missing[],7,FALSE))*0.95</f>
        <v>0.80274999999999996</v>
      </c>
      <c r="P72">
        <f>IF(VLOOKUP(all_lmics1819[[Setting]:[Setting]],all_cause_mort[],4,FALSE)="",VLOOKUP(all_lmics1819[[who_choice_region]:[who_choice_region]],missing[],8,FALSE),VLOOKUP(all_lmics1819[[Setting]:[Setting]],all_cause_mort[],4,FALSE))*0.95</f>
        <v>1.489273485E-2</v>
      </c>
      <c r="Q72">
        <f>IF(VLOOKUP(all_lmics1819[[Setting]:[Setting]],all_cause_mort[],5,FALSE)="",VLOOKUP(all_lmics1819[[who_choice_region]:[who_choice_region]],missing[],9,FALSE),VLOOKUP(all_lmics1819[[Setting]:[Setting]],all_cause_mort[],5,FALSE))*0.95</f>
        <v>1.1290816500000001E-3</v>
      </c>
      <c r="R72">
        <f>IF(VLOOKUP(all_lmics1819[[Setting]:[Setting]],all_cause_mort[],6,FALSE)="",VLOOKUP(all_lmics1819[[who_choice_region]:[who_choice_region]],missing[],10,FALSE),VLOOKUP(all_lmics1819[[Setting]:[Setting]],all_cause_mort[],6,FALSE))*0.95</f>
        <v>4.132900045E-4</v>
      </c>
      <c r="S72">
        <f>IF(VLOOKUP(all_lmics1819[[Setting]:[Setting]],all_cause_mort[],7,FALSE)="",VLOOKUP(all_lmics1819[[who_choice_region]:[who_choice_region]],missing[],11,FALSE),VLOOKUP(all_lmics1819[[Setting]:[Setting]],all_cause_mort[],7,FALSE))*0.95</f>
        <v>3.8056503150000001E-4</v>
      </c>
      <c r="T72">
        <f>IF(VLOOKUP(all_lmics1819[[Setting]:[Setting]],all_cause_mort[],8,FALSE)="",VLOOKUP(all_lmics1819[[who_choice_region]:[who_choice_region]],missing[],12,FALSE),VLOOKUP(all_lmics1819[[Setting]:[Setting]],all_cause_mort[],8,FALSE))*0.95</f>
        <v>8.3612706249999995E-4</v>
      </c>
      <c r="U72">
        <f>IF(VLOOKUP(all_lmics1819[[Setting]:[Setting]],all_cause_mort[],9,FALSE)="",VLOOKUP(all_lmics1819[[who_choice_region]:[who_choice_region]],missing[],13,FALSE),VLOOKUP(all_lmics1819[[Setting]:[Setting]],all_cause_mort[],9,FALSE))*0.95</f>
        <v>1.0967935250000001E-3</v>
      </c>
      <c r="V72">
        <f>IF(VLOOKUP(all_lmics1819[[Setting]:[Setting]],all_cause_mort[],10,FALSE)="",VLOOKUP(all_lmics1819[[who_choice_region]:[who_choice_region]],missing[],14,FALSE),VLOOKUP(all_lmics1819[[Setting]:[Setting]],all_cause_mort[],10,FALSE))*0.95</f>
        <v>1.1573304699999999E-3</v>
      </c>
      <c r="W72">
        <f>IF(VLOOKUP(all_lmics1819[[Setting]:[Setting]],all_cause_mort[],11,FALSE)="",VLOOKUP(all_lmics1819[[who_choice_region]:[who_choice_region]],missing[],15,FALSE),VLOOKUP(all_lmics1819[[Setting]:[Setting]],all_cause_mort[],11,FALSE))*0.95</f>
        <v>1.3761254449999999E-3</v>
      </c>
      <c r="X72">
        <f>IF(VLOOKUP(all_lmics1819[[Setting]:[Setting]],all_cause_mort[],12,FALSE)="",VLOOKUP(all_lmics1819[[who_choice_region]:[who_choice_region]],missing[],16,FALSE),VLOOKUP(all_lmics1819[[Setting]:[Setting]],all_cause_mort[],12,FALSE))*0.95</f>
        <v>1.855294425E-3</v>
      </c>
      <c r="Y72">
        <f>IF(VLOOKUP(all_lmics1819[[Setting]:[Setting]],all_cause_mort[],13,FALSE)="",VLOOKUP(all_lmics1819[[who_choice_region]:[who_choice_region]],missing[],17,FALSE),VLOOKUP(all_lmics1819[[Setting]:[Setting]],all_cause_mort[],13,FALSE))*0.95</f>
        <v>2.677464895E-3</v>
      </c>
      <c r="Z72">
        <f>IF(VLOOKUP(all_lmics1819[[Setting]:[Setting]],all_cause_mort[],14,FALSE)="",VLOOKUP(all_lmics1819[[who_choice_region]:[who_choice_region]],missing[],18,FALSE),VLOOKUP(all_lmics1819[[Setting]:[Setting]],all_cause_mort[],14,FALSE))*0.95</f>
        <v>4.1401184299999991E-3</v>
      </c>
      <c r="AA72">
        <f>IF(VLOOKUP(all_lmics1819[[Setting]:[Setting]],all_cause_mort[],15,FALSE)="",VLOOKUP(all_lmics1819[[who_choice_region]:[who_choice_region]],missing[],19,FALSE),VLOOKUP(all_lmics1819[[Setting]:[Setting]],all_cause_mort[],15,FALSE))*0.95</f>
        <v>6.4723703299999994E-3</v>
      </c>
      <c r="AB72">
        <f>IF(VLOOKUP(all_lmics1819[[Setting]:[Setting]],all_cause_mort[],16,FALSE)="",VLOOKUP(all_lmics1819[[who_choice_region]:[who_choice_region]],missing[],20,FALSE),VLOOKUP(all_lmics1819[[Setting]:[Setting]],all_cause_mort[],16,FALSE))*0.95</f>
        <v>1.0195004800000001E-2</v>
      </c>
      <c r="AC72">
        <f>IF(VLOOKUP(all_lmics1819[[Setting]:[Setting]],all_cause_mort[],17,FALSE)="",VLOOKUP(all_lmics1819[[who_choice_region]:[who_choice_region]],missing[],21,FALSE),VLOOKUP(all_lmics1819[[Setting]:[Setting]],all_cause_mort[],17,FALSE))*0.95</f>
        <v>1.5384896599999998E-2</v>
      </c>
      <c r="AD72">
        <f>IF(VLOOKUP(all_lmics1819[[Setting]:[Setting]],all_cause_mort[],18,FALSE)="",VLOOKUP(all_lmics1819[[who_choice_region]:[who_choice_region]],missing[],22,FALSE),VLOOKUP(all_lmics1819[[Setting]:[Setting]],all_cause_mort[],18,FALSE))*0.95</f>
        <v>2.3109176549999999E-2</v>
      </c>
      <c r="AE72">
        <f>IF(VLOOKUP(all_lmics1819[[Setting]:[Setting]],all_cause_mort[],19,FALSE)="",VLOOKUP(all_lmics1819[[who_choice_region]:[who_choice_region]],missing[],23,FALSE),VLOOKUP(all_lmics1819[[Setting]:[Setting]],all_cause_mort[],19,FALSE))*0.95</f>
        <v>3.6535081949999999E-2</v>
      </c>
      <c r="AF72">
        <f>IF(VLOOKUP(all_lmics1819[[Setting]:[Setting]],all_cause_mort[],20,FALSE)="",VLOOKUP(all_lmics1819[[who_choice_region]:[who_choice_region]],missing[],24,FALSE),VLOOKUP(all_lmics1819[[Setting]:[Setting]],all_cause_mort[],20,FALSE))*0.95</f>
        <v>6.1189110499999998E-2</v>
      </c>
      <c r="AG72">
        <f>IF(VLOOKUP(all_lmics1819[[Setting]:[Setting]],all_cause_mort[],21,FALSE)="",VLOOKUP(all_lmics1819[[who_choice_region]:[who_choice_region]],missing[],25,FALSE),VLOOKUP(all_lmics1819[[Setting]:[Setting]],all_cause_mort[],21,FALSE))*0.95</f>
        <v>0.100143471</v>
      </c>
      <c r="AH72">
        <f>IF(VLOOKUP(all_lmics1819[[Setting]:[Setting]],all_cause_mort[],22,FALSE)="",VLOOKUP(all_lmics1819[[who_choice_region]:[who_choice_region]],missing[],26,FALSE),VLOOKUP(all_lmics1819[[Setting]:[Setting]],all_cause_mort[],22,FALSE))*0.95</f>
        <v>0.16049158449999998</v>
      </c>
      <c r="AI72">
        <f>IF(VLOOKUP(all_lmics1819[[Setting]:[Setting]],all_cause_mort[],23,FALSE)="",VLOOKUP(all_lmics1819[[who_choice_region]:[who_choice_region]],missing[],27,FALSE),VLOOKUP(all_lmics1819[[Setting]:[Setting]],all_cause_mort[],23,FALSE))*0.95</f>
        <v>0.24140196350000001</v>
      </c>
      <c r="AJ72">
        <f>IF(VLOOKUP(all_lmics1819[[Setting]:[Setting]],all_cause_mort[],24,FALSE)="",VLOOKUP(all_lmics1819[[who_choice_region]:[who_choice_region]],missing[],28,FALSE),VLOOKUP(all_lmics1819[[Setting]:[Setting]],all_cause_mort[],24,FALSE))*0.95</f>
        <v>0.34439399999999998</v>
      </c>
      <c r="AK72">
        <f>IF(VLOOKUP(all_lmics1819[[Setting]:[Setting]],all_cause_mort[],25,FALSE)="",VLOOKUP(all_lmics1819[[who_choice_region]:[who_choice_region]],missing[],29,FALSE),VLOOKUP(all_lmics1819[[Setting]:[Setting]],all_cause_mort[],25,FALSE))*0.95</f>
        <v>0.46731146466530082</v>
      </c>
      <c r="AL72">
        <f>VLOOKUP(all_lmics1819[[worldbank_region]:[worldbank_region]],Table13[],2,FALSE)*0.95</f>
        <v>69.411165749999981</v>
      </c>
      <c r="AM72">
        <f>VLOOKUP(all_lmics1819[[worldbank_region]:[worldbank_region]],Table13[],3,FALSE)*0.95</f>
        <v>69.411165749999981</v>
      </c>
      <c r="AN72">
        <f>VLOOKUP(all_lmics1819[[worldbank_region]:[worldbank_region]],Table13[],4,FALSE)*0.95</f>
        <v>114.75358274999998</v>
      </c>
      <c r="AO72">
        <f>VLOOKUP(all_lmics1819[[worldbank_region]:[worldbank_region]],Table13[],5,FALSE)*0.95</f>
        <v>114.75358274999998</v>
      </c>
      <c r="AP72">
        <f>VLOOKUP(all_lmics1819[[worldbank_region]:[worldbank_region]],Table13[],6,FALSE)*0.95</f>
        <v>114.75358274999998</v>
      </c>
      <c r="AQ72">
        <f>VLOOKUP(all_lmics1819[[worldbank_region]:[worldbank_region]],Table14[],2,FALSE)*0.95</f>
        <v>1.2732755</v>
      </c>
      <c r="AR72">
        <f>VLOOKUP(all_lmics1819[[worldbank_region]:[worldbank_region]],Table14[],3,FALSE)*0.95</f>
        <v>1.8599005</v>
      </c>
      <c r="AS72">
        <f>VLOOKUP(all_lmics1819[[worldbank_region]:[worldbank_region]],Table14[],4,FALSE)*0.95</f>
        <v>1.8737001999999996</v>
      </c>
      <c r="AT72">
        <f>VLOOKUP(all_lmics1819[[worldbank_region]:[worldbank_region]],Table14[],5,FALSE)*0.95</f>
        <v>2.4603251999999998</v>
      </c>
      <c r="AU72">
        <f>VLOOKUP(all_lmics1819[[worldbank_region]:[worldbank_region]],Table14[],6,FALSE)*0.95</f>
        <v>3.0020645999999997</v>
      </c>
      <c r="AV72">
        <f>IFERROR(VLOOKUP(all_lmics1819[[Setting]:[Setting]],nFacSBA[],4,FALSE),VLOOKUP(all_lmics1819[[who_choice_region]:[who_choice_region]],missing[],30,FALSE))*0.95</f>
        <v>0.1518638670270247</v>
      </c>
      <c r="AW72">
        <f>VLOOKUP(all_lmics1819[[worldbank_region]:[worldbank_region]],hbe[],3)</f>
        <v>0.2</v>
      </c>
      <c r="AX72">
        <f>VLOOKUP(all_lmics1819[[worldbank_region]:[worldbank_region]],hbe[],6)</f>
        <v>0.75</v>
      </c>
      <c r="AY72">
        <f>VLOOKUP(all_lmics1819[[worldbank_region]:[worldbank_region]],hbe[],9)</f>
        <v>0.05</v>
      </c>
    </row>
    <row r="73" spans="1:51" x14ac:dyDescent="0.35">
      <c r="A73" s="8" t="s">
        <v>195</v>
      </c>
      <c r="B73" s="10" t="s">
        <v>22</v>
      </c>
      <c r="C73" s="11" t="s">
        <v>383</v>
      </c>
      <c r="D73">
        <f>VLOOKUP(all_lmics1819[[Setting]:[Setting]],populations[],9,FALSE)</f>
        <v>563402</v>
      </c>
      <c r="E73">
        <f>VLOOKUP(all_lmics1819[[Setting]:[Setting]],birthrate[],3,FALSE)</f>
        <v>1.8216E-2</v>
      </c>
      <c r="F73">
        <f>all_lmics1819[[#This Row],[2017_population]]*all_lmics1819[[#This Row],[2016_birthrate]]</f>
        <v>10262.930832</v>
      </c>
      <c r="G73">
        <f>VLOOKUP(all_lmics1819[[Setting]:[Setting]],birthdose[],4,FALSE)*0.95</f>
        <v>0.76</v>
      </c>
      <c r="H73">
        <f>VLOOKUP(all_lmics1819[[Setting]:[Setting]],fullvax[],4,FALSE)*0.95</f>
        <v>0.76949999999999996</v>
      </c>
      <c r="I73">
        <f>IFERROR(VLOOKUP(all_lmics1819[[Setting]:[Setting]],prev[],3,FALSE),VLOOKUP(all_lmics1819[[who_choice_region]:[who_choice_region]],missing[],2,FALSE))</f>
        <v>3.9100000000000003E-2</v>
      </c>
      <c r="J73">
        <f>IFERROR(VLOOKUP(all_lmics1819[[Setting]:[Setting]],prev[],4,FALSE),VLOOKUP(all_lmics1819[[who_choice_region]:[who_choice_region]],missing[],3,FALSE))</f>
        <v>2.9700000000000001E-2</v>
      </c>
      <c r="K73">
        <f>IFERROR(VLOOKUP(all_lmics1819[[Setting]:[Setting]],prev[],5,FALSE),VLOOKUP(all_lmics1819[[who_choice_region]:[who_choice_region]],missing[],4,FALSE))</f>
        <v>5.1400000000000001E-2</v>
      </c>
      <c r="L73">
        <f>IFERROR(VLOOKUP(all_lmics1819[[Setting]:[Setting]],prev[],7,FALSE),VLOOKUP(all_lmics1819[[who_choice_region]:[who_choice_region]],missing[],5,FALSE))</f>
        <v>6.2755102040816316E-3</v>
      </c>
      <c r="M73">
        <f>IFERROR(VLOOKUP(all_lmics1819[[Setting]:[Setting]],prev[],6,FALSE),0)</f>
        <v>526103</v>
      </c>
      <c r="N73">
        <f>IFERROR(VLOOKUP(all_lmics1819[[Setting]:[Setting]],SBA[],4,FALSE),VLOOKUP(all_lmics1819[[who_choice_region]:[who_choice_region]],missing[],6,FALSE))*0.95</f>
        <v>0.76</v>
      </c>
      <c r="O73">
        <f>IFERROR(VLOOKUP(all_lmics1819[[Setting]:[Setting]], facility[], 3,FALSE),VLOOKUP(all_lmics1819[[who_choice_region]:[who_choice_region]],missing[],7,FALSE))*0.95</f>
        <v>0.87684999999999991</v>
      </c>
      <c r="P73">
        <f>IF(VLOOKUP(all_lmics1819[[Setting]:[Setting]],all_cause_mort[],4,FALSE)="",VLOOKUP(all_lmics1819[[who_choice_region]:[who_choice_region]],missing[],8,FALSE),VLOOKUP(all_lmics1819[[Setting]:[Setting]],all_cause_mort[],4,FALSE))*0.95</f>
        <v>1.6888438799999999E-2</v>
      </c>
      <c r="Q73">
        <f>IF(VLOOKUP(all_lmics1819[[Setting]:[Setting]],all_cause_mort[],5,FALSE)="",VLOOKUP(all_lmics1819[[who_choice_region]:[who_choice_region]],missing[],9,FALSE),VLOOKUP(all_lmics1819[[Setting]:[Setting]],all_cause_mort[],5,FALSE))*0.95</f>
        <v>5.0142180849999996E-4</v>
      </c>
      <c r="R73">
        <f>IF(VLOOKUP(all_lmics1819[[Setting]:[Setting]],all_cause_mort[],6,FALSE)="",VLOOKUP(all_lmics1819[[who_choice_region]:[who_choice_region]],missing[],10,FALSE),VLOOKUP(all_lmics1819[[Setting]:[Setting]],all_cause_mort[],6,FALSE))*0.95</f>
        <v>5.2409880249999991E-4</v>
      </c>
      <c r="S73">
        <f>IF(VLOOKUP(all_lmics1819[[Setting]:[Setting]],all_cause_mort[],7,FALSE)="",VLOOKUP(all_lmics1819[[who_choice_region]:[who_choice_region]],missing[],11,FALSE),VLOOKUP(all_lmics1819[[Setting]:[Setting]],all_cause_mort[],7,FALSE))*0.95</f>
        <v>2.9988140799999999E-4</v>
      </c>
      <c r="T73">
        <f>IF(VLOOKUP(all_lmics1819[[Setting]:[Setting]],all_cause_mort[],8,FALSE)="",VLOOKUP(all_lmics1819[[who_choice_region]:[who_choice_region]],missing[],12,FALSE),VLOOKUP(all_lmics1819[[Setting]:[Setting]],all_cause_mort[],8,FALSE))*0.95</f>
        <v>5.471332435E-4</v>
      </c>
      <c r="U73">
        <f>IF(VLOOKUP(all_lmics1819[[Setting]:[Setting]],all_cause_mort[],9,FALSE)="",VLOOKUP(all_lmics1819[[who_choice_region]:[who_choice_region]],missing[],13,FALSE),VLOOKUP(all_lmics1819[[Setting]:[Setting]],all_cause_mort[],9,FALSE))*0.95</f>
        <v>1.1189263399999998E-3</v>
      </c>
      <c r="V73">
        <f>IF(VLOOKUP(all_lmics1819[[Setting]:[Setting]],all_cause_mort[],10,FALSE)="",VLOOKUP(all_lmics1819[[who_choice_region]:[who_choice_region]],missing[],14,FALSE),VLOOKUP(all_lmics1819[[Setting]:[Setting]],all_cause_mort[],10,FALSE))*0.95</f>
        <v>1.8094166449999999E-3</v>
      </c>
      <c r="W73">
        <f>IF(VLOOKUP(all_lmics1819[[Setting]:[Setting]],all_cause_mort[],11,FALSE)="",VLOOKUP(all_lmics1819[[who_choice_region]:[who_choice_region]],missing[],15,FALSE),VLOOKUP(all_lmics1819[[Setting]:[Setting]],all_cause_mort[],11,FALSE))*0.95</f>
        <v>2.455308915E-3</v>
      </c>
      <c r="X73">
        <f>IF(VLOOKUP(all_lmics1819[[Setting]:[Setting]],all_cause_mort[],12,FALSE)="",VLOOKUP(all_lmics1819[[who_choice_region]:[who_choice_region]],missing[],16,FALSE),VLOOKUP(all_lmics1819[[Setting]:[Setting]],all_cause_mort[],12,FALSE))*0.95</f>
        <v>3.0789588349999998E-3</v>
      </c>
      <c r="Y73">
        <f>IF(VLOOKUP(all_lmics1819[[Setting]:[Setting]],all_cause_mort[],13,FALSE)="",VLOOKUP(all_lmics1819[[who_choice_region]:[who_choice_region]],missing[],17,FALSE),VLOOKUP(all_lmics1819[[Setting]:[Setting]],all_cause_mort[],13,FALSE))*0.95</f>
        <v>3.7733315049999997E-3</v>
      </c>
      <c r="Z73">
        <f>IF(VLOOKUP(all_lmics1819[[Setting]:[Setting]],all_cause_mort[],14,FALSE)="",VLOOKUP(all_lmics1819[[who_choice_region]:[who_choice_region]],missing[],18,FALSE),VLOOKUP(all_lmics1819[[Setting]:[Setting]],all_cause_mort[],14,FALSE))*0.95</f>
        <v>4.8622745149999999E-3</v>
      </c>
      <c r="AA73">
        <f>IF(VLOOKUP(all_lmics1819[[Setting]:[Setting]],all_cause_mort[],15,FALSE)="",VLOOKUP(all_lmics1819[[who_choice_region]:[who_choice_region]],missing[],19,FALSE),VLOOKUP(all_lmics1819[[Setting]:[Setting]],all_cause_mort[],15,FALSE))*0.95</f>
        <v>7.0830381199999994E-3</v>
      </c>
      <c r="AB73">
        <f>IF(VLOOKUP(all_lmics1819[[Setting]:[Setting]],all_cause_mort[],16,FALSE)="",VLOOKUP(all_lmics1819[[who_choice_region]:[who_choice_region]],missing[],20,FALSE),VLOOKUP(all_lmics1819[[Setting]:[Setting]],all_cause_mort[],16,FALSE))*0.95</f>
        <v>1.10837374E-2</v>
      </c>
      <c r="AC73">
        <f>IF(VLOOKUP(all_lmics1819[[Setting]:[Setting]],all_cause_mort[],17,FALSE)="",VLOOKUP(all_lmics1819[[who_choice_region]:[who_choice_region]],missing[],21,FALSE),VLOOKUP(all_lmics1819[[Setting]:[Setting]],all_cause_mort[],17,FALSE))*0.95</f>
        <v>1.7376034849999999E-2</v>
      </c>
      <c r="AD73">
        <f>IF(VLOOKUP(all_lmics1819[[Setting]:[Setting]],all_cause_mort[],18,FALSE)="",VLOOKUP(all_lmics1819[[who_choice_region]:[who_choice_region]],missing[],22,FALSE),VLOOKUP(all_lmics1819[[Setting]:[Setting]],all_cause_mort[],18,FALSE))*0.95</f>
        <v>2.6839144449999998E-2</v>
      </c>
      <c r="AE73">
        <f>IF(VLOOKUP(all_lmics1819[[Setting]:[Setting]],all_cause_mort[],19,FALSE)="",VLOOKUP(all_lmics1819[[who_choice_region]:[who_choice_region]],missing[],23,FALSE),VLOOKUP(all_lmics1819[[Setting]:[Setting]],all_cause_mort[],19,FALSE))*0.95</f>
        <v>4.113148405E-2</v>
      </c>
      <c r="AF73">
        <f>IF(VLOOKUP(all_lmics1819[[Setting]:[Setting]],all_cause_mort[],20,FALSE)="",VLOOKUP(all_lmics1819[[who_choice_region]:[who_choice_region]],missing[],24,FALSE),VLOOKUP(all_lmics1819[[Setting]:[Setting]],all_cause_mort[],20,FALSE))*0.95</f>
        <v>6.2740306600000004E-2</v>
      </c>
      <c r="AG73">
        <f>IF(VLOOKUP(all_lmics1819[[Setting]:[Setting]],all_cause_mort[],21,FALSE)="",VLOOKUP(all_lmics1819[[who_choice_region]:[who_choice_region]],missing[],25,FALSE),VLOOKUP(all_lmics1819[[Setting]:[Setting]],all_cause_mort[],21,FALSE))*0.95</f>
        <v>9.5100652499999994E-2</v>
      </c>
      <c r="AH73">
        <f>IF(VLOOKUP(all_lmics1819[[Setting]:[Setting]],all_cause_mort[],22,FALSE)="",VLOOKUP(all_lmics1819[[who_choice_region]:[who_choice_region]],missing[],26,FALSE),VLOOKUP(all_lmics1819[[Setting]:[Setting]],all_cause_mort[],22,FALSE))*0.95</f>
        <v>0.14111973549999998</v>
      </c>
      <c r="AI73">
        <f>IF(VLOOKUP(all_lmics1819[[Setting]:[Setting]],all_cause_mort[],23,FALSE)="",VLOOKUP(all_lmics1819[[who_choice_region]:[who_choice_region]],missing[],27,FALSE),VLOOKUP(all_lmics1819[[Setting]:[Setting]],all_cause_mort[],23,FALSE))*0.95</f>
        <v>0.2032699895</v>
      </c>
      <c r="AJ73">
        <f>IF(VLOOKUP(all_lmics1819[[Setting]:[Setting]],all_cause_mort[],24,FALSE)="",VLOOKUP(all_lmics1819[[who_choice_region]:[who_choice_region]],missing[],28,FALSE),VLOOKUP(all_lmics1819[[Setting]:[Setting]],all_cause_mort[],24,FALSE))*0.95</f>
        <v>0.28091597849999994</v>
      </c>
      <c r="AK73">
        <f>IF(VLOOKUP(all_lmics1819[[Setting]:[Setting]],all_cause_mort[],25,FALSE)="",VLOOKUP(all_lmics1819[[who_choice_region]:[who_choice_region]],missing[],29,FALSE),VLOOKUP(all_lmics1819[[Setting]:[Setting]],all_cause_mort[],25,FALSE))*0.95</f>
        <v>0.38810813787594695</v>
      </c>
      <c r="AL73">
        <f>VLOOKUP(all_lmics1819[[worldbank_region]:[worldbank_region]],Table13[],2,FALSE)*0.95</f>
        <v>82.51698764999999</v>
      </c>
      <c r="AM73">
        <f>VLOOKUP(all_lmics1819[[worldbank_region]:[worldbank_region]],Table13[],3,FALSE)*0.95</f>
        <v>82.51698764999999</v>
      </c>
      <c r="AN73">
        <f>VLOOKUP(all_lmics1819[[worldbank_region]:[worldbank_region]],Table13[],4,FALSE)*0.95</f>
        <v>127.85940464999999</v>
      </c>
      <c r="AO73">
        <f>VLOOKUP(all_lmics1819[[worldbank_region]:[worldbank_region]],Table13[],5,FALSE)*0.95</f>
        <v>127.85940464999999</v>
      </c>
      <c r="AP73">
        <f>VLOOKUP(all_lmics1819[[worldbank_region]:[worldbank_region]],Table13[],6,FALSE)*0.95</f>
        <v>127.85940464999999</v>
      </c>
      <c r="AQ73">
        <f>VLOOKUP(all_lmics1819[[worldbank_region]:[worldbank_region]],Table14[],2,FALSE)*0.95</f>
        <v>1.4389099000000001</v>
      </c>
      <c r="AR73">
        <f>VLOOKUP(all_lmics1819[[worldbank_region]:[worldbank_region]],Table14[],3,FALSE)*0.95</f>
        <v>2.0255348999999998</v>
      </c>
      <c r="AS73">
        <f>VLOOKUP(all_lmics1819[[worldbank_region]:[worldbank_region]],Table14[],4,FALSE)*0.95</f>
        <v>1.4596142000000001</v>
      </c>
      <c r="AT73">
        <f>VLOOKUP(all_lmics1819[[worldbank_region]:[worldbank_region]],Table14[],5,FALSE)*0.95</f>
        <v>2.0462391999999996</v>
      </c>
      <c r="AU73">
        <f>VLOOKUP(all_lmics1819[[worldbank_region]:[worldbank_region]],Table14[],6,FALSE)*0.95</f>
        <v>2.5879785999999996</v>
      </c>
      <c r="AV73">
        <f>IFERROR(VLOOKUP(all_lmics1819[[Setting]:[Setting]],nFacSBA[],4,FALSE),VLOOKUP(all_lmics1819[[who_choice_region]:[who_choice_region]],missing[],30,FALSE))*0.95</f>
        <v>0.5479281230545755</v>
      </c>
      <c r="AW73">
        <f>VLOOKUP(all_lmics1819[[worldbank_region]:[worldbank_region]],hbe[],3)</f>
        <v>0.2</v>
      </c>
      <c r="AX73">
        <f>VLOOKUP(all_lmics1819[[worldbank_region]:[worldbank_region]],hbe[],6)</f>
        <v>0.75</v>
      </c>
      <c r="AY73">
        <f>VLOOKUP(all_lmics1819[[worldbank_region]:[worldbank_region]],hbe[],9)</f>
        <v>0.05</v>
      </c>
    </row>
    <row r="74" spans="1:51" x14ac:dyDescent="0.35">
      <c r="A74" s="8" t="s">
        <v>199</v>
      </c>
      <c r="B74" s="10" t="s">
        <v>33</v>
      </c>
      <c r="C74" s="11" t="s">
        <v>7</v>
      </c>
      <c r="D74">
        <f>VLOOKUP(all_lmics1819[[Setting]:[Setting]],populations[],9,FALSE)</f>
        <v>18269868</v>
      </c>
      <c r="E74">
        <f>VLOOKUP(all_lmics1819[[Setting]:[Setting]],birthrate[],3,FALSE)</f>
        <v>2.1472000000000002E-2</v>
      </c>
      <c r="F74">
        <f>all_lmics1819[[#This Row],[2017_population]]*all_lmics1819[[#This Row],[2016_birthrate]]</f>
        <v>392290.60569600004</v>
      </c>
      <c r="G74">
        <f>VLOOKUP(all_lmics1819[[Setting]:[Setting]],birthdose[],4,FALSE)*0.95</f>
        <v>0.65549999999999997</v>
      </c>
      <c r="H74">
        <f>VLOOKUP(all_lmics1819[[Setting]:[Setting]],fullvax[],4,FALSE)*0.95</f>
        <v>0.49399999999999999</v>
      </c>
      <c r="I74">
        <f>IFERROR(VLOOKUP(all_lmics1819[[Setting]:[Setting]],prev[],3,FALSE),VLOOKUP(all_lmics1819[[who_choice_region]:[who_choice_region]],missing[],2,FALSE))</f>
        <v>5.7000000000000002E-2</v>
      </c>
      <c r="J74">
        <f>IFERROR(VLOOKUP(all_lmics1819[[Setting]:[Setting]],prev[],4,FALSE),VLOOKUP(all_lmics1819[[who_choice_region]:[who_choice_region]],missing[],3,FALSE))</f>
        <v>3.2000000000000001E-2</v>
      </c>
      <c r="K74">
        <f>IFERROR(VLOOKUP(all_lmics1819[[Setting]:[Setting]],prev[],5,FALSE),VLOOKUP(all_lmics1819[[who_choice_region]:[who_choice_region]],missing[],4,FALSE))</f>
        <v>6.5000000000000002E-2</v>
      </c>
      <c r="L74">
        <f>IFERROR(VLOOKUP(all_lmics1819[[Setting]:[Setting]],prev[],7,FALSE),VLOOKUP(all_lmics1819[[who_choice_region]:[who_choice_region]],missing[],5,FALSE))</f>
        <v>4.0816326530612249E-3</v>
      </c>
      <c r="M74">
        <f>IFERROR(VLOOKUP(all_lmics1819[[Setting]:[Setting]],prev[],6,FALSE),0)</f>
        <v>18269868</v>
      </c>
      <c r="N74">
        <f>IFERROR(VLOOKUP(all_lmics1819[[Setting]:[Setting]],SBA[],4,FALSE),VLOOKUP(all_lmics1819[[who_choice_region]:[who_choice_region]],missing[],6,FALSE))*0.95</f>
        <v>0.91390000000000005</v>
      </c>
      <c r="O74">
        <f>IFERROR(VLOOKUP(all_lmics1819[[Setting]:[Setting]], facility[], 3,FALSE),VLOOKUP(all_lmics1819[[who_choice_region]:[who_choice_region]],missing[],7,FALSE))*0.95</f>
        <v>0.7429</v>
      </c>
      <c r="P74">
        <f>IF(VLOOKUP(all_lmics1819[[Setting]:[Setting]],all_cause_mort[],4,FALSE)="",VLOOKUP(all_lmics1819[[who_choice_region]:[who_choice_region]],missing[],8,FALSE),VLOOKUP(all_lmics1819[[Setting]:[Setting]],all_cause_mort[],4,FALSE))*0.95</f>
        <v>1.4978121800000001E-2</v>
      </c>
      <c r="Q74">
        <f>IF(VLOOKUP(all_lmics1819[[Setting]:[Setting]],all_cause_mort[],5,FALSE)="",VLOOKUP(all_lmics1819[[who_choice_region]:[who_choice_region]],missing[],9,FALSE),VLOOKUP(all_lmics1819[[Setting]:[Setting]],all_cause_mort[],5,FALSE))*0.95</f>
        <v>5.3869423199999998E-4</v>
      </c>
      <c r="R74">
        <f>IF(VLOOKUP(all_lmics1819[[Setting]:[Setting]],all_cause_mort[],6,FALSE)="",VLOOKUP(all_lmics1819[[who_choice_region]:[who_choice_region]],missing[],10,FALSE),VLOOKUP(all_lmics1819[[Setting]:[Setting]],all_cause_mort[],6,FALSE))*0.95</f>
        <v>3.3715095299999997E-4</v>
      </c>
      <c r="S74">
        <f>IF(VLOOKUP(all_lmics1819[[Setting]:[Setting]],all_cause_mort[],7,FALSE)="",VLOOKUP(all_lmics1819[[who_choice_region]:[who_choice_region]],missing[],11,FALSE),VLOOKUP(all_lmics1819[[Setting]:[Setting]],all_cause_mort[],7,FALSE))*0.95</f>
        <v>3.0048872399999999E-4</v>
      </c>
      <c r="T74">
        <f>IF(VLOOKUP(all_lmics1819[[Setting]:[Setting]],all_cause_mort[],8,FALSE)="",VLOOKUP(all_lmics1819[[who_choice_region]:[who_choice_region]],missing[],12,FALSE),VLOOKUP(all_lmics1819[[Setting]:[Setting]],all_cause_mort[],8,FALSE))*0.95</f>
        <v>2.049188855E-3</v>
      </c>
      <c r="U74">
        <f>IF(VLOOKUP(all_lmics1819[[Setting]:[Setting]],all_cause_mort[],9,FALSE)="",VLOOKUP(all_lmics1819[[who_choice_region]:[who_choice_region]],missing[],13,FALSE),VLOOKUP(all_lmics1819[[Setting]:[Setting]],all_cause_mort[],9,FALSE))*0.95</f>
        <v>2.999532565E-3</v>
      </c>
      <c r="V74">
        <f>IF(VLOOKUP(all_lmics1819[[Setting]:[Setting]],all_cause_mort[],10,FALSE)="",VLOOKUP(all_lmics1819[[who_choice_region]:[who_choice_region]],missing[],14,FALSE),VLOOKUP(all_lmics1819[[Setting]:[Setting]],all_cause_mort[],10,FALSE))*0.95</f>
        <v>4.4673707249999993E-3</v>
      </c>
      <c r="W74">
        <f>IF(VLOOKUP(all_lmics1819[[Setting]:[Setting]],all_cause_mort[],11,FALSE)="",VLOOKUP(all_lmics1819[[who_choice_region]:[who_choice_region]],missing[],15,FALSE),VLOOKUP(all_lmics1819[[Setting]:[Setting]],all_cause_mort[],11,FALSE))*0.95</f>
        <v>3.8340085749999997E-3</v>
      </c>
      <c r="X74">
        <f>IF(VLOOKUP(all_lmics1819[[Setting]:[Setting]],all_cause_mort[],12,FALSE)="",VLOOKUP(all_lmics1819[[who_choice_region]:[who_choice_region]],missing[],16,FALSE),VLOOKUP(all_lmics1819[[Setting]:[Setting]],all_cause_mort[],12,FALSE))*0.95</f>
        <v>2.6030533899999999E-3</v>
      </c>
      <c r="Y74">
        <f>IF(VLOOKUP(all_lmics1819[[Setting]:[Setting]],all_cause_mort[],13,FALSE)="",VLOOKUP(all_lmics1819[[who_choice_region]:[who_choice_region]],missing[],17,FALSE),VLOOKUP(all_lmics1819[[Setting]:[Setting]],all_cause_mort[],13,FALSE))*0.95</f>
        <v>2.6032635299999998E-3</v>
      </c>
      <c r="Z74">
        <f>IF(VLOOKUP(all_lmics1819[[Setting]:[Setting]],all_cause_mort[],14,FALSE)="",VLOOKUP(all_lmics1819[[who_choice_region]:[who_choice_region]],missing[],18,FALSE),VLOOKUP(all_lmics1819[[Setting]:[Setting]],all_cause_mort[],14,FALSE))*0.95</f>
        <v>3.8995600949999999E-3</v>
      </c>
      <c r="AA74">
        <f>IF(VLOOKUP(all_lmics1819[[Setting]:[Setting]],all_cause_mort[],15,FALSE)="",VLOOKUP(all_lmics1819[[who_choice_region]:[who_choice_region]],missing[],19,FALSE),VLOOKUP(all_lmics1819[[Setting]:[Setting]],all_cause_mort[],15,FALSE))*0.95</f>
        <v>6.3920916249999996E-3</v>
      </c>
      <c r="AB74">
        <f>IF(VLOOKUP(all_lmics1819[[Setting]:[Setting]],all_cause_mort[],16,FALSE)="",VLOOKUP(all_lmics1819[[who_choice_region]:[who_choice_region]],missing[],20,FALSE),VLOOKUP(all_lmics1819[[Setting]:[Setting]],all_cause_mort[],16,FALSE))*0.95</f>
        <v>7.8563402099999999E-3</v>
      </c>
      <c r="AC74">
        <f>IF(VLOOKUP(all_lmics1819[[Setting]:[Setting]],all_cause_mort[],17,FALSE)="",VLOOKUP(all_lmics1819[[who_choice_region]:[who_choice_region]],missing[],21,FALSE),VLOOKUP(all_lmics1819[[Setting]:[Setting]],all_cause_mort[],17,FALSE))*0.95</f>
        <v>1.2746094899999999E-2</v>
      </c>
      <c r="AD74">
        <f>IF(VLOOKUP(all_lmics1819[[Setting]:[Setting]],all_cause_mort[],18,FALSE)="",VLOOKUP(all_lmics1819[[who_choice_region]:[who_choice_region]],missing[],22,FALSE),VLOOKUP(all_lmics1819[[Setting]:[Setting]],all_cause_mort[],18,FALSE))*0.95</f>
        <v>2.1578706599999997E-2</v>
      </c>
      <c r="AE74">
        <f>IF(VLOOKUP(all_lmics1819[[Setting]:[Setting]],all_cause_mort[],19,FALSE)="",VLOOKUP(all_lmics1819[[who_choice_region]:[who_choice_region]],missing[],23,FALSE),VLOOKUP(all_lmics1819[[Setting]:[Setting]],all_cause_mort[],19,FALSE))*0.95</f>
        <v>3.6833990899999995E-2</v>
      </c>
      <c r="AF74">
        <f>IF(VLOOKUP(all_lmics1819[[Setting]:[Setting]],all_cause_mort[],20,FALSE)="",VLOOKUP(all_lmics1819[[who_choice_region]:[who_choice_region]],missing[],24,FALSE),VLOOKUP(all_lmics1819[[Setting]:[Setting]],all_cause_mort[],20,FALSE))*0.95</f>
        <v>5.6695528799999999E-2</v>
      </c>
      <c r="AG74">
        <f>IF(VLOOKUP(all_lmics1819[[Setting]:[Setting]],all_cause_mort[],21,FALSE)="",VLOOKUP(all_lmics1819[[who_choice_region]:[who_choice_region]],missing[],25,FALSE),VLOOKUP(all_lmics1819[[Setting]:[Setting]],all_cause_mort[],21,FALSE))*0.95</f>
        <v>9.9081266500000001E-2</v>
      </c>
      <c r="AH74">
        <f>IF(VLOOKUP(all_lmics1819[[Setting]:[Setting]],all_cause_mort[],22,FALSE)="",VLOOKUP(all_lmics1819[[who_choice_region]:[who_choice_region]],missing[],26,FALSE),VLOOKUP(all_lmics1819[[Setting]:[Setting]],all_cause_mort[],22,FALSE))*0.95</f>
        <v>0.16228540299999999</v>
      </c>
      <c r="AI74">
        <f>IF(VLOOKUP(all_lmics1819[[Setting]:[Setting]],all_cause_mort[],23,FALSE)="",VLOOKUP(all_lmics1819[[who_choice_region]:[who_choice_region]],missing[],27,FALSE),VLOOKUP(all_lmics1819[[Setting]:[Setting]],all_cause_mort[],23,FALSE))*0.95</f>
        <v>0.253598453</v>
      </c>
      <c r="AJ74">
        <f>IF(VLOOKUP(all_lmics1819[[Setting]:[Setting]],all_cause_mort[],24,FALSE)="",VLOOKUP(all_lmics1819[[who_choice_region]:[who_choice_region]],missing[],28,FALSE),VLOOKUP(all_lmics1819[[Setting]:[Setting]],all_cause_mort[],24,FALSE))*0.95</f>
        <v>0.35552196749999998</v>
      </c>
      <c r="AK74">
        <f>IF(VLOOKUP(all_lmics1819[[Setting]:[Setting]],all_cause_mort[],25,FALSE)="",VLOOKUP(all_lmics1819[[who_choice_region]:[who_choice_region]],missing[],29,FALSE),VLOOKUP(all_lmics1819[[Setting]:[Setting]],all_cause_mort[],25,FALSE))*0.95</f>
        <v>0.47931672643830325</v>
      </c>
      <c r="AL74">
        <f>VLOOKUP(all_lmics1819[[worldbank_region]:[worldbank_region]],Table13[],2,FALSE)*0.95</f>
        <v>55.011325099999993</v>
      </c>
      <c r="AM74">
        <f>VLOOKUP(all_lmics1819[[worldbank_region]:[worldbank_region]],Table13[],3,FALSE)*0.95</f>
        <v>55.011325099999993</v>
      </c>
      <c r="AN74">
        <f>VLOOKUP(all_lmics1819[[worldbank_region]:[worldbank_region]],Table13[],4,FALSE)*0.95</f>
        <v>100.35374209999999</v>
      </c>
      <c r="AO74">
        <f>VLOOKUP(all_lmics1819[[worldbank_region]:[worldbank_region]],Table13[],5,FALSE)*0.95</f>
        <v>100.35374209999999</v>
      </c>
      <c r="AP74">
        <f>VLOOKUP(all_lmics1819[[worldbank_region]:[worldbank_region]],Table13[],6,FALSE)*0.95</f>
        <v>100.35374209999999</v>
      </c>
      <c r="AQ74">
        <f>VLOOKUP(all_lmics1819[[worldbank_region]:[worldbank_region]],Table14[],2,FALSE)*0.95</f>
        <v>1.4285577499999997</v>
      </c>
      <c r="AR74">
        <f>VLOOKUP(all_lmics1819[[worldbank_region]:[worldbank_region]],Table14[],3,FALSE)*0.95</f>
        <v>2.0151827500000001</v>
      </c>
      <c r="AS74">
        <f>VLOOKUP(all_lmics1819[[worldbank_region]:[worldbank_region]],Table14[],4,FALSE)*0.95</f>
        <v>1.8840523499999997</v>
      </c>
      <c r="AT74">
        <f>VLOOKUP(all_lmics1819[[worldbank_region]:[worldbank_region]],Table14[],5,FALSE)*0.95</f>
        <v>2.4706773499999999</v>
      </c>
      <c r="AU74">
        <f>VLOOKUP(all_lmics1819[[worldbank_region]:[worldbank_region]],Table14[],6,FALSE)*0.95</f>
        <v>3.0124167499999999</v>
      </c>
      <c r="AV74">
        <f>IFERROR(VLOOKUP(all_lmics1819[[Setting]:[Setting]],nFacSBA[],4,FALSE),VLOOKUP(all_lmics1819[[who_choice_region]:[who_choice_region]],missing[],30,FALSE))*0.95</f>
        <v>0.368442657134743</v>
      </c>
      <c r="AW74">
        <f>VLOOKUP(all_lmics1819[[worldbank_region]:[worldbank_region]],hbe[],3)</f>
        <v>0.2</v>
      </c>
      <c r="AX74">
        <f>VLOOKUP(all_lmics1819[[worldbank_region]:[worldbank_region]],hbe[],6)</f>
        <v>0.75</v>
      </c>
      <c r="AY74">
        <f>VLOOKUP(all_lmics1819[[worldbank_region]:[worldbank_region]],hbe[],9)</f>
        <v>0.05</v>
      </c>
    </row>
    <row r="75" spans="1:51" x14ac:dyDescent="0.35">
      <c r="A75" s="12" t="s">
        <v>200</v>
      </c>
      <c r="B75" s="13" t="s">
        <v>10</v>
      </c>
      <c r="C75" s="14" t="s">
        <v>11</v>
      </c>
      <c r="D75">
        <f>VLOOKUP(all_lmics1819[[Setting]:[Setting]],populations[],9,FALSE)</f>
        <v>8921343</v>
      </c>
      <c r="E75">
        <f>VLOOKUP(all_lmics1819[[Setting]:[Setting]],birthrate[],3,FALSE)</f>
        <v>2.8842E-2</v>
      </c>
      <c r="F75">
        <f>all_lmics1819[[#This Row],[2017_population]]*all_lmics1819[[#This Row],[2016_birthrate]]</f>
        <v>257309.37480600001</v>
      </c>
      <c r="G75">
        <f>VLOOKUP(all_lmics1819[[Setting]:[Setting]],birthdose[],4,FALSE)*0.95</f>
        <v>0.9405</v>
      </c>
      <c r="H75">
        <f>VLOOKUP(all_lmics1819[[Setting]:[Setting]],fullvax[],4,FALSE)*0.95</f>
        <v>0.91199999999999992</v>
      </c>
      <c r="I75">
        <f>IFERROR(VLOOKUP(all_lmics1819[[Setting]:[Setting]],prev[],3,FALSE),VLOOKUP(all_lmics1819[[who_choice_region]:[who_choice_region]],missing[],2,FALSE))</f>
        <v>6.7000000000000004E-2</v>
      </c>
      <c r="J75">
        <f>IFERROR(VLOOKUP(all_lmics1819[[Setting]:[Setting]],prev[],4,FALSE),VLOOKUP(all_lmics1819[[who_choice_region]:[who_choice_region]],missing[],3,FALSE))</f>
        <v>5.6000000000000001E-2</v>
      </c>
      <c r="K75">
        <f>IFERROR(VLOOKUP(all_lmics1819[[Setting]:[Setting]],prev[],5,FALSE),VLOOKUP(all_lmics1819[[who_choice_region]:[who_choice_region]],missing[],4,FALSE))</f>
        <v>8.5999999999999993E-2</v>
      </c>
      <c r="L75">
        <f>IFERROR(VLOOKUP(all_lmics1819[[Setting]:[Setting]],prev[],7,FALSE),VLOOKUP(all_lmics1819[[who_choice_region]:[who_choice_region]],missing[],5,FALSE))</f>
        <v>9.693877551020403E-3</v>
      </c>
      <c r="M75">
        <f>IFERROR(VLOOKUP(all_lmics1819[[Setting]:[Setting]],prev[],6,FALSE),0)</f>
        <v>8921343</v>
      </c>
      <c r="N75">
        <f>IFERROR(VLOOKUP(all_lmics1819[[Setting]:[Setting]],SBA[],4,FALSE),VLOOKUP(all_lmics1819[[who_choice_region]:[who_choice_region]],missing[],6,FALSE))*0.95</f>
        <v>0.85785</v>
      </c>
      <c r="O75">
        <f>IFERROR(VLOOKUP(all_lmics1819[[Setting]:[Setting]], facility[], 3,FALSE),VLOOKUP(all_lmics1819[[who_choice_region]:[who_choice_region]],missing[],7,FALSE))*0.95</f>
        <v>0.72675000000000001</v>
      </c>
      <c r="P75">
        <f>IF(VLOOKUP(all_lmics1819[[Setting]:[Setting]],all_cause_mort[],4,FALSE)="",VLOOKUP(all_lmics1819[[who_choice_region]:[who_choice_region]],missing[],8,FALSE),VLOOKUP(all_lmics1819[[Setting]:[Setting]],all_cause_mort[],4,FALSE))*0.95</f>
        <v>2.8536740299999998E-2</v>
      </c>
      <c r="Q75">
        <f>IF(VLOOKUP(all_lmics1819[[Setting]:[Setting]],all_cause_mort[],5,FALSE)="",VLOOKUP(all_lmics1819[[who_choice_region]:[who_choice_region]],missing[],9,FALSE),VLOOKUP(all_lmics1819[[Setting]:[Setting]],all_cause_mort[],5,FALSE))*0.95</f>
        <v>7.3844569699999993E-4</v>
      </c>
      <c r="R75">
        <f>IF(VLOOKUP(all_lmics1819[[Setting]:[Setting]],all_cause_mort[],6,FALSE)="",VLOOKUP(all_lmics1819[[who_choice_region]:[who_choice_region]],missing[],10,FALSE),VLOOKUP(all_lmics1819[[Setting]:[Setting]],all_cause_mort[],6,FALSE))*0.95</f>
        <v>1.820456405E-4</v>
      </c>
      <c r="S75">
        <f>IF(VLOOKUP(all_lmics1819[[Setting]:[Setting]],all_cause_mort[],7,FALSE)="",VLOOKUP(all_lmics1819[[who_choice_region]:[who_choice_region]],missing[],11,FALSE),VLOOKUP(all_lmics1819[[Setting]:[Setting]],all_cause_mort[],7,FALSE))*0.95</f>
        <v>1.9040664749999999E-4</v>
      </c>
      <c r="T75">
        <f>IF(VLOOKUP(all_lmics1819[[Setting]:[Setting]],all_cause_mort[],8,FALSE)="",VLOOKUP(all_lmics1819[[who_choice_region]:[who_choice_region]],missing[],12,FALSE),VLOOKUP(all_lmics1819[[Setting]:[Setting]],all_cause_mort[],8,FALSE))*0.95</f>
        <v>3.1562127400000002E-4</v>
      </c>
      <c r="U75">
        <f>IF(VLOOKUP(all_lmics1819[[Setting]:[Setting]],all_cause_mort[],9,FALSE)="",VLOOKUP(all_lmics1819[[who_choice_region]:[who_choice_region]],missing[],13,FALSE),VLOOKUP(all_lmics1819[[Setting]:[Setting]],all_cause_mort[],9,FALSE))*0.95</f>
        <v>4.8585387350000005E-4</v>
      </c>
      <c r="V75">
        <f>IF(VLOOKUP(all_lmics1819[[Setting]:[Setting]],all_cause_mort[],10,FALSE)="",VLOOKUP(all_lmics1819[[who_choice_region]:[who_choice_region]],missing[],14,FALSE),VLOOKUP(all_lmics1819[[Setting]:[Setting]],all_cause_mort[],10,FALSE))*0.95</f>
        <v>8.1444965849999994E-4</v>
      </c>
      <c r="W75">
        <f>IF(VLOOKUP(all_lmics1819[[Setting]:[Setting]],all_cause_mort[],11,FALSE)="",VLOOKUP(all_lmics1819[[who_choice_region]:[who_choice_region]],missing[],15,FALSE),VLOOKUP(all_lmics1819[[Setting]:[Setting]],all_cause_mort[],11,FALSE))*0.95</f>
        <v>1.253259285E-3</v>
      </c>
      <c r="X75">
        <f>IF(VLOOKUP(all_lmics1819[[Setting]:[Setting]],all_cause_mort[],12,FALSE)="",VLOOKUP(all_lmics1819[[who_choice_region]:[who_choice_region]],missing[],16,FALSE),VLOOKUP(all_lmics1819[[Setting]:[Setting]],all_cause_mort[],12,FALSE))*0.95</f>
        <v>1.9206499599999998E-3</v>
      </c>
      <c r="Y75">
        <f>IF(VLOOKUP(all_lmics1819[[Setting]:[Setting]],all_cause_mort[],13,FALSE)="",VLOOKUP(all_lmics1819[[who_choice_region]:[who_choice_region]],missing[],17,FALSE),VLOOKUP(all_lmics1819[[Setting]:[Setting]],all_cause_mort[],13,FALSE))*0.95</f>
        <v>2.439400975E-3</v>
      </c>
      <c r="Z75">
        <f>IF(VLOOKUP(all_lmics1819[[Setting]:[Setting]],all_cause_mort[],14,FALSE)="",VLOOKUP(all_lmics1819[[who_choice_region]:[who_choice_region]],missing[],18,FALSE),VLOOKUP(all_lmics1819[[Setting]:[Setting]],all_cause_mort[],14,FALSE))*0.95</f>
        <v>3.4871478050000002E-3</v>
      </c>
      <c r="AA75">
        <f>IF(VLOOKUP(all_lmics1819[[Setting]:[Setting]],all_cause_mort[],15,FALSE)="",VLOOKUP(all_lmics1819[[who_choice_region]:[who_choice_region]],missing[],19,FALSE),VLOOKUP(all_lmics1819[[Setting]:[Setting]],all_cause_mort[],15,FALSE))*0.95</f>
        <v>5.7651816849999997E-3</v>
      </c>
      <c r="AB75">
        <f>IF(VLOOKUP(all_lmics1819[[Setting]:[Setting]],all_cause_mort[],16,FALSE)="",VLOOKUP(all_lmics1819[[who_choice_region]:[who_choice_region]],missing[],20,FALSE),VLOOKUP(all_lmics1819[[Setting]:[Setting]],all_cause_mort[],16,FALSE))*0.95</f>
        <v>1.037572805E-2</v>
      </c>
      <c r="AC75">
        <f>IF(VLOOKUP(all_lmics1819[[Setting]:[Setting]],all_cause_mort[],17,FALSE)="",VLOOKUP(all_lmics1819[[who_choice_region]:[who_choice_region]],missing[],21,FALSE),VLOOKUP(all_lmics1819[[Setting]:[Setting]],all_cause_mort[],17,FALSE))*0.95</f>
        <v>1.826331015E-2</v>
      </c>
      <c r="AD75">
        <f>IF(VLOOKUP(all_lmics1819[[Setting]:[Setting]],all_cause_mort[],18,FALSE)="",VLOOKUP(all_lmics1819[[who_choice_region]:[who_choice_region]],missing[],22,FALSE),VLOOKUP(all_lmics1819[[Setting]:[Setting]],all_cause_mort[],18,FALSE))*0.95</f>
        <v>2.9384452849999996E-2</v>
      </c>
      <c r="AE75">
        <f>IF(VLOOKUP(all_lmics1819[[Setting]:[Setting]],all_cause_mort[],19,FALSE)="",VLOOKUP(all_lmics1819[[who_choice_region]:[who_choice_region]],missing[],23,FALSE),VLOOKUP(all_lmics1819[[Setting]:[Setting]],all_cause_mort[],19,FALSE))*0.95</f>
        <v>5.1035154249999999E-2</v>
      </c>
      <c r="AF75">
        <f>IF(VLOOKUP(all_lmics1819[[Setting]:[Setting]],all_cause_mort[],20,FALSE)="",VLOOKUP(all_lmics1819[[who_choice_region]:[who_choice_region]],missing[],24,FALSE),VLOOKUP(all_lmics1819[[Setting]:[Setting]],all_cause_mort[],20,FALSE))*0.95</f>
        <v>8.5965062999999994E-2</v>
      </c>
      <c r="AG75">
        <f>IF(VLOOKUP(all_lmics1819[[Setting]:[Setting]],all_cause_mort[],21,FALSE)="",VLOOKUP(all_lmics1819[[who_choice_region]:[who_choice_region]],missing[],25,FALSE),VLOOKUP(all_lmics1819[[Setting]:[Setting]],all_cause_mort[],21,FALSE))*0.95</f>
        <v>0.13874739549999998</v>
      </c>
      <c r="AH75">
        <f>IF(VLOOKUP(all_lmics1819[[Setting]:[Setting]],all_cause_mort[],22,FALSE)="",VLOOKUP(all_lmics1819[[who_choice_region]:[who_choice_region]],missing[],26,FALSE),VLOOKUP(all_lmics1819[[Setting]:[Setting]],all_cause_mort[],22,FALSE))*0.95</f>
        <v>0.21063200499999998</v>
      </c>
      <c r="AI75">
        <f>IF(VLOOKUP(all_lmics1819[[Setting]:[Setting]],all_cause_mort[],23,FALSE)="",VLOOKUP(all_lmics1819[[who_choice_region]:[who_choice_region]],missing[],27,FALSE),VLOOKUP(all_lmics1819[[Setting]:[Setting]],all_cause_mort[],23,FALSE))*0.95</f>
        <v>0.30942753999999995</v>
      </c>
      <c r="AJ75">
        <f>IF(VLOOKUP(all_lmics1819[[Setting]:[Setting]],all_cause_mort[],24,FALSE)="",VLOOKUP(all_lmics1819[[who_choice_region]:[who_choice_region]],missing[],28,FALSE),VLOOKUP(all_lmics1819[[Setting]:[Setting]],all_cause_mort[],24,FALSE))*0.95</f>
        <v>0.42815719099999999</v>
      </c>
      <c r="AK75">
        <f>IF(VLOOKUP(all_lmics1819[[Setting]:[Setting]],all_cause_mort[],25,FALSE)="",VLOOKUP(all_lmics1819[[who_choice_region]:[who_choice_region]],missing[],29,FALSE),VLOOKUP(all_lmics1819[[Setting]:[Setting]],all_cause_mort[],25,FALSE))*0.95</f>
        <v>0.56015138474434145</v>
      </c>
      <c r="AL75">
        <f>VLOOKUP(all_lmics1819[[worldbank_region]:[worldbank_region]],Table13[],2,FALSE)*0.95</f>
        <v>42.29888489999999</v>
      </c>
      <c r="AM75">
        <f>VLOOKUP(all_lmics1819[[worldbank_region]:[worldbank_region]],Table13[],3,FALSE)*0.95</f>
        <v>42.29888489999999</v>
      </c>
      <c r="AN75">
        <f>VLOOKUP(all_lmics1819[[worldbank_region]:[worldbank_region]],Table13[],4,FALSE)*0.95</f>
        <v>87.641301899999988</v>
      </c>
      <c r="AO75">
        <f>VLOOKUP(all_lmics1819[[worldbank_region]:[worldbank_region]],Table13[],5,FALSE)*0.95</f>
        <v>87.641301899999988</v>
      </c>
      <c r="AP75">
        <f>VLOOKUP(all_lmics1819[[worldbank_region]:[worldbank_region]],Table13[],6,FALSE)*0.95</f>
        <v>87.641301899999988</v>
      </c>
      <c r="AQ75">
        <f>VLOOKUP(all_lmics1819[[worldbank_region]:[worldbank_region]],Table14[],2,FALSE)*0.95</f>
        <v>6.0973773999999992</v>
      </c>
      <c r="AR75">
        <f>VLOOKUP(all_lmics1819[[worldbank_region]:[worldbank_region]],Table14[],3,FALSE)*0.95</f>
        <v>6.6840023999999998</v>
      </c>
      <c r="AS75">
        <f>VLOOKUP(all_lmics1819[[worldbank_region]:[worldbank_region]],Table14[],4,FALSE)*0.95</f>
        <v>9.9587293499999969</v>
      </c>
      <c r="AT75">
        <f>VLOOKUP(all_lmics1819[[worldbank_region]:[worldbank_region]],Table14[],5,FALSE)*0.95</f>
        <v>10.545354349999998</v>
      </c>
      <c r="AU75">
        <f>VLOOKUP(all_lmics1819[[worldbank_region]:[worldbank_region]],Table14[],6,FALSE)*0.95</f>
        <v>11.087093749999999</v>
      </c>
      <c r="AV75">
        <f>IFERROR(VLOOKUP(all_lmics1819[[Setting]:[Setting]],nFacSBA[],4,FALSE),VLOOKUP(all_lmics1819[[who_choice_region]:[who_choice_region]],missing[],30,FALSE))*0.95</f>
        <v>0.46686297534631088</v>
      </c>
      <c r="AW75">
        <f>VLOOKUP(all_lmics1819[[worldbank_region]:[worldbank_region]],hbe[],3)</f>
        <v>0.2</v>
      </c>
      <c r="AX75">
        <f>VLOOKUP(all_lmics1819[[worldbank_region]:[worldbank_region]],hbe[],6)</f>
        <v>0.75</v>
      </c>
      <c r="AY75">
        <f>VLOOKUP(all_lmics1819[[worldbank_region]:[worldbank_region]],hbe[],9)</f>
        <v>0.05</v>
      </c>
    </row>
    <row r="76" spans="1:51" x14ac:dyDescent="0.35">
      <c r="A76" s="8" t="s">
        <v>201</v>
      </c>
      <c r="B76" s="10" t="s">
        <v>109</v>
      </c>
      <c r="C76" s="11" t="s">
        <v>58</v>
      </c>
      <c r="D76">
        <f>VLOOKUP(all_lmics1819[[Setting]:[Setting]],populations[],9,FALSE)</f>
        <v>69037513</v>
      </c>
      <c r="E76">
        <f>VLOOKUP(all_lmics1819[[Setting]:[Setting]],birthrate[],3,FALSE)</f>
        <v>1.0333E-2</v>
      </c>
      <c r="F76">
        <f>all_lmics1819[[#This Row],[2017_population]]*all_lmics1819[[#This Row],[2016_birthrate]]</f>
        <v>713364.62182900007</v>
      </c>
      <c r="G76">
        <f>VLOOKUP(all_lmics1819[[Setting]:[Setting]],birthdose[],4,FALSE)*0.95</f>
        <v>0.91199999999999992</v>
      </c>
      <c r="H76">
        <f>VLOOKUP(all_lmics1819[[Setting]:[Setting]],fullvax[],4,FALSE)*0.95</f>
        <v>0.9405</v>
      </c>
      <c r="I76">
        <f>IFERROR(VLOOKUP(all_lmics1819[[Setting]:[Setting]],prev[],3,FALSE),VLOOKUP(all_lmics1819[[who_choice_region]:[who_choice_region]],missing[],2,FALSE))</f>
        <v>3.5000000000000003E-2</v>
      </c>
      <c r="J76">
        <f>IFERROR(VLOOKUP(all_lmics1819[[Setting]:[Setting]],prev[],4,FALSE),VLOOKUP(all_lmics1819[[who_choice_region]:[who_choice_region]],missing[],3,FALSE))</f>
        <v>1.6E-2</v>
      </c>
      <c r="K76">
        <f>IFERROR(VLOOKUP(all_lmics1819[[Setting]:[Setting]],prev[],5,FALSE),VLOOKUP(all_lmics1819[[who_choice_region]:[who_choice_region]],missing[],4,FALSE))</f>
        <v>0.04</v>
      </c>
      <c r="L76">
        <f>IFERROR(VLOOKUP(all_lmics1819[[Setting]:[Setting]],prev[],7,FALSE),VLOOKUP(all_lmics1819[[who_choice_region]:[who_choice_region]],missing[],5,FALSE))</f>
        <v>2.5510204081632642E-3</v>
      </c>
      <c r="M76">
        <f>IFERROR(VLOOKUP(all_lmics1819[[Setting]:[Setting]],prev[],6,FALSE),0)</f>
        <v>69037513</v>
      </c>
      <c r="N76">
        <f>IFERROR(VLOOKUP(all_lmics1819[[Setting]:[Setting]],SBA[],4,FALSE),VLOOKUP(all_lmics1819[[who_choice_region]:[who_choice_region]],missing[],6,FALSE))*0.95</f>
        <v>0.9414499999999999</v>
      </c>
      <c r="O76">
        <f>IFERROR(VLOOKUP(all_lmics1819[[Setting]:[Setting]], facility[], 3,FALSE),VLOOKUP(all_lmics1819[[who_choice_region]:[who_choice_region]],missing[],7,FALSE))*0.95</f>
        <v>0.93669999999999998</v>
      </c>
      <c r="P76">
        <f>IF(VLOOKUP(all_lmics1819[[Setting]:[Setting]],all_cause_mort[],4,FALSE)="",VLOOKUP(all_lmics1819[[who_choice_region]:[who_choice_region]],missing[],8,FALSE),VLOOKUP(all_lmics1819[[Setting]:[Setting]],all_cause_mort[],4,FALSE))*0.95</f>
        <v>7.4200762699999992E-3</v>
      </c>
      <c r="Q76">
        <f>IF(VLOOKUP(all_lmics1819[[Setting]:[Setting]],all_cause_mort[],5,FALSE)="",VLOOKUP(all_lmics1819[[who_choice_region]:[who_choice_region]],missing[],9,FALSE),VLOOKUP(all_lmics1819[[Setting]:[Setting]],all_cause_mort[],5,FALSE))*0.95</f>
        <v>2.98300133E-4</v>
      </c>
      <c r="R76">
        <f>IF(VLOOKUP(all_lmics1819[[Setting]:[Setting]],all_cause_mort[],6,FALSE)="",VLOOKUP(all_lmics1819[[who_choice_region]:[who_choice_region]],missing[],10,FALSE),VLOOKUP(all_lmics1819[[Setting]:[Setting]],all_cause_mort[],6,FALSE))*0.95</f>
        <v>2.5202814099999999E-4</v>
      </c>
      <c r="S76">
        <f>IF(VLOOKUP(all_lmics1819[[Setting]:[Setting]],all_cause_mort[],7,FALSE)="",VLOOKUP(all_lmics1819[[who_choice_region]:[who_choice_region]],missing[],11,FALSE),VLOOKUP(all_lmics1819[[Setting]:[Setting]],all_cause_mort[],7,FALSE))*0.95</f>
        <v>3.9241011599999996E-4</v>
      </c>
      <c r="T76">
        <f>IF(VLOOKUP(all_lmics1819[[Setting]:[Setting]],all_cause_mort[],8,FALSE)="",VLOOKUP(all_lmics1819[[who_choice_region]:[who_choice_region]],missing[],12,FALSE),VLOOKUP(all_lmics1819[[Setting]:[Setting]],all_cause_mort[],8,FALSE))*0.95</f>
        <v>1.02435213E-3</v>
      </c>
      <c r="U76">
        <f>IF(VLOOKUP(all_lmics1819[[Setting]:[Setting]],all_cause_mort[],9,FALSE)="",VLOOKUP(all_lmics1819[[who_choice_region]:[who_choice_region]],missing[],13,FALSE),VLOOKUP(all_lmics1819[[Setting]:[Setting]],all_cause_mort[],9,FALSE))*0.95</f>
        <v>9.816483E-4</v>
      </c>
      <c r="V76">
        <f>IF(VLOOKUP(all_lmics1819[[Setting]:[Setting]],all_cause_mort[],10,FALSE)="",VLOOKUP(all_lmics1819[[who_choice_region]:[who_choice_region]],missing[],14,FALSE),VLOOKUP(all_lmics1819[[Setting]:[Setting]],all_cause_mort[],10,FALSE))*0.95</f>
        <v>1.077326695E-3</v>
      </c>
      <c r="W76">
        <f>IF(VLOOKUP(all_lmics1819[[Setting]:[Setting]],all_cause_mort[],11,FALSE)="",VLOOKUP(all_lmics1819[[who_choice_region]:[who_choice_region]],missing[],15,FALSE),VLOOKUP(all_lmics1819[[Setting]:[Setting]],all_cause_mort[],11,FALSE))*0.95</f>
        <v>1.5345701499999999E-3</v>
      </c>
      <c r="X76">
        <f>IF(VLOOKUP(all_lmics1819[[Setting]:[Setting]],all_cause_mort[],12,FALSE)="",VLOOKUP(all_lmics1819[[who_choice_region]:[who_choice_region]],missing[],16,FALSE),VLOOKUP(all_lmics1819[[Setting]:[Setting]],all_cause_mort[],12,FALSE))*0.95</f>
        <v>2.3357791549999999E-3</v>
      </c>
      <c r="Y76">
        <f>IF(VLOOKUP(all_lmics1819[[Setting]:[Setting]],all_cause_mort[],13,FALSE)="",VLOOKUP(all_lmics1819[[who_choice_region]:[who_choice_region]],missing[],17,FALSE),VLOOKUP(all_lmics1819[[Setting]:[Setting]],all_cause_mort[],13,FALSE))*0.95</f>
        <v>3.2036901299999998E-3</v>
      </c>
      <c r="Z76">
        <f>IF(VLOOKUP(all_lmics1819[[Setting]:[Setting]],all_cause_mort[],14,FALSE)="",VLOOKUP(all_lmics1819[[who_choice_region]:[who_choice_region]],missing[],18,FALSE),VLOOKUP(all_lmics1819[[Setting]:[Setting]],all_cause_mort[],14,FALSE))*0.95</f>
        <v>4.1876807499999997E-3</v>
      </c>
      <c r="AA76">
        <f>IF(VLOOKUP(all_lmics1819[[Setting]:[Setting]],all_cause_mort[],15,FALSE)="",VLOOKUP(all_lmics1819[[who_choice_region]:[who_choice_region]],missing[],19,FALSE),VLOOKUP(all_lmics1819[[Setting]:[Setting]],all_cause_mort[],15,FALSE))*0.95</f>
        <v>5.5451079149999999E-3</v>
      </c>
      <c r="AB76">
        <f>IF(VLOOKUP(all_lmics1819[[Setting]:[Setting]],all_cause_mort[],16,FALSE)="",VLOOKUP(all_lmics1819[[who_choice_region]:[who_choice_region]],missing[],20,FALSE),VLOOKUP(all_lmics1819[[Setting]:[Setting]],all_cause_mort[],16,FALSE))*0.95</f>
        <v>7.4496208899999996E-3</v>
      </c>
      <c r="AC76">
        <f>IF(VLOOKUP(all_lmics1819[[Setting]:[Setting]],all_cause_mort[],17,FALSE)="",VLOOKUP(all_lmics1819[[who_choice_region]:[who_choice_region]],missing[],21,FALSE),VLOOKUP(all_lmics1819[[Setting]:[Setting]],all_cause_mort[],17,FALSE))*0.95</f>
        <v>1.0884059749999999E-2</v>
      </c>
      <c r="AD76">
        <f>IF(VLOOKUP(all_lmics1819[[Setting]:[Setting]],all_cause_mort[],18,FALSE)="",VLOOKUP(all_lmics1819[[who_choice_region]:[who_choice_region]],missing[],22,FALSE),VLOOKUP(all_lmics1819[[Setting]:[Setting]],all_cause_mort[],18,FALSE))*0.95</f>
        <v>1.5300521399999999E-2</v>
      </c>
      <c r="AE76">
        <f>IF(VLOOKUP(all_lmics1819[[Setting]:[Setting]],all_cause_mort[],19,FALSE)="",VLOOKUP(all_lmics1819[[who_choice_region]:[who_choice_region]],missing[],23,FALSE),VLOOKUP(all_lmics1819[[Setting]:[Setting]],all_cause_mort[],19,FALSE))*0.95</f>
        <v>2.4316611349999996E-2</v>
      </c>
      <c r="AF76">
        <f>IF(VLOOKUP(all_lmics1819[[Setting]:[Setting]],all_cause_mort[],20,FALSE)="",VLOOKUP(all_lmics1819[[who_choice_region]:[who_choice_region]],missing[],24,FALSE),VLOOKUP(all_lmics1819[[Setting]:[Setting]],all_cause_mort[],20,FALSE))*0.95</f>
        <v>3.9973265899999999E-2</v>
      </c>
      <c r="AG76">
        <f>IF(VLOOKUP(all_lmics1819[[Setting]:[Setting]],all_cause_mort[],21,FALSE)="",VLOOKUP(all_lmics1819[[who_choice_region]:[who_choice_region]],missing[],25,FALSE),VLOOKUP(all_lmics1819[[Setting]:[Setting]],all_cause_mort[],21,FALSE))*0.95</f>
        <v>6.4373295800000008E-2</v>
      </c>
      <c r="AH76">
        <f>IF(VLOOKUP(all_lmics1819[[Setting]:[Setting]],all_cause_mort[],22,FALSE)="",VLOOKUP(all_lmics1819[[who_choice_region]:[who_choice_region]],missing[],26,FALSE),VLOOKUP(all_lmics1819[[Setting]:[Setting]],all_cause_mort[],22,FALSE))*0.95</f>
        <v>0.10214285999999999</v>
      </c>
      <c r="AI76">
        <f>IF(VLOOKUP(all_lmics1819[[Setting]:[Setting]],all_cause_mort[],23,FALSE)="",VLOOKUP(all_lmics1819[[who_choice_region]:[who_choice_region]],missing[],27,FALSE),VLOOKUP(all_lmics1819[[Setting]:[Setting]],all_cause_mort[],23,FALSE))*0.95</f>
        <v>0.15479324699999999</v>
      </c>
      <c r="AJ76">
        <f>IF(VLOOKUP(all_lmics1819[[Setting]:[Setting]],all_cause_mort[],24,FALSE)="",VLOOKUP(all_lmics1819[[who_choice_region]:[who_choice_region]],missing[],28,FALSE),VLOOKUP(all_lmics1819[[Setting]:[Setting]],all_cause_mort[],24,FALSE))*0.95</f>
        <v>0.22204799349999998</v>
      </c>
      <c r="AK76">
        <f>IF(VLOOKUP(all_lmics1819[[Setting]:[Setting]],all_cause_mort[],25,FALSE)="",VLOOKUP(all_lmics1819[[who_choice_region]:[who_choice_region]],missing[],29,FALSE),VLOOKUP(all_lmics1819[[Setting]:[Setting]],all_cause_mort[],25,FALSE))*0.95</f>
        <v>0.31871455642515778</v>
      </c>
      <c r="AL76">
        <f>VLOOKUP(all_lmics1819[[worldbank_region]:[worldbank_region]],Table13[],2,FALSE)*0.95</f>
        <v>69.411165749999981</v>
      </c>
      <c r="AM76">
        <f>VLOOKUP(all_lmics1819[[worldbank_region]:[worldbank_region]],Table13[],3,FALSE)*0.95</f>
        <v>69.411165749999981</v>
      </c>
      <c r="AN76">
        <f>VLOOKUP(all_lmics1819[[worldbank_region]:[worldbank_region]],Table13[],4,FALSE)*0.95</f>
        <v>114.75358274999998</v>
      </c>
      <c r="AO76">
        <f>VLOOKUP(all_lmics1819[[worldbank_region]:[worldbank_region]],Table13[],5,FALSE)*0.95</f>
        <v>114.75358274999998</v>
      </c>
      <c r="AP76">
        <f>VLOOKUP(all_lmics1819[[worldbank_region]:[worldbank_region]],Table13[],6,FALSE)*0.95</f>
        <v>114.75358274999998</v>
      </c>
      <c r="AQ76">
        <f>VLOOKUP(all_lmics1819[[worldbank_region]:[worldbank_region]],Table14[],2,FALSE)*0.95</f>
        <v>1.2732755</v>
      </c>
      <c r="AR76">
        <f>VLOOKUP(all_lmics1819[[worldbank_region]:[worldbank_region]],Table14[],3,FALSE)*0.95</f>
        <v>1.8599005</v>
      </c>
      <c r="AS76">
        <f>VLOOKUP(all_lmics1819[[worldbank_region]:[worldbank_region]],Table14[],4,FALSE)*0.95</f>
        <v>1.8737001999999996</v>
      </c>
      <c r="AT76">
        <f>VLOOKUP(all_lmics1819[[worldbank_region]:[worldbank_region]],Table14[],5,FALSE)*0.95</f>
        <v>2.4603251999999998</v>
      </c>
      <c r="AU76">
        <f>VLOOKUP(all_lmics1819[[worldbank_region]:[worldbank_region]],Table14[],6,FALSE)*0.95</f>
        <v>3.0020645999999997</v>
      </c>
      <c r="AV76">
        <f>IFERROR(VLOOKUP(all_lmics1819[[Setting]:[Setting]],nFacSBA[],4,FALSE),VLOOKUP(all_lmics1819[[who_choice_region]:[who_choice_region]],missing[],30,FALSE))*0.95</f>
        <v>0.53001997848517168</v>
      </c>
      <c r="AW76">
        <f>VLOOKUP(all_lmics1819[[worldbank_region]:[worldbank_region]],hbe[],3)</f>
        <v>0.2</v>
      </c>
      <c r="AX76">
        <f>VLOOKUP(all_lmics1819[[worldbank_region]:[worldbank_region]],hbe[],6)</f>
        <v>0.75</v>
      </c>
      <c r="AY76">
        <f>VLOOKUP(all_lmics1819[[worldbank_region]:[worldbank_region]],hbe[],9)</f>
        <v>0.05</v>
      </c>
    </row>
    <row r="77" spans="1:51" x14ac:dyDescent="0.35">
      <c r="A77" s="12" t="s">
        <v>202</v>
      </c>
      <c r="B77" s="13" t="s">
        <v>10</v>
      </c>
      <c r="C77" s="14" t="s">
        <v>11</v>
      </c>
      <c r="D77">
        <f>VLOOKUP(all_lmics1819[[Setting]:[Setting]],populations[],9,FALSE)</f>
        <v>2083160</v>
      </c>
      <c r="E77">
        <f>VLOOKUP(all_lmics1819[[Setting]:[Setting]],birthrate[],3,FALSE)</f>
        <v>1.1276999999999999E-2</v>
      </c>
      <c r="F77">
        <f>all_lmics1819[[#This Row],[2017_population]]*all_lmics1819[[#This Row],[2016_birthrate]]</f>
        <v>23491.795319999997</v>
      </c>
      <c r="G77">
        <f>VLOOKUP(all_lmics1819[[Setting]:[Setting]],birthdose[],4,FALSE)*0.95</f>
        <v>0.93099999999999994</v>
      </c>
      <c r="H77">
        <f>VLOOKUP(all_lmics1819[[Setting]:[Setting]],fullvax[],4,FALSE)*0.95</f>
        <v>0.86449999999999994</v>
      </c>
      <c r="I77">
        <f>IFERROR(VLOOKUP(all_lmics1819[[Setting]:[Setting]],prev[],3,FALSE),VLOOKUP(all_lmics1819[[who_choice_region]:[who_choice_region]],missing[],2,FALSE))</f>
        <v>3.6829417644548806E-2</v>
      </c>
      <c r="J77">
        <f>IFERROR(VLOOKUP(all_lmics1819[[Setting]:[Setting]],prev[],4,FALSE),VLOOKUP(all_lmics1819[[who_choice_region]:[who_choice_region]],missing[],3,FALSE))</f>
        <v>2.5966371918435385E-2</v>
      </c>
      <c r="K77">
        <f>IFERROR(VLOOKUP(all_lmics1819[[Setting]:[Setting]],prev[],5,FALSE),VLOOKUP(all_lmics1819[[who_choice_region]:[who_choice_region]],missing[],4,FALSE))</f>
        <v>4.9168828639050588E-2</v>
      </c>
      <c r="L77">
        <f>IFERROR(VLOOKUP(all_lmics1819[[Setting]:[Setting]],prev[],7,FALSE),VLOOKUP(all_lmics1819[[who_choice_region]:[who_choice_region]],missing[],5,FALSE))</f>
        <v>6.2956178543376482E-3</v>
      </c>
      <c r="M77">
        <f>IFERROR(VLOOKUP(all_lmics1819[[Setting]:[Setting]],prev[],6,FALSE),0)</f>
        <v>0</v>
      </c>
      <c r="N77">
        <f>IFERROR(VLOOKUP(all_lmics1819[[Setting]:[Setting]],SBA[],4,FALSE),VLOOKUP(all_lmics1819[[who_choice_region]:[who_choice_region]],missing[],6,FALSE))*0.95</f>
        <v>0.94905000000000006</v>
      </c>
      <c r="O77">
        <f>IFERROR(VLOOKUP(all_lmics1819[[Setting]:[Setting]], facility[], 3,FALSE),VLOOKUP(all_lmics1819[[who_choice_region]:[who_choice_region]],missing[],7,FALSE))*0.95</f>
        <v>0.94922099999999998</v>
      </c>
      <c r="P77">
        <f>IF(VLOOKUP(all_lmics1819[[Setting]:[Setting]],all_cause_mort[],4,FALSE)="",VLOOKUP(all_lmics1819[[who_choice_region]:[who_choice_region]],missing[],8,FALSE),VLOOKUP(all_lmics1819[[Setting]:[Setting]],all_cause_mort[],4,FALSE))*0.95</f>
        <v>1.02559625E-2</v>
      </c>
      <c r="Q77">
        <f>IF(VLOOKUP(all_lmics1819[[Setting]:[Setting]],all_cause_mort[],5,FALSE)="",VLOOKUP(all_lmics1819[[who_choice_region]:[who_choice_region]],missing[],9,FALSE),VLOOKUP(all_lmics1819[[Setting]:[Setting]],all_cause_mort[],5,FALSE))*0.95</f>
        <v>2.7066060499999995E-4</v>
      </c>
      <c r="R77">
        <f>IF(VLOOKUP(all_lmics1819[[Setting]:[Setting]],all_cause_mort[],6,FALSE)="",VLOOKUP(all_lmics1819[[who_choice_region]:[who_choice_region]],missing[],10,FALSE),VLOOKUP(all_lmics1819[[Setting]:[Setting]],all_cause_mort[],6,FALSE))*0.95</f>
        <v>1.325481325E-4</v>
      </c>
      <c r="S77">
        <f>IF(VLOOKUP(all_lmics1819[[Setting]:[Setting]],all_cause_mort[],7,FALSE)="",VLOOKUP(all_lmics1819[[who_choice_region]:[who_choice_region]],missing[],11,FALSE),VLOOKUP(all_lmics1819[[Setting]:[Setting]],all_cause_mort[],7,FALSE))*0.95</f>
        <v>1.7601405249999998E-4</v>
      </c>
      <c r="T77">
        <f>IF(VLOOKUP(all_lmics1819[[Setting]:[Setting]],all_cause_mort[],8,FALSE)="",VLOOKUP(all_lmics1819[[who_choice_region]:[who_choice_region]],missing[],12,FALSE),VLOOKUP(all_lmics1819[[Setting]:[Setting]],all_cause_mort[],8,FALSE))*0.95</f>
        <v>2.7715961200000001E-4</v>
      </c>
      <c r="U77">
        <f>IF(VLOOKUP(all_lmics1819[[Setting]:[Setting]],all_cause_mort[],9,FALSE)="",VLOOKUP(all_lmics1819[[who_choice_region]:[who_choice_region]],missing[],13,FALSE),VLOOKUP(all_lmics1819[[Setting]:[Setting]],all_cause_mort[],9,FALSE))*0.95</f>
        <v>2.9824855749999998E-4</v>
      </c>
      <c r="V77">
        <f>IF(VLOOKUP(all_lmics1819[[Setting]:[Setting]],all_cause_mort[],10,FALSE)="",VLOOKUP(all_lmics1819[[who_choice_region]:[who_choice_region]],missing[],14,FALSE),VLOOKUP(all_lmics1819[[Setting]:[Setting]],all_cause_mort[],10,FALSE))*0.95</f>
        <v>4.4480303399999994E-4</v>
      </c>
      <c r="W77">
        <f>IF(VLOOKUP(all_lmics1819[[Setting]:[Setting]],all_cause_mort[],11,FALSE)="",VLOOKUP(all_lmics1819[[who_choice_region]:[who_choice_region]],missing[],15,FALSE),VLOOKUP(all_lmics1819[[Setting]:[Setting]],all_cause_mort[],11,FALSE))*0.95</f>
        <v>5.3149266200000001E-4</v>
      </c>
      <c r="X77">
        <f>IF(VLOOKUP(all_lmics1819[[Setting]:[Setting]],all_cause_mort[],12,FALSE)="",VLOOKUP(all_lmics1819[[who_choice_region]:[who_choice_region]],missing[],16,FALSE),VLOOKUP(all_lmics1819[[Setting]:[Setting]],all_cause_mort[],12,FALSE))*0.95</f>
        <v>8.4824179499999998E-4</v>
      </c>
      <c r="Y77">
        <f>IF(VLOOKUP(all_lmics1819[[Setting]:[Setting]],all_cause_mort[],13,FALSE)="",VLOOKUP(all_lmics1819[[who_choice_region]:[who_choice_region]],missing[],17,FALSE),VLOOKUP(all_lmics1819[[Setting]:[Setting]],all_cause_mort[],13,FALSE))*0.95</f>
        <v>1.5518455199999999E-3</v>
      </c>
      <c r="Z77">
        <f>IF(VLOOKUP(all_lmics1819[[Setting]:[Setting]],all_cause_mort[],14,FALSE)="",VLOOKUP(all_lmics1819[[who_choice_region]:[who_choice_region]],missing[],18,FALSE),VLOOKUP(all_lmics1819[[Setting]:[Setting]],all_cause_mort[],14,FALSE))*0.95</f>
        <v>2.4017387000000003E-3</v>
      </c>
      <c r="AA77">
        <f>IF(VLOOKUP(all_lmics1819[[Setting]:[Setting]],all_cause_mort[],15,FALSE)="",VLOOKUP(all_lmics1819[[who_choice_region]:[who_choice_region]],missing[],19,FALSE),VLOOKUP(all_lmics1819[[Setting]:[Setting]],all_cause_mort[],15,FALSE))*0.95</f>
        <v>4.5023561850000005E-3</v>
      </c>
      <c r="AB77">
        <f>IF(VLOOKUP(all_lmics1819[[Setting]:[Setting]],all_cause_mort[],16,FALSE)="",VLOOKUP(all_lmics1819[[who_choice_region]:[who_choice_region]],missing[],20,FALSE),VLOOKUP(all_lmics1819[[Setting]:[Setting]],all_cause_mort[],16,FALSE))*0.95</f>
        <v>7.7133253099999997E-3</v>
      </c>
      <c r="AC77">
        <f>IF(VLOOKUP(all_lmics1819[[Setting]:[Setting]],all_cause_mort[],17,FALSE)="",VLOOKUP(all_lmics1819[[who_choice_region]:[who_choice_region]],missing[],21,FALSE),VLOOKUP(all_lmics1819[[Setting]:[Setting]],all_cause_mort[],17,FALSE))*0.95</f>
        <v>1.290741535E-2</v>
      </c>
      <c r="AD77">
        <f>IF(VLOOKUP(all_lmics1819[[Setting]:[Setting]],all_cause_mort[],18,FALSE)="",VLOOKUP(all_lmics1819[[who_choice_region]:[who_choice_region]],missing[],22,FALSE),VLOOKUP(all_lmics1819[[Setting]:[Setting]],all_cause_mort[],18,FALSE))*0.95</f>
        <v>2.0338338149999999E-2</v>
      </c>
      <c r="AE77">
        <f>IF(VLOOKUP(all_lmics1819[[Setting]:[Setting]],all_cause_mort[],19,FALSE)="",VLOOKUP(all_lmics1819[[who_choice_region]:[who_choice_region]],missing[],23,FALSE),VLOOKUP(all_lmics1819[[Setting]:[Setting]],all_cause_mort[],19,FALSE))*0.95</f>
        <v>3.2879109550000001E-2</v>
      </c>
      <c r="AF77">
        <f>IF(VLOOKUP(all_lmics1819[[Setting]:[Setting]],all_cause_mort[],20,FALSE)="",VLOOKUP(all_lmics1819[[who_choice_region]:[who_choice_region]],missing[],24,FALSE),VLOOKUP(all_lmics1819[[Setting]:[Setting]],all_cause_mort[],20,FALSE))*0.95</f>
        <v>6.2415891099999996E-2</v>
      </c>
      <c r="AG77">
        <f>IF(VLOOKUP(all_lmics1819[[Setting]:[Setting]],all_cause_mort[],21,FALSE)="",VLOOKUP(all_lmics1819[[who_choice_region]:[who_choice_region]],missing[],25,FALSE),VLOOKUP(all_lmics1819[[Setting]:[Setting]],all_cause_mort[],21,FALSE))*0.95</f>
        <v>0.1129657065</v>
      </c>
      <c r="AH77">
        <f>IF(VLOOKUP(all_lmics1819[[Setting]:[Setting]],all_cause_mort[],22,FALSE)="",VLOOKUP(all_lmics1819[[who_choice_region]:[who_choice_region]],missing[],26,FALSE),VLOOKUP(all_lmics1819[[Setting]:[Setting]],all_cause_mort[],22,FALSE))*0.95</f>
        <v>0.18994609700000001</v>
      </c>
      <c r="AI77">
        <f>IF(VLOOKUP(all_lmics1819[[Setting]:[Setting]],all_cause_mort[],23,FALSE)="",VLOOKUP(all_lmics1819[[who_choice_region]:[who_choice_region]],missing[],27,FALSE),VLOOKUP(all_lmics1819[[Setting]:[Setting]],all_cause_mort[],23,FALSE))*0.95</f>
        <v>0.31724436799999994</v>
      </c>
      <c r="AJ77">
        <f>IF(VLOOKUP(all_lmics1819[[Setting]:[Setting]],all_cause_mort[],24,FALSE)="",VLOOKUP(all_lmics1819[[who_choice_region]:[who_choice_region]],missing[],28,FALSE),VLOOKUP(all_lmics1819[[Setting]:[Setting]],all_cause_mort[],24,FALSE))*0.95</f>
        <v>0.46578035449999994</v>
      </c>
      <c r="AK77">
        <f>IF(VLOOKUP(all_lmics1819[[Setting]:[Setting]],all_cause_mort[],25,FALSE)="",VLOOKUP(all_lmics1819[[who_choice_region]:[who_choice_region]],missing[],29,FALSE),VLOOKUP(all_lmics1819[[Setting]:[Setting]],all_cause_mort[],25,FALSE))*0.95</f>
        <v>0.62165801558647127</v>
      </c>
      <c r="AL77">
        <f>VLOOKUP(all_lmics1819[[worldbank_region]:[worldbank_region]],Table13[],2,FALSE)*0.95</f>
        <v>42.29888489999999</v>
      </c>
      <c r="AM77">
        <f>VLOOKUP(all_lmics1819[[worldbank_region]:[worldbank_region]],Table13[],3,FALSE)*0.95</f>
        <v>42.29888489999999</v>
      </c>
      <c r="AN77">
        <f>VLOOKUP(all_lmics1819[[worldbank_region]:[worldbank_region]],Table13[],4,FALSE)*0.95</f>
        <v>87.641301899999988</v>
      </c>
      <c r="AO77">
        <f>VLOOKUP(all_lmics1819[[worldbank_region]:[worldbank_region]],Table13[],5,FALSE)*0.95</f>
        <v>87.641301899999988</v>
      </c>
      <c r="AP77">
        <f>VLOOKUP(all_lmics1819[[worldbank_region]:[worldbank_region]],Table13[],6,FALSE)*0.95</f>
        <v>87.641301899999988</v>
      </c>
      <c r="AQ77">
        <f>VLOOKUP(all_lmics1819[[worldbank_region]:[worldbank_region]],Table14[],2,FALSE)*0.95</f>
        <v>6.0973773999999992</v>
      </c>
      <c r="AR77">
        <f>VLOOKUP(all_lmics1819[[worldbank_region]:[worldbank_region]],Table14[],3,FALSE)*0.95</f>
        <v>6.6840023999999998</v>
      </c>
      <c r="AS77">
        <f>VLOOKUP(all_lmics1819[[worldbank_region]:[worldbank_region]],Table14[],4,FALSE)*0.95</f>
        <v>9.9587293499999969</v>
      </c>
      <c r="AT77">
        <f>VLOOKUP(all_lmics1819[[worldbank_region]:[worldbank_region]],Table14[],5,FALSE)*0.95</f>
        <v>10.545354349999998</v>
      </c>
      <c r="AU77">
        <f>VLOOKUP(all_lmics1819[[worldbank_region]:[worldbank_region]],Table14[],6,FALSE)*0.95</f>
        <v>11.087093749999999</v>
      </c>
      <c r="AV77">
        <f>IFERROR(VLOOKUP(all_lmics1819[[Setting]:[Setting]],nFacSBA[],4,FALSE),VLOOKUP(all_lmics1819[[who_choice_region]:[who_choice_region]],missing[],30,FALSE))*0.95</f>
        <v>0.50689921499704871</v>
      </c>
      <c r="AW77">
        <f>VLOOKUP(all_lmics1819[[worldbank_region]:[worldbank_region]],hbe[],3)</f>
        <v>0.2</v>
      </c>
      <c r="AX77">
        <f>VLOOKUP(all_lmics1819[[worldbank_region]:[worldbank_region]],hbe[],6)</f>
        <v>0.75</v>
      </c>
      <c r="AY77">
        <f>VLOOKUP(all_lmics1819[[worldbank_region]:[worldbank_region]],hbe[],9)</f>
        <v>0.05</v>
      </c>
    </row>
    <row r="78" spans="1:51" x14ac:dyDescent="0.35">
      <c r="A78" s="8" t="s">
        <v>203</v>
      </c>
      <c r="B78" s="10" t="s">
        <v>36</v>
      </c>
      <c r="C78" s="11" t="s">
        <v>37</v>
      </c>
      <c r="D78">
        <f>VLOOKUP(all_lmics1819[[Setting]:[Setting]],populations[],9,FALSE)</f>
        <v>1296311</v>
      </c>
      <c r="E78">
        <f>VLOOKUP(all_lmics1819[[Setting]:[Setting]],birthrate[],3,FALSE)</f>
        <v>3.5048000000000003E-2</v>
      </c>
      <c r="F78">
        <f>all_lmics1819[[#This Row],[2017_population]]*all_lmics1819[[#This Row],[2016_birthrate]]</f>
        <v>45433.107928000005</v>
      </c>
      <c r="G78">
        <f>VLOOKUP(all_lmics1819[[Setting]:[Setting]],birthdose[],4,FALSE)*0.95</f>
        <v>0.44649999999999995</v>
      </c>
      <c r="H78">
        <f>VLOOKUP(all_lmics1819[[Setting]:[Setting]],fullvax[],4,FALSE)*0.95</f>
        <v>0.72199999999999998</v>
      </c>
      <c r="I78">
        <f>IFERROR(VLOOKUP(all_lmics1819[[Setting]:[Setting]],prev[],3,FALSE),VLOOKUP(all_lmics1819[[who_choice_region]:[who_choice_region]],missing[],2,FALSE))</f>
        <v>2.9042976123168401E-2</v>
      </c>
      <c r="J78">
        <f>IFERROR(VLOOKUP(all_lmics1819[[Setting]:[Setting]],prev[],4,FALSE),VLOOKUP(all_lmics1819[[who_choice_region]:[who_choice_region]],missing[],3,FALSE))</f>
        <v>2.3703460291678725E-2</v>
      </c>
      <c r="K78">
        <f>IFERROR(VLOOKUP(all_lmics1819[[Setting]:[Setting]],prev[],5,FALSE),VLOOKUP(all_lmics1819[[who_choice_region]:[who_choice_region]],missing[],4,FALSE))</f>
        <v>3.2561757047722864E-2</v>
      </c>
      <c r="L78">
        <f>IFERROR(VLOOKUP(all_lmics1819[[Setting]:[Setting]],prev[],7,FALSE),VLOOKUP(all_lmics1819[[who_choice_region]:[who_choice_region]],missing[],5,FALSE))</f>
        <v>1.7952963900788081E-3</v>
      </c>
      <c r="M78">
        <f>IFERROR(VLOOKUP(all_lmics1819[[Setting]:[Setting]],prev[],6,FALSE),0)</f>
        <v>0</v>
      </c>
      <c r="N78">
        <f>IFERROR(VLOOKUP(all_lmics1819[[Setting]:[Setting]],SBA[],4,FALSE),VLOOKUP(all_lmics1819[[who_choice_region]:[who_choice_region]],missing[],6,FALSE))*0.95</f>
        <v>0.53865000000000007</v>
      </c>
      <c r="O78">
        <f>IFERROR(VLOOKUP(all_lmics1819[[Setting]:[Setting]], facility[], 3,FALSE),VLOOKUP(all_lmics1819[[who_choice_region]:[who_choice_region]],missing[],7,FALSE))*0.95</f>
        <v>0.20329999999999998</v>
      </c>
      <c r="P78">
        <f>IF(VLOOKUP(all_lmics1819[[Setting]:[Setting]],all_cause_mort[],4,FALSE)="",VLOOKUP(all_lmics1819[[who_choice_region]:[who_choice_region]],missing[],8,FALSE),VLOOKUP(all_lmics1819[[Setting]:[Setting]],all_cause_mort[],4,FALSE))*0.95</f>
        <v>3.6644411749999994E-2</v>
      </c>
      <c r="Q78">
        <f>IF(VLOOKUP(all_lmics1819[[Setting]:[Setting]],all_cause_mort[],5,FALSE)="",VLOOKUP(all_lmics1819[[who_choice_region]:[who_choice_region]],missing[],9,FALSE),VLOOKUP(all_lmics1819[[Setting]:[Setting]],all_cause_mort[],5,FALSE))*0.95</f>
        <v>2.3339386249999999E-3</v>
      </c>
      <c r="R78">
        <f>IF(VLOOKUP(all_lmics1819[[Setting]:[Setting]],all_cause_mort[],6,FALSE)="",VLOOKUP(all_lmics1819[[who_choice_region]:[who_choice_region]],missing[],10,FALSE),VLOOKUP(all_lmics1819[[Setting]:[Setting]],all_cause_mort[],6,FALSE))*0.95</f>
        <v>7.1427855200000001E-4</v>
      </c>
      <c r="S78">
        <f>IF(VLOOKUP(all_lmics1819[[Setting]:[Setting]],all_cause_mort[],7,FALSE)="",VLOOKUP(all_lmics1819[[who_choice_region]:[who_choice_region]],missing[],11,FALSE),VLOOKUP(all_lmics1819[[Setting]:[Setting]],all_cause_mort[],7,FALSE))*0.95</f>
        <v>5.5167654249999997E-4</v>
      </c>
      <c r="T78">
        <f>IF(VLOOKUP(all_lmics1819[[Setting]:[Setting]],all_cause_mort[],8,FALSE)="",VLOOKUP(all_lmics1819[[who_choice_region]:[who_choice_region]],missing[],12,FALSE),VLOOKUP(all_lmics1819[[Setting]:[Setting]],all_cause_mort[],8,FALSE))*0.95</f>
        <v>9.5188080999999991E-4</v>
      </c>
      <c r="U78">
        <f>IF(VLOOKUP(all_lmics1819[[Setting]:[Setting]],all_cause_mort[],9,FALSE)="",VLOOKUP(all_lmics1819[[who_choice_region]:[who_choice_region]],missing[],13,FALSE),VLOOKUP(all_lmics1819[[Setting]:[Setting]],all_cause_mort[],9,FALSE))*0.95</f>
        <v>1.2017751749999999E-3</v>
      </c>
      <c r="V78">
        <f>IF(VLOOKUP(all_lmics1819[[Setting]:[Setting]],all_cause_mort[],10,FALSE)="",VLOOKUP(all_lmics1819[[who_choice_region]:[who_choice_region]],missing[],14,FALSE),VLOOKUP(all_lmics1819[[Setting]:[Setting]],all_cause_mort[],10,FALSE))*0.95</f>
        <v>1.14749189E-3</v>
      </c>
      <c r="W78">
        <f>IF(VLOOKUP(all_lmics1819[[Setting]:[Setting]],all_cause_mort[],11,FALSE)="",VLOOKUP(all_lmics1819[[who_choice_region]:[who_choice_region]],missing[],15,FALSE),VLOOKUP(all_lmics1819[[Setting]:[Setting]],all_cause_mort[],11,FALSE))*0.95</f>
        <v>1.2765583199999999E-3</v>
      </c>
      <c r="X78">
        <f>IF(VLOOKUP(all_lmics1819[[Setting]:[Setting]],all_cause_mort[],12,FALSE)="",VLOOKUP(all_lmics1819[[who_choice_region]:[who_choice_region]],missing[],16,FALSE),VLOOKUP(all_lmics1819[[Setting]:[Setting]],all_cause_mort[],12,FALSE))*0.95</f>
        <v>1.6689896399999999E-3</v>
      </c>
      <c r="Y78">
        <f>IF(VLOOKUP(all_lmics1819[[Setting]:[Setting]],all_cause_mort[],13,FALSE)="",VLOOKUP(all_lmics1819[[who_choice_region]:[who_choice_region]],missing[],17,FALSE),VLOOKUP(all_lmics1819[[Setting]:[Setting]],all_cause_mort[],13,FALSE))*0.95</f>
        <v>2.4050067000000001E-3</v>
      </c>
      <c r="Z78">
        <f>IF(VLOOKUP(all_lmics1819[[Setting]:[Setting]],all_cause_mort[],14,FALSE)="",VLOOKUP(all_lmics1819[[who_choice_region]:[who_choice_region]],missing[],18,FALSE),VLOOKUP(all_lmics1819[[Setting]:[Setting]],all_cause_mort[],14,FALSE))*0.95</f>
        <v>3.8435454349999994E-3</v>
      </c>
      <c r="AA78">
        <f>IF(VLOOKUP(all_lmics1819[[Setting]:[Setting]],all_cause_mort[],15,FALSE)="",VLOOKUP(all_lmics1819[[who_choice_region]:[who_choice_region]],missing[],19,FALSE),VLOOKUP(all_lmics1819[[Setting]:[Setting]],all_cause_mort[],15,FALSE))*0.95</f>
        <v>6.3436856100000001E-3</v>
      </c>
      <c r="AB78">
        <f>IF(VLOOKUP(all_lmics1819[[Setting]:[Setting]],all_cause_mort[],16,FALSE)="",VLOOKUP(all_lmics1819[[who_choice_region]:[who_choice_region]],missing[],20,FALSE),VLOOKUP(all_lmics1819[[Setting]:[Setting]],all_cause_mort[],16,FALSE))*0.95</f>
        <v>1.0999049649999999E-2</v>
      </c>
      <c r="AC78">
        <f>IF(VLOOKUP(all_lmics1819[[Setting]:[Setting]],all_cause_mort[],17,FALSE)="",VLOOKUP(all_lmics1819[[who_choice_region]:[who_choice_region]],missing[],21,FALSE),VLOOKUP(all_lmics1819[[Setting]:[Setting]],all_cause_mort[],17,FALSE))*0.95</f>
        <v>1.7951714899999999E-2</v>
      </c>
      <c r="AD78">
        <f>IF(VLOOKUP(all_lmics1819[[Setting]:[Setting]],all_cause_mort[],18,FALSE)="",VLOOKUP(all_lmics1819[[who_choice_region]:[who_choice_region]],missing[],22,FALSE),VLOOKUP(all_lmics1819[[Setting]:[Setting]],all_cause_mort[],18,FALSE))*0.95</f>
        <v>2.9315235849999999E-2</v>
      </c>
      <c r="AE78">
        <f>IF(VLOOKUP(all_lmics1819[[Setting]:[Setting]],all_cause_mort[],19,FALSE)="",VLOOKUP(all_lmics1819[[who_choice_region]:[who_choice_region]],missing[],23,FALSE),VLOOKUP(all_lmics1819[[Setting]:[Setting]],all_cause_mort[],19,FALSE))*0.95</f>
        <v>4.8654829499999996E-2</v>
      </c>
      <c r="AF78">
        <f>IF(VLOOKUP(all_lmics1819[[Setting]:[Setting]],all_cause_mort[],20,FALSE)="",VLOOKUP(all_lmics1819[[who_choice_region]:[who_choice_region]],missing[],24,FALSE),VLOOKUP(all_lmics1819[[Setting]:[Setting]],all_cause_mort[],20,FALSE))*0.95</f>
        <v>8.0516508050000005E-2</v>
      </c>
      <c r="AG78">
        <f>IF(VLOOKUP(all_lmics1819[[Setting]:[Setting]],all_cause_mort[],21,FALSE)="",VLOOKUP(all_lmics1819[[who_choice_region]:[who_choice_region]],missing[],25,FALSE),VLOOKUP(all_lmics1819[[Setting]:[Setting]],all_cause_mort[],21,FALSE))*0.95</f>
        <v>0.12843962</v>
      </c>
      <c r="AH78">
        <f>IF(VLOOKUP(all_lmics1819[[Setting]:[Setting]],all_cause_mort[],22,FALSE)="",VLOOKUP(all_lmics1819[[who_choice_region]:[who_choice_region]],missing[],26,FALSE),VLOOKUP(all_lmics1819[[Setting]:[Setting]],all_cause_mort[],22,FALSE))*0.95</f>
        <v>0.19923036150000001</v>
      </c>
      <c r="AI78">
        <f>IF(VLOOKUP(all_lmics1819[[Setting]:[Setting]],all_cause_mort[],23,FALSE)="",VLOOKUP(all_lmics1819[[who_choice_region]:[who_choice_region]],missing[],27,FALSE),VLOOKUP(all_lmics1819[[Setting]:[Setting]],all_cause_mort[],23,FALSE))*0.95</f>
        <v>0.28841193450000002</v>
      </c>
      <c r="AJ78">
        <f>IF(VLOOKUP(all_lmics1819[[Setting]:[Setting]],all_cause_mort[],24,FALSE)="",VLOOKUP(all_lmics1819[[who_choice_region]:[who_choice_region]],missing[],28,FALSE),VLOOKUP(all_lmics1819[[Setting]:[Setting]],all_cause_mort[],24,FALSE))*0.95</f>
        <v>0.40022801749999998</v>
      </c>
      <c r="AK78">
        <f>IF(VLOOKUP(all_lmics1819[[Setting]:[Setting]],all_cause_mort[],25,FALSE)="",VLOOKUP(all_lmics1819[[who_choice_region]:[who_choice_region]],missing[],29,FALSE),VLOOKUP(all_lmics1819[[Setting]:[Setting]],all_cause_mort[],25,FALSE))*0.95</f>
        <v>0.53836337759889286</v>
      </c>
      <c r="AL78">
        <f>VLOOKUP(all_lmics1819[[worldbank_region]:[worldbank_region]],Table13[],2,FALSE)*0.95</f>
        <v>54.493717599999997</v>
      </c>
      <c r="AM78">
        <f>VLOOKUP(all_lmics1819[[worldbank_region]:[worldbank_region]],Table13[],3,FALSE)*0.95</f>
        <v>54.493717599999997</v>
      </c>
      <c r="AN78">
        <f>VLOOKUP(all_lmics1819[[worldbank_region]:[worldbank_region]],Table13[],4,FALSE)*0.95</f>
        <v>99.836134599999994</v>
      </c>
      <c r="AO78">
        <f>VLOOKUP(all_lmics1819[[worldbank_region]:[worldbank_region]],Table13[],5,FALSE)*0.95</f>
        <v>99.836134599999994</v>
      </c>
      <c r="AP78">
        <f>VLOOKUP(all_lmics1819[[worldbank_region]:[worldbank_region]],Table13[],6,FALSE)*0.95</f>
        <v>99.836134599999994</v>
      </c>
      <c r="AQ78">
        <f>VLOOKUP(all_lmics1819[[worldbank_region]:[worldbank_region]],Table14[],2,FALSE)*0.95</f>
        <v>0.91095024999999996</v>
      </c>
      <c r="AR78">
        <f>VLOOKUP(all_lmics1819[[worldbank_region]:[worldbank_region]],Table14[],3,FALSE)*0.95</f>
        <v>1.4975752500000001</v>
      </c>
      <c r="AS78">
        <f>VLOOKUP(all_lmics1819[[worldbank_region]:[worldbank_region]],Table14[],4,FALSE)*0.95</f>
        <v>31.377327699999995</v>
      </c>
      <c r="AT78">
        <f>VLOOKUP(all_lmics1819[[worldbank_region]:[worldbank_region]],Table14[],5,FALSE)*0.95</f>
        <v>31.963952699999997</v>
      </c>
      <c r="AU78">
        <f>VLOOKUP(all_lmics1819[[worldbank_region]:[worldbank_region]],Table14[],6,FALSE)*0.95</f>
        <v>32.505692099999997</v>
      </c>
      <c r="AV78">
        <f>IFERROR(VLOOKUP(all_lmics1819[[Setting]:[Setting]],nFacSBA[],4,FALSE),VLOOKUP(all_lmics1819[[who_choice_region]:[who_choice_region]],missing[],30,FALSE))*0.95</f>
        <v>0.10206040553243056</v>
      </c>
      <c r="AW78">
        <f>VLOOKUP(all_lmics1819[[worldbank_region]:[worldbank_region]],hbe[],3)</f>
        <v>0.2</v>
      </c>
      <c r="AX78">
        <f>VLOOKUP(all_lmics1819[[worldbank_region]:[worldbank_region]],hbe[],6)</f>
        <v>0.75</v>
      </c>
      <c r="AY78">
        <f>VLOOKUP(all_lmics1819[[worldbank_region]:[worldbank_region]],hbe[],9)</f>
        <v>0.05</v>
      </c>
    </row>
    <row r="79" spans="1:51" x14ac:dyDescent="0.35">
      <c r="A79" s="8" t="s">
        <v>205</v>
      </c>
      <c r="B79" s="10" t="s">
        <v>57</v>
      </c>
      <c r="C79" s="11" t="s">
        <v>58</v>
      </c>
      <c r="D79">
        <f>VLOOKUP(all_lmics1819[[Setting]:[Setting]],populations[],9,FALSE)</f>
        <v>108020</v>
      </c>
      <c r="E79">
        <f>VLOOKUP(all_lmics1819[[Setting]:[Setting]],birthrate[],3,FALSE)</f>
        <v>2.3982E-2</v>
      </c>
      <c r="F79">
        <f>all_lmics1819[[#This Row],[2017_population]]*all_lmics1819[[#This Row],[2016_birthrate]]</f>
        <v>2590.5356400000001</v>
      </c>
      <c r="G79">
        <f>VLOOKUP(all_lmics1819[[Setting]:[Setting]],birthdose[],4,FALSE)*0.95</f>
        <v>0.83599999999999997</v>
      </c>
      <c r="H79">
        <f>VLOOKUP(all_lmics1819[[Setting]:[Setting]],fullvax[],4,FALSE)*0.95</f>
        <v>0.76949999999999996</v>
      </c>
      <c r="I79">
        <f>IFERROR(VLOOKUP(all_lmics1819[[Setting]:[Setting]],prev[],3,FALSE),VLOOKUP(all_lmics1819[[who_choice_region]:[who_choice_region]],missing[],2,FALSE))</f>
        <v>6.2014367393849211E-2</v>
      </c>
      <c r="J79">
        <f>IFERROR(VLOOKUP(all_lmics1819[[Setting]:[Setting]],prev[],4,FALSE),VLOOKUP(all_lmics1819[[who_choice_region]:[who_choice_region]],missing[],3,FALSE))</f>
        <v>5.5830551219148553E-2</v>
      </c>
      <c r="K79">
        <f>IFERROR(VLOOKUP(all_lmics1819[[Setting]:[Setting]],prev[],5,FALSE),VLOOKUP(all_lmics1819[[who_choice_region]:[who_choice_region]],missing[],4,FALSE))</f>
        <v>7.0881613218274672E-2</v>
      </c>
      <c r="L79">
        <f>IFERROR(VLOOKUP(all_lmics1819[[Setting]:[Setting]],prev[],7,FALSE),VLOOKUP(all_lmics1819[[who_choice_region]:[who_choice_region]],missing[],5,FALSE))</f>
        <v>4.5241050124619608E-3</v>
      </c>
      <c r="M79">
        <f>IFERROR(VLOOKUP(all_lmics1819[[Setting]:[Setting]],prev[],6,FALSE),0)</f>
        <v>0</v>
      </c>
      <c r="N79">
        <f>IFERROR(VLOOKUP(all_lmics1819[[Setting]:[Setting]],SBA[],4,FALSE),VLOOKUP(all_lmics1819[[who_choice_region]:[who_choice_region]],missing[],6,FALSE))*0.95</f>
        <v>0.90724999999999989</v>
      </c>
      <c r="O79">
        <f>IFERROR(VLOOKUP(all_lmics1819[[Setting]:[Setting]], facility[], 3,FALSE),VLOOKUP(all_lmics1819[[who_choice_region]:[who_choice_region]],missing[],7,FALSE))*0.95</f>
        <v>0.93099999999999994</v>
      </c>
      <c r="P79">
        <f>IF(VLOOKUP(all_lmics1819[[Setting]:[Setting]],all_cause_mort[],4,FALSE)="",VLOOKUP(all_lmics1819[[who_choice_region]:[who_choice_region]],missing[],8,FALSE),VLOOKUP(all_lmics1819[[Setting]:[Setting]],all_cause_mort[],4,FALSE))*0.95</f>
        <v>1.202885725E-2</v>
      </c>
      <c r="Q79">
        <f>IF(VLOOKUP(all_lmics1819[[Setting]:[Setting]],all_cause_mort[],5,FALSE)="",VLOOKUP(all_lmics1819[[who_choice_region]:[who_choice_region]],missing[],9,FALSE),VLOOKUP(all_lmics1819[[Setting]:[Setting]],all_cause_mort[],5,FALSE))*0.95</f>
        <v>7.480011865E-4</v>
      </c>
      <c r="R79">
        <f>IF(VLOOKUP(all_lmics1819[[Setting]:[Setting]],all_cause_mort[],6,FALSE)="",VLOOKUP(all_lmics1819[[who_choice_region]:[who_choice_region]],missing[],10,FALSE),VLOOKUP(all_lmics1819[[Setting]:[Setting]],all_cause_mort[],6,FALSE))*0.95</f>
        <v>3.7858263799999997E-4</v>
      </c>
      <c r="S79">
        <f>IF(VLOOKUP(all_lmics1819[[Setting]:[Setting]],all_cause_mort[],7,FALSE)="",VLOOKUP(all_lmics1819[[who_choice_region]:[who_choice_region]],missing[],11,FALSE),VLOOKUP(all_lmics1819[[Setting]:[Setting]],all_cause_mort[],7,FALSE))*0.95</f>
        <v>3.5954534099999995E-4</v>
      </c>
      <c r="T79">
        <f>IF(VLOOKUP(all_lmics1819[[Setting]:[Setting]],all_cause_mort[],8,FALSE)="",VLOOKUP(all_lmics1819[[who_choice_region]:[who_choice_region]],missing[],12,FALSE),VLOOKUP(all_lmics1819[[Setting]:[Setting]],all_cause_mort[],8,FALSE))*0.95</f>
        <v>8.995003274999999E-4</v>
      </c>
      <c r="U79">
        <f>IF(VLOOKUP(all_lmics1819[[Setting]:[Setting]],all_cause_mort[],9,FALSE)="",VLOOKUP(all_lmics1819[[who_choice_region]:[who_choice_region]],missing[],13,FALSE),VLOOKUP(all_lmics1819[[Setting]:[Setting]],all_cause_mort[],9,FALSE))*0.95</f>
        <v>1.3088890049999999E-3</v>
      </c>
      <c r="V79">
        <f>IF(VLOOKUP(all_lmics1819[[Setting]:[Setting]],all_cause_mort[],10,FALSE)="",VLOOKUP(all_lmics1819[[who_choice_region]:[who_choice_region]],missing[],14,FALSE),VLOOKUP(all_lmics1819[[Setting]:[Setting]],all_cause_mort[],10,FALSE))*0.95</f>
        <v>1.4330456449999998E-3</v>
      </c>
      <c r="W79">
        <f>IF(VLOOKUP(all_lmics1819[[Setting]:[Setting]],all_cause_mort[],11,FALSE)="",VLOOKUP(all_lmics1819[[who_choice_region]:[who_choice_region]],missing[],15,FALSE),VLOOKUP(all_lmics1819[[Setting]:[Setting]],all_cause_mort[],11,FALSE))*0.95</f>
        <v>1.7144154099999998E-3</v>
      </c>
      <c r="X79">
        <f>IF(VLOOKUP(all_lmics1819[[Setting]:[Setting]],all_cause_mort[],12,FALSE)="",VLOOKUP(all_lmics1819[[who_choice_region]:[who_choice_region]],missing[],16,FALSE),VLOOKUP(all_lmics1819[[Setting]:[Setting]],all_cause_mort[],12,FALSE))*0.95</f>
        <v>2.31401076E-3</v>
      </c>
      <c r="Y79">
        <f>IF(VLOOKUP(all_lmics1819[[Setting]:[Setting]],all_cause_mort[],13,FALSE)="",VLOOKUP(all_lmics1819[[who_choice_region]:[who_choice_region]],missing[],17,FALSE),VLOOKUP(all_lmics1819[[Setting]:[Setting]],all_cause_mort[],13,FALSE))*0.95</f>
        <v>3.33397997E-3</v>
      </c>
      <c r="Z79">
        <f>IF(VLOOKUP(all_lmics1819[[Setting]:[Setting]],all_cause_mort[],14,FALSE)="",VLOOKUP(all_lmics1819[[who_choice_region]:[who_choice_region]],missing[],18,FALSE),VLOOKUP(all_lmics1819[[Setting]:[Setting]],all_cause_mort[],14,FALSE))*0.95</f>
        <v>5.0317469150000004E-3</v>
      </c>
      <c r="AA79">
        <f>IF(VLOOKUP(all_lmics1819[[Setting]:[Setting]],all_cause_mort[],15,FALSE)="",VLOOKUP(all_lmics1819[[who_choice_region]:[who_choice_region]],missing[],19,FALSE),VLOOKUP(all_lmics1819[[Setting]:[Setting]],all_cause_mort[],15,FALSE))*0.95</f>
        <v>7.6544864900000001E-3</v>
      </c>
      <c r="AB79">
        <f>IF(VLOOKUP(all_lmics1819[[Setting]:[Setting]],all_cause_mort[],16,FALSE)="",VLOOKUP(all_lmics1819[[who_choice_region]:[who_choice_region]],missing[],20,FALSE),VLOOKUP(all_lmics1819[[Setting]:[Setting]],all_cause_mort[],16,FALSE))*0.95</f>
        <v>1.14056734E-2</v>
      </c>
      <c r="AC79">
        <f>IF(VLOOKUP(all_lmics1819[[Setting]:[Setting]],all_cause_mort[],17,FALSE)="",VLOOKUP(all_lmics1819[[who_choice_region]:[who_choice_region]],missing[],21,FALSE),VLOOKUP(all_lmics1819[[Setting]:[Setting]],all_cause_mort[],17,FALSE))*0.95</f>
        <v>1.839865475E-2</v>
      </c>
      <c r="AD79">
        <f>IF(VLOOKUP(all_lmics1819[[Setting]:[Setting]],all_cause_mort[],18,FALSE)="",VLOOKUP(all_lmics1819[[who_choice_region]:[who_choice_region]],missing[],22,FALSE),VLOOKUP(all_lmics1819[[Setting]:[Setting]],all_cause_mort[],18,FALSE))*0.95</f>
        <v>3.01299093E-2</v>
      </c>
      <c r="AE79">
        <f>IF(VLOOKUP(all_lmics1819[[Setting]:[Setting]],all_cause_mort[],19,FALSE)="",VLOOKUP(all_lmics1819[[who_choice_region]:[who_choice_region]],missing[],23,FALSE),VLOOKUP(all_lmics1819[[Setting]:[Setting]],all_cause_mort[],19,FALSE))*0.95</f>
        <v>4.8838579449999996E-2</v>
      </c>
      <c r="AF79">
        <f>IF(VLOOKUP(all_lmics1819[[Setting]:[Setting]],all_cause_mort[],20,FALSE)="",VLOOKUP(all_lmics1819[[who_choice_region]:[who_choice_region]],missing[],24,FALSE),VLOOKUP(all_lmics1819[[Setting]:[Setting]],all_cause_mort[],20,FALSE))*0.95</f>
        <v>7.8762231400000007E-2</v>
      </c>
      <c r="AG79">
        <f>IF(VLOOKUP(all_lmics1819[[Setting]:[Setting]],all_cause_mort[],21,FALSE)="",VLOOKUP(all_lmics1819[[who_choice_region]:[who_choice_region]],missing[],25,FALSE),VLOOKUP(all_lmics1819[[Setting]:[Setting]],all_cause_mort[],21,FALSE))*0.95</f>
        <v>0.127348146</v>
      </c>
      <c r="AH79">
        <f>IF(VLOOKUP(all_lmics1819[[Setting]:[Setting]],all_cause_mort[],22,FALSE)="",VLOOKUP(all_lmics1819[[who_choice_region]:[who_choice_region]],missing[],26,FALSE),VLOOKUP(all_lmics1819[[Setting]:[Setting]],all_cause_mort[],22,FALSE))*0.95</f>
        <v>0.20296746199999999</v>
      </c>
      <c r="AI79">
        <f>IF(VLOOKUP(all_lmics1819[[Setting]:[Setting]],all_cause_mort[],23,FALSE)="",VLOOKUP(all_lmics1819[[who_choice_region]:[who_choice_region]],missing[],27,FALSE),VLOOKUP(all_lmics1819[[Setting]:[Setting]],all_cause_mort[],23,FALSE))*0.95</f>
        <v>0.30746502999999997</v>
      </c>
      <c r="AJ79">
        <f>IF(VLOOKUP(all_lmics1819[[Setting]:[Setting]],all_cause_mort[],24,FALSE)="",VLOOKUP(all_lmics1819[[who_choice_region]:[who_choice_region]],missing[],28,FALSE),VLOOKUP(all_lmics1819[[Setting]:[Setting]],all_cause_mort[],24,FALSE))*0.95</f>
        <v>0.43670242199999998</v>
      </c>
      <c r="AK79">
        <f>IF(VLOOKUP(all_lmics1819[[Setting]:[Setting]],all_cause_mort[],25,FALSE)="",VLOOKUP(all_lmics1819[[who_choice_region]:[who_choice_region]],missing[],29,FALSE),VLOOKUP(all_lmics1819[[Setting]:[Setting]],all_cause_mort[],25,FALSE))*0.95</f>
        <v>0.57973352883982054</v>
      </c>
      <c r="AL79">
        <f>VLOOKUP(all_lmics1819[[worldbank_region]:[worldbank_region]],Table13[],2,FALSE)*0.95</f>
        <v>69.411165749999981</v>
      </c>
      <c r="AM79">
        <f>VLOOKUP(all_lmics1819[[worldbank_region]:[worldbank_region]],Table13[],3,FALSE)*0.95</f>
        <v>69.411165749999981</v>
      </c>
      <c r="AN79">
        <f>VLOOKUP(all_lmics1819[[worldbank_region]:[worldbank_region]],Table13[],4,FALSE)*0.95</f>
        <v>114.75358274999998</v>
      </c>
      <c r="AO79">
        <f>VLOOKUP(all_lmics1819[[worldbank_region]:[worldbank_region]],Table13[],5,FALSE)*0.95</f>
        <v>114.75358274999998</v>
      </c>
      <c r="AP79">
        <f>VLOOKUP(all_lmics1819[[worldbank_region]:[worldbank_region]],Table13[],6,FALSE)*0.95</f>
        <v>114.75358274999998</v>
      </c>
      <c r="AQ79">
        <f>VLOOKUP(all_lmics1819[[worldbank_region]:[worldbank_region]],Table14[],2,FALSE)*0.95</f>
        <v>1.2732755</v>
      </c>
      <c r="AR79">
        <f>VLOOKUP(all_lmics1819[[worldbank_region]:[worldbank_region]],Table14[],3,FALSE)*0.95</f>
        <v>1.8599005</v>
      </c>
      <c r="AS79">
        <f>VLOOKUP(all_lmics1819[[worldbank_region]:[worldbank_region]],Table14[],4,FALSE)*0.95</f>
        <v>1.8737001999999996</v>
      </c>
      <c r="AT79">
        <f>VLOOKUP(all_lmics1819[[worldbank_region]:[worldbank_region]],Table14[],5,FALSE)*0.95</f>
        <v>2.4603251999999998</v>
      </c>
      <c r="AU79">
        <f>VLOOKUP(all_lmics1819[[worldbank_region]:[worldbank_region]],Table14[],6,FALSE)*0.95</f>
        <v>3.0020645999999997</v>
      </c>
      <c r="AV79">
        <f>IFERROR(VLOOKUP(all_lmics1819[[Setting]:[Setting]],nFacSBA[],4,FALSE),VLOOKUP(all_lmics1819[[who_choice_region]:[who_choice_region]],missing[],30,FALSE))*0.95</f>
        <v>0.1518638670270247</v>
      </c>
      <c r="AW79">
        <f>VLOOKUP(all_lmics1819[[worldbank_region]:[worldbank_region]],hbe[],3)</f>
        <v>0.2</v>
      </c>
      <c r="AX79">
        <f>VLOOKUP(all_lmics1819[[worldbank_region]:[worldbank_region]],hbe[],6)</f>
        <v>0.75</v>
      </c>
      <c r="AY79">
        <f>VLOOKUP(all_lmics1819[[worldbank_region]:[worldbank_region]],hbe[],9)</f>
        <v>0.05</v>
      </c>
    </row>
    <row r="80" spans="1:51" x14ac:dyDescent="0.35">
      <c r="A80" s="8" t="s">
        <v>207</v>
      </c>
      <c r="B80" s="10" t="s">
        <v>33</v>
      </c>
      <c r="C80" s="11" t="s">
        <v>7</v>
      </c>
      <c r="D80">
        <f>VLOOKUP(all_lmics1819[[Setting]:[Setting]],populations[],9,FALSE)</f>
        <v>11532127</v>
      </c>
      <c r="E80">
        <f>VLOOKUP(all_lmics1819[[Setting]:[Setting]],birthrate[],3,FALSE)</f>
        <v>1.8295000000000002E-2</v>
      </c>
      <c r="F80">
        <f>all_lmics1819[[#This Row],[2017_population]]*all_lmics1819[[#This Row],[2016_birthrate]]</f>
        <v>210980.26346500003</v>
      </c>
      <c r="G80">
        <f>VLOOKUP(all_lmics1819[[Setting]:[Setting]],birthdose[],4,FALSE)*0.95</f>
        <v>0.78849999999999998</v>
      </c>
      <c r="H80">
        <f>VLOOKUP(all_lmics1819[[Setting]:[Setting]],fullvax[],4,FALSE)*0.95</f>
        <v>0.93099999999999994</v>
      </c>
      <c r="I80">
        <f>IFERROR(VLOOKUP(all_lmics1819[[Setting]:[Setting]],prev[],3,FALSE),VLOOKUP(all_lmics1819[[who_choice_region]:[who_choice_region]],missing[],2,FALSE))</f>
        <v>3.9E-2</v>
      </c>
      <c r="J80">
        <f>IFERROR(VLOOKUP(all_lmics1819[[Setting]:[Setting]],prev[],4,FALSE),VLOOKUP(all_lmics1819[[who_choice_region]:[who_choice_region]],missing[],3,FALSE))</f>
        <v>3.5999999999999997E-2</v>
      </c>
      <c r="K80">
        <f>IFERROR(VLOOKUP(all_lmics1819[[Setting]:[Setting]],prev[],5,FALSE),VLOOKUP(all_lmics1819[[who_choice_region]:[who_choice_region]],missing[],4,FALSE))</f>
        <v>4.2000000000000003E-2</v>
      </c>
      <c r="L80">
        <f>IFERROR(VLOOKUP(all_lmics1819[[Setting]:[Setting]],prev[],7,FALSE),VLOOKUP(all_lmics1819[[who_choice_region]:[who_choice_region]],missing[],5,FALSE))</f>
        <v>1.5306122448979606E-3</v>
      </c>
      <c r="M80">
        <f>IFERROR(VLOOKUP(all_lmics1819[[Setting]:[Setting]],prev[],6,FALSE),0)</f>
        <v>11532127</v>
      </c>
      <c r="N80">
        <f>IFERROR(VLOOKUP(all_lmics1819[[Setting]:[Setting]],SBA[],4,FALSE),VLOOKUP(all_lmics1819[[who_choice_region]:[who_choice_region]],missing[],6,FALSE))*0.95</f>
        <v>0.69919999999999993</v>
      </c>
      <c r="O80">
        <f>IFERROR(VLOOKUP(all_lmics1819[[Setting]:[Setting]], facility[], 3,FALSE),VLOOKUP(all_lmics1819[[who_choice_region]:[who_choice_region]],missing[],7,FALSE))*0.95</f>
        <v>0.93574999999999997</v>
      </c>
      <c r="P80">
        <f>IF(VLOOKUP(all_lmics1819[[Setting]:[Setting]],all_cause_mort[],4,FALSE)="",VLOOKUP(all_lmics1819[[who_choice_region]:[who_choice_region]],missing[],8,FALSE),VLOOKUP(all_lmics1819[[Setting]:[Setting]],all_cause_mort[],4,FALSE))*0.95</f>
        <v>1.21853897E-2</v>
      </c>
      <c r="Q80">
        <f>IF(VLOOKUP(all_lmics1819[[Setting]:[Setting]],all_cause_mort[],5,FALSE)="",VLOOKUP(all_lmics1819[[who_choice_region]:[who_choice_region]],missing[],9,FALSE),VLOOKUP(all_lmics1819[[Setting]:[Setting]],all_cause_mort[],5,FALSE))*0.95</f>
        <v>1.8655217449999999E-4</v>
      </c>
      <c r="R80">
        <f>IF(VLOOKUP(all_lmics1819[[Setting]:[Setting]],all_cause_mort[],6,FALSE)="",VLOOKUP(all_lmics1819[[who_choice_region]:[who_choice_region]],missing[],10,FALSE),VLOOKUP(all_lmics1819[[Setting]:[Setting]],all_cause_mort[],6,FALSE))*0.95</f>
        <v>1.3807186000000001E-4</v>
      </c>
      <c r="S80">
        <f>IF(VLOOKUP(all_lmics1819[[Setting]:[Setting]],all_cause_mort[],7,FALSE)="",VLOOKUP(all_lmics1819[[who_choice_region]:[who_choice_region]],missing[],11,FALSE),VLOOKUP(all_lmics1819[[Setting]:[Setting]],all_cause_mort[],7,FALSE))*0.95</f>
        <v>2.3352564649999999E-4</v>
      </c>
      <c r="T80">
        <f>IF(VLOOKUP(all_lmics1819[[Setting]:[Setting]],all_cause_mort[],8,FALSE)="",VLOOKUP(all_lmics1819[[who_choice_region]:[who_choice_region]],missing[],12,FALSE),VLOOKUP(all_lmics1819[[Setting]:[Setting]],all_cause_mort[],8,FALSE))*0.95</f>
        <v>3.512935365E-4</v>
      </c>
      <c r="U80">
        <f>IF(VLOOKUP(all_lmics1819[[Setting]:[Setting]],all_cause_mort[],9,FALSE)="",VLOOKUP(all_lmics1819[[who_choice_region]:[who_choice_region]],missing[],13,FALSE),VLOOKUP(all_lmics1819[[Setting]:[Setting]],all_cause_mort[],9,FALSE))*0.95</f>
        <v>4.7765038599999996E-4</v>
      </c>
      <c r="V80">
        <f>IF(VLOOKUP(all_lmics1819[[Setting]:[Setting]],all_cause_mort[],10,FALSE)="",VLOOKUP(all_lmics1819[[who_choice_region]:[who_choice_region]],missing[],14,FALSE),VLOOKUP(all_lmics1819[[Setting]:[Setting]],all_cause_mort[],10,FALSE))*0.95</f>
        <v>5.4251155050000005E-4</v>
      </c>
      <c r="W80">
        <f>IF(VLOOKUP(all_lmics1819[[Setting]:[Setting]],all_cause_mort[],11,FALSE)="",VLOOKUP(all_lmics1819[[who_choice_region]:[who_choice_region]],missing[],15,FALSE),VLOOKUP(all_lmics1819[[Setting]:[Setting]],all_cause_mort[],11,FALSE))*0.95</f>
        <v>6.3631056999999996E-4</v>
      </c>
      <c r="X80">
        <f>IF(VLOOKUP(all_lmics1819[[Setting]:[Setting]],all_cause_mort[],12,FALSE)="",VLOOKUP(all_lmics1819[[who_choice_region]:[who_choice_region]],missing[],16,FALSE),VLOOKUP(all_lmics1819[[Setting]:[Setting]],all_cause_mort[],12,FALSE))*0.95</f>
        <v>8.9410593299999992E-4</v>
      </c>
      <c r="Y80">
        <f>IF(VLOOKUP(all_lmics1819[[Setting]:[Setting]],all_cause_mort[],13,FALSE)="",VLOOKUP(all_lmics1819[[who_choice_region]:[who_choice_region]],missing[],17,FALSE),VLOOKUP(all_lmics1819[[Setting]:[Setting]],all_cause_mort[],13,FALSE))*0.95</f>
        <v>1.4258298249999999E-3</v>
      </c>
      <c r="Z80">
        <f>IF(VLOOKUP(all_lmics1819[[Setting]:[Setting]],all_cause_mort[],14,FALSE)="",VLOOKUP(all_lmics1819[[who_choice_region]:[who_choice_region]],missing[],18,FALSE),VLOOKUP(all_lmics1819[[Setting]:[Setting]],all_cause_mort[],14,FALSE))*0.95</f>
        <v>2.348311555E-3</v>
      </c>
      <c r="AA80">
        <f>IF(VLOOKUP(all_lmics1819[[Setting]:[Setting]],all_cause_mort[],15,FALSE)="",VLOOKUP(all_lmics1819[[who_choice_region]:[who_choice_region]],missing[],19,FALSE),VLOOKUP(all_lmics1819[[Setting]:[Setting]],all_cause_mort[],15,FALSE))*0.95</f>
        <v>4.0425980800000002E-3</v>
      </c>
      <c r="AB80">
        <f>IF(VLOOKUP(all_lmics1819[[Setting]:[Setting]],all_cause_mort[],16,FALSE)="",VLOOKUP(all_lmics1819[[who_choice_region]:[who_choice_region]],missing[],20,FALSE),VLOOKUP(all_lmics1819[[Setting]:[Setting]],all_cause_mort[],16,FALSE))*0.95</f>
        <v>6.8142223199999996E-3</v>
      </c>
      <c r="AC80">
        <f>IF(VLOOKUP(all_lmics1819[[Setting]:[Setting]],all_cause_mort[],17,FALSE)="",VLOOKUP(all_lmics1819[[who_choice_region]:[who_choice_region]],missing[],21,FALSE),VLOOKUP(all_lmics1819[[Setting]:[Setting]],all_cause_mort[],17,FALSE))*0.95</f>
        <v>1.11214296E-2</v>
      </c>
      <c r="AD80">
        <f>IF(VLOOKUP(all_lmics1819[[Setting]:[Setting]],all_cause_mort[],18,FALSE)="",VLOOKUP(all_lmics1819[[who_choice_region]:[who_choice_region]],missing[],22,FALSE),VLOOKUP(all_lmics1819[[Setting]:[Setting]],all_cause_mort[],18,FALSE))*0.95</f>
        <v>1.788263755E-2</v>
      </c>
      <c r="AE80">
        <f>IF(VLOOKUP(all_lmics1819[[Setting]:[Setting]],all_cause_mort[],19,FALSE)="",VLOOKUP(all_lmics1819[[who_choice_region]:[who_choice_region]],missing[],23,FALSE),VLOOKUP(all_lmics1819[[Setting]:[Setting]],all_cause_mort[],19,FALSE))*0.95</f>
        <v>3.1664504149999995E-2</v>
      </c>
      <c r="AF80">
        <f>IF(VLOOKUP(all_lmics1819[[Setting]:[Setting]],all_cause_mort[],20,FALSE)="",VLOOKUP(all_lmics1819[[who_choice_region]:[who_choice_region]],missing[],24,FALSE),VLOOKUP(all_lmics1819[[Setting]:[Setting]],all_cause_mort[],20,FALSE))*0.95</f>
        <v>5.5938678050000003E-2</v>
      </c>
      <c r="AG80">
        <f>IF(VLOOKUP(all_lmics1819[[Setting]:[Setting]],all_cause_mort[],21,FALSE)="",VLOOKUP(all_lmics1819[[who_choice_region]:[who_choice_region]],missing[],25,FALSE),VLOOKUP(all_lmics1819[[Setting]:[Setting]],all_cause_mort[],21,FALSE))*0.95</f>
        <v>9.54786195E-2</v>
      </c>
      <c r="AH80">
        <f>IF(VLOOKUP(all_lmics1819[[Setting]:[Setting]],all_cause_mort[],22,FALSE)="",VLOOKUP(all_lmics1819[[who_choice_region]:[who_choice_region]],missing[],26,FALSE),VLOOKUP(all_lmics1819[[Setting]:[Setting]],all_cause_mort[],22,FALSE))*0.95</f>
        <v>0.15484254249999999</v>
      </c>
      <c r="AI80">
        <f>IF(VLOOKUP(all_lmics1819[[Setting]:[Setting]],all_cause_mort[],23,FALSE)="",VLOOKUP(all_lmics1819[[who_choice_region]:[who_choice_region]],missing[],27,FALSE),VLOOKUP(all_lmics1819[[Setting]:[Setting]],all_cause_mort[],23,FALSE))*0.95</f>
        <v>0.233725194</v>
      </c>
      <c r="AJ80">
        <f>IF(VLOOKUP(all_lmics1819[[Setting]:[Setting]],all_cause_mort[],24,FALSE)="",VLOOKUP(all_lmics1819[[who_choice_region]:[who_choice_region]],missing[],28,FALSE),VLOOKUP(all_lmics1819[[Setting]:[Setting]],all_cause_mort[],24,FALSE))*0.95</f>
        <v>0.32648319399999998</v>
      </c>
      <c r="AK80">
        <f>IF(VLOOKUP(all_lmics1819[[Setting]:[Setting]],all_cause_mort[],25,FALSE)="",VLOOKUP(all_lmics1819[[who_choice_region]:[who_choice_region]],missing[],29,FALSE),VLOOKUP(all_lmics1819[[Setting]:[Setting]],all_cause_mort[],25,FALSE))*0.95</f>
        <v>0.46263738077895561</v>
      </c>
      <c r="AL80">
        <f>VLOOKUP(all_lmics1819[[worldbank_region]:[worldbank_region]],Table13[],2,FALSE)*0.95</f>
        <v>55.011325099999993</v>
      </c>
      <c r="AM80">
        <f>VLOOKUP(all_lmics1819[[worldbank_region]:[worldbank_region]],Table13[],3,FALSE)*0.95</f>
        <v>55.011325099999993</v>
      </c>
      <c r="AN80">
        <f>VLOOKUP(all_lmics1819[[worldbank_region]:[worldbank_region]],Table13[],4,FALSE)*0.95</f>
        <v>100.35374209999999</v>
      </c>
      <c r="AO80">
        <f>VLOOKUP(all_lmics1819[[worldbank_region]:[worldbank_region]],Table13[],5,FALSE)*0.95</f>
        <v>100.35374209999999</v>
      </c>
      <c r="AP80">
        <f>VLOOKUP(all_lmics1819[[worldbank_region]:[worldbank_region]],Table13[],6,FALSE)*0.95</f>
        <v>100.35374209999999</v>
      </c>
      <c r="AQ80">
        <f>VLOOKUP(all_lmics1819[[worldbank_region]:[worldbank_region]],Table14[],2,FALSE)*0.95</f>
        <v>1.4285577499999997</v>
      </c>
      <c r="AR80">
        <f>VLOOKUP(all_lmics1819[[worldbank_region]:[worldbank_region]],Table14[],3,FALSE)*0.95</f>
        <v>2.0151827500000001</v>
      </c>
      <c r="AS80">
        <f>VLOOKUP(all_lmics1819[[worldbank_region]:[worldbank_region]],Table14[],4,FALSE)*0.95</f>
        <v>1.8840523499999997</v>
      </c>
      <c r="AT80">
        <f>VLOOKUP(all_lmics1819[[worldbank_region]:[worldbank_region]],Table14[],5,FALSE)*0.95</f>
        <v>2.4706773499999999</v>
      </c>
      <c r="AU80">
        <f>VLOOKUP(all_lmics1819[[worldbank_region]:[worldbank_region]],Table14[],6,FALSE)*0.95</f>
        <v>3.0124167499999999</v>
      </c>
      <c r="AV80">
        <f>IFERROR(VLOOKUP(all_lmics1819[[Setting]:[Setting]],nFacSBA[],4,FALSE),VLOOKUP(all_lmics1819[[who_choice_region]:[who_choice_region]],missing[],30,FALSE))*0.95</f>
        <v>8.0758857218966432E-2</v>
      </c>
      <c r="AW80">
        <f>VLOOKUP(all_lmics1819[[worldbank_region]:[worldbank_region]],hbe[],3)</f>
        <v>0.2</v>
      </c>
      <c r="AX80">
        <f>VLOOKUP(all_lmics1819[[worldbank_region]:[worldbank_region]],hbe[],6)</f>
        <v>0.75</v>
      </c>
      <c r="AY80">
        <f>VLOOKUP(all_lmics1819[[worldbank_region]:[worldbank_region]],hbe[],9)</f>
        <v>0.05</v>
      </c>
    </row>
    <row r="81" spans="1:51" x14ac:dyDescent="0.35">
      <c r="A81" s="12" t="s">
        <v>208</v>
      </c>
      <c r="B81" s="13" t="s">
        <v>10</v>
      </c>
      <c r="C81" s="14" t="s">
        <v>11</v>
      </c>
      <c r="D81">
        <f>VLOOKUP(all_lmics1819[[Setting]:[Setting]],populations[],9,FALSE)</f>
        <v>80745020</v>
      </c>
      <c r="E81">
        <f>VLOOKUP(all_lmics1819[[Setting]:[Setting]],birthrate[],3,FALSE)</f>
        <v>1.6240999999999998E-2</v>
      </c>
      <c r="F81">
        <f>all_lmics1819[[#This Row],[2017_population]]*all_lmics1819[[#This Row],[2016_birthrate]]</f>
        <v>1311379.8698199999</v>
      </c>
      <c r="G81">
        <f>VLOOKUP(all_lmics1819[[Setting]:[Setting]],birthdose[],4,FALSE)*0.95</f>
        <v>0.9405</v>
      </c>
      <c r="H81">
        <f>VLOOKUP(all_lmics1819[[Setting]:[Setting]],fullvax[],4,FALSE)*0.95</f>
        <v>0.91199999999999992</v>
      </c>
      <c r="I81">
        <f>IFERROR(VLOOKUP(all_lmics1819[[Setting]:[Setting]],prev[],3,FALSE),VLOOKUP(all_lmics1819[[who_choice_region]:[who_choice_region]],missing[],2,FALSE))</f>
        <v>2.5999999999999999E-2</v>
      </c>
      <c r="J81">
        <f>IFERROR(VLOOKUP(all_lmics1819[[Setting]:[Setting]],prev[],4,FALSE),VLOOKUP(all_lmics1819[[who_choice_region]:[who_choice_region]],missing[],3,FALSE))</f>
        <v>1.9E-2</v>
      </c>
      <c r="K81">
        <f>IFERROR(VLOOKUP(all_lmics1819[[Setting]:[Setting]],prev[],5,FALSE),VLOOKUP(all_lmics1819[[who_choice_region]:[who_choice_region]],missing[],4,FALSE))</f>
        <v>3.5000000000000003E-2</v>
      </c>
      <c r="L81">
        <f>IFERROR(VLOOKUP(all_lmics1819[[Setting]:[Setting]],prev[],7,FALSE),VLOOKUP(all_lmics1819[[who_choice_region]:[who_choice_region]],missing[],5,FALSE))</f>
        <v>4.5918367346938797E-3</v>
      </c>
      <c r="M81">
        <f>IFERROR(VLOOKUP(all_lmics1819[[Setting]:[Setting]],prev[],6,FALSE),0)</f>
        <v>80745020</v>
      </c>
      <c r="N81">
        <f>IFERROR(VLOOKUP(all_lmics1819[[Setting]:[Setting]],SBA[],4,FALSE),VLOOKUP(all_lmics1819[[who_choice_region]:[who_choice_region]],missing[],6,FALSE))*0.95</f>
        <v>0.92530000000000001</v>
      </c>
      <c r="O81">
        <f>IFERROR(VLOOKUP(all_lmics1819[[Setting]:[Setting]], facility[], 3,FALSE),VLOOKUP(all_lmics1819[[who_choice_region]:[who_choice_region]],missing[],7,FALSE))*0.95</f>
        <v>0.92339999999999989</v>
      </c>
      <c r="P81">
        <f>IF(VLOOKUP(all_lmics1819[[Setting]:[Setting]],all_cause_mort[],4,FALSE)="",VLOOKUP(all_lmics1819[[who_choice_region]:[who_choice_region]],missing[],8,FALSE),VLOOKUP(all_lmics1819[[Setting]:[Setting]],all_cause_mort[],4,FALSE))*0.95</f>
        <v>8.527087995E-3</v>
      </c>
      <c r="Q81">
        <f>IF(VLOOKUP(all_lmics1819[[Setting]:[Setting]],all_cause_mort[],5,FALSE)="",VLOOKUP(all_lmics1819[[who_choice_region]:[who_choice_region]],missing[],9,FALSE),VLOOKUP(all_lmics1819[[Setting]:[Setting]],all_cause_mort[],5,FALSE))*0.95</f>
        <v>1.0448648149999999E-3</v>
      </c>
      <c r="R81">
        <f>IF(VLOOKUP(all_lmics1819[[Setting]:[Setting]],all_cause_mort[],6,FALSE)="",VLOOKUP(all_lmics1819[[who_choice_region]:[who_choice_region]],missing[],10,FALSE),VLOOKUP(all_lmics1819[[Setting]:[Setting]],all_cause_mort[],6,FALSE))*0.95</f>
        <v>6.4932761250000005E-4</v>
      </c>
      <c r="S81">
        <f>IF(VLOOKUP(all_lmics1819[[Setting]:[Setting]],all_cause_mort[],7,FALSE)="",VLOOKUP(all_lmics1819[[who_choice_region]:[who_choice_region]],missing[],11,FALSE),VLOOKUP(all_lmics1819[[Setting]:[Setting]],all_cause_mort[],7,FALSE))*0.95</f>
        <v>5.5459882800000006E-4</v>
      </c>
      <c r="T81">
        <f>IF(VLOOKUP(all_lmics1819[[Setting]:[Setting]],all_cause_mort[],8,FALSE)="",VLOOKUP(all_lmics1819[[who_choice_region]:[who_choice_region]],missing[],12,FALSE),VLOOKUP(all_lmics1819[[Setting]:[Setting]],all_cause_mort[],8,FALSE))*0.95</f>
        <v>6.5812301649999998E-4</v>
      </c>
      <c r="U81">
        <f>IF(VLOOKUP(all_lmics1819[[Setting]:[Setting]],all_cause_mort[],9,FALSE)="",VLOOKUP(all_lmics1819[[who_choice_region]:[who_choice_region]],missing[],13,FALSE),VLOOKUP(all_lmics1819[[Setting]:[Setting]],all_cause_mort[],9,FALSE))*0.95</f>
        <v>9.15070742E-4</v>
      </c>
      <c r="V81">
        <f>IF(VLOOKUP(all_lmics1819[[Setting]:[Setting]],all_cause_mort[],10,FALSE)="",VLOOKUP(all_lmics1819[[who_choice_region]:[who_choice_region]],missing[],14,FALSE),VLOOKUP(all_lmics1819[[Setting]:[Setting]],all_cause_mort[],10,FALSE))*0.95</f>
        <v>1.1188261149999998E-3</v>
      </c>
      <c r="W81">
        <f>IF(VLOOKUP(all_lmics1819[[Setting]:[Setting]],all_cause_mort[],11,FALSE)="",VLOOKUP(all_lmics1819[[who_choice_region]:[who_choice_region]],missing[],15,FALSE),VLOOKUP(all_lmics1819[[Setting]:[Setting]],all_cause_mort[],11,FALSE))*0.95</f>
        <v>1.3129000949999999E-3</v>
      </c>
      <c r="X81">
        <f>IF(VLOOKUP(all_lmics1819[[Setting]:[Setting]],all_cause_mort[],12,FALSE)="",VLOOKUP(all_lmics1819[[who_choice_region]:[who_choice_region]],missing[],16,FALSE),VLOOKUP(all_lmics1819[[Setting]:[Setting]],all_cause_mort[],12,FALSE))*0.95</f>
        <v>1.5569086399999999E-3</v>
      </c>
      <c r="Y81">
        <f>IF(VLOOKUP(all_lmics1819[[Setting]:[Setting]],all_cause_mort[],13,FALSE)="",VLOOKUP(all_lmics1819[[who_choice_region]:[who_choice_region]],missing[],17,FALSE),VLOOKUP(all_lmics1819[[Setting]:[Setting]],all_cause_mort[],13,FALSE))*0.95</f>
        <v>1.912698175E-3</v>
      </c>
      <c r="Z81">
        <f>IF(VLOOKUP(all_lmics1819[[Setting]:[Setting]],all_cause_mort[],14,FALSE)="",VLOOKUP(all_lmics1819[[who_choice_region]:[who_choice_region]],missing[],18,FALSE),VLOOKUP(all_lmics1819[[Setting]:[Setting]],all_cause_mort[],14,FALSE))*0.95</f>
        <v>2.4762836799999996E-3</v>
      </c>
      <c r="AA81">
        <f>IF(VLOOKUP(all_lmics1819[[Setting]:[Setting]],all_cause_mort[],15,FALSE)="",VLOOKUP(all_lmics1819[[who_choice_region]:[who_choice_region]],missing[],19,FALSE),VLOOKUP(all_lmics1819[[Setting]:[Setting]],all_cause_mort[],15,FALSE))*0.95</f>
        <v>3.3852192649999999E-3</v>
      </c>
      <c r="AB81">
        <f>IF(VLOOKUP(all_lmics1819[[Setting]:[Setting]],all_cause_mort[],16,FALSE)="",VLOOKUP(all_lmics1819[[who_choice_region]:[who_choice_region]],missing[],20,FALSE),VLOOKUP(all_lmics1819[[Setting]:[Setting]],all_cause_mort[],16,FALSE))*0.95</f>
        <v>5.0340206449999998E-3</v>
      </c>
      <c r="AC81">
        <f>IF(VLOOKUP(all_lmics1819[[Setting]:[Setting]],all_cause_mort[],17,FALSE)="",VLOOKUP(all_lmics1819[[who_choice_region]:[who_choice_region]],missing[],21,FALSE),VLOOKUP(all_lmics1819[[Setting]:[Setting]],all_cause_mort[],17,FALSE))*0.95</f>
        <v>7.8830412900000001E-3</v>
      </c>
      <c r="AD81">
        <f>IF(VLOOKUP(all_lmics1819[[Setting]:[Setting]],all_cause_mort[],18,FALSE)="",VLOOKUP(all_lmics1819[[who_choice_region]:[who_choice_region]],missing[],22,FALSE),VLOOKUP(all_lmics1819[[Setting]:[Setting]],all_cause_mort[],18,FALSE))*0.95</f>
        <v>1.29866064E-2</v>
      </c>
      <c r="AE81">
        <f>IF(VLOOKUP(all_lmics1819[[Setting]:[Setting]],all_cause_mort[],19,FALSE)="",VLOOKUP(all_lmics1819[[who_choice_region]:[who_choice_region]],missing[],23,FALSE),VLOOKUP(all_lmics1819[[Setting]:[Setting]],all_cause_mort[],19,FALSE))*0.95</f>
        <v>2.3796746649999999E-2</v>
      </c>
      <c r="AF81">
        <f>IF(VLOOKUP(all_lmics1819[[Setting]:[Setting]],all_cause_mort[],20,FALSE)="",VLOOKUP(all_lmics1819[[who_choice_region]:[who_choice_region]],missing[],24,FALSE),VLOOKUP(all_lmics1819[[Setting]:[Setting]],all_cause_mort[],20,FALSE))*0.95</f>
        <v>4.4162800099999996E-2</v>
      </c>
      <c r="AG81">
        <f>IF(VLOOKUP(all_lmics1819[[Setting]:[Setting]],all_cause_mort[],21,FALSE)="",VLOOKUP(all_lmics1819[[who_choice_region]:[who_choice_region]],missing[],25,FALSE),VLOOKUP(all_lmics1819[[Setting]:[Setting]],all_cause_mort[],21,FALSE))*0.95</f>
        <v>7.9244303199999991E-2</v>
      </c>
      <c r="AH81">
        <f>IF(VLOOKUP(all_lmics1819[[Setting]:[Setting]],all_cause_mort[],22,FALSE)="",VLOOKUP(all_lmics1819[[who_choice_region]:[who_choice_region]],missing[],26,FALSE),VLOOKUP(all_lmics1819[[Setting]:[Setting]],all_cause_mort[],22,FALSE))*0.95</f>
        <v>0.1347181415</v>
      </c>
      <c r="AI81">
        <f>IF(VLOOKUP(all_lmics1819[[Setting]:[Setting]],all_cause_mort[],23,FALSE)="",VLOOKUP(all_lmics1819[[who_choice_region]:[who_choice_region]],missing[],27,FALSE),VLOOKUP(all_lmics1819[[Setting]:[Setting]],all_cause_mort[],23,FALSE))*0.95</f>
        <v>0.21721758549999998</v>
      </c>
      <c r="AJ81">
        <f>IF(VLOOKUP(all_lmics1819[[Setting]:[Setting]],all_cause_mort[],24,FALSE)="",VLOOKUP(all_lmics1819[[who_choice_region]:[who_choice_region]],missing[],28,FALSE),VLOOKUP(all_lmics1819[[Setting]:[Setting]],all_cause_mort[],24,FALSE))*0.95</f>
        <v>0.33013490849999999</v>
      </c>
      <c r="AK81">
        <f>IF(VLOOKUP(all_lmics1819[[Setting]:[Setting]],all_cause_mort[],25,FALSE)="",VLOOKUP(all_lmics1819[[who_choice_region]:[who_choice_region]],missing[],29,FALSE),VLOOKUP(all_lmics1819[[Setting]:[Setting]],all_cause_mort[],25,FALSE))*0.95</f>
        <v>0.45109410976981029</v>
      </c>
      <c r="AL81">
        <f>VLOOKUP(all_lmics1819[[worldbank_region]:[worldbank_region]],Table13[],2,FALSE)*0.95</f>
        <v>42.29888489999999</v>
      </c>
      <c r="AM81">
        <f>VLOOKUP(all_lmics1819[[worldbank_region]:[worldbank_region]],Table13[],3,FALSE)*0.95</f>
        <v>42.29888489999999</v>
      </c>
      <c r="AN81">
        <f>VLOOKUP(all_lmics1819[[worldbank_region]:[worldbank_region]],Table13[],4,FALSE)*0.95</f>
        <v>87.641301899999988</v>
      </c>
      <c r="AO81">
        <f>VLOOKUP(all_lmics1819[[worldbank_region]:[worldbank_region]],Table13[],5,FALSE)*0.95</f>
        <v>87.641301899999988</v>
      </c>
      <c r="AP81">
        <f>VLOOKUP(all_lmics1819[[worldbank_region]:[worldbank_region]],Table13[],6,FALSE)*0.95</f>
        <v>87.641301899999988</v>
      </c>
      <c r="AQ81">
        <f>VLOOKUP(all_lmics1819[[worldbank_region]:[worldbank_region]],Table14[],2,FALSE)*0.95</f>
        <v>6.0973773999999992</v>
      </c>
      <c r="AR81">
        <f>VLOOKUP(all_lmics1819[[worldbank_region]:[worldbank_region]],Table14[],3,FALSE)*0.95</f>
        <v>6.6840023999999998</v>
      </c>
      <c r="AS81">
        <f>VLOOKUP(all_lmics1819[[worldbank_region]:[worldbank_region]],Table14[],4,FALSE)*0.95</f>
        <v>9.9587293499999969</v>
      </c>
      <c r="AT81">
        <f>VLOOKUP(all_lmics1819[[worldbank_region]:[worldbank_region]],Table14[],5,FALSE)*0.95</f>
        <v>10.545354349999998</v>
      </c>
      <c r="AU81">
        <f>VLOOKUP(all_lmics1819[[worldbank_region]:[worldbank_region]],Table14[],6,FALSE)*0.95</f>
        <v>11.087093749999999</v>
      </c>
      <c r="AV81">
        <f>IFERROR(VLOOKUP(all_lmics1819[[Setting]:[Setting]],nFacSBA[],4,FALSE),VLOOKUP(all_lmics1819[[who_choice_region]:[who_choice_region]],missing[],30,FALSE))*0.95</f>
        <v>0.50689921499704871</v>
      </c>
      <c r="AW81">
        <f>VLOOKUP(all_lmics1819[[worldbank_region]:[worldbank_region]],hbe[],3)</f>
        <v>0.2</v>
      </c>
      <c r="AX81">
        <f>VLOOKUP(all_lmics1819[[worldbank_region]:[worldbank_region]],hbe[],6)</f>
        <v>0.75</v>
      </c>
      <c r="AY81">
        <f>VLOOKUP(all_lmics1819[[worldbank_region]:[worldbank_region]],hbe[],9)</f>
        <v>0.05</v>
      </c>
    </row>
    <row r="82" spans="1:51" x14ac:dyDescent="0.35">
      <c r="A82" s="8" t="s">
        <v>209</v>
      </c>
      <c r="B82" s="10" t="s">
        <v>10</v>
      </c>
      <c r="C82" s="11" t="s">
        <v>11</v>
      </c>
      <c r="D82">
        <f>VLOOKUP(all_lmics1819[[Setting]:[Setting]],populations[],9,FALSE)</f>
        <v>5758075</v>
      </c>
      <c r="E82">
        <f>VLOOKUP(all_lmics1819[[Setting]:[Setting]],birthrate[],3,FALSE)</f>
        <v>2.5373E-2</v>
      </c>
      <c r="F82">
        <f>all_lmics1819[[#This Row],[2017_population]]*all_lmics1819[[#This Row],[2016_birthrate]]</f>
        <v>146099.636975</v>
      </c>
      <c r="G82">
        <f>VLOOKUP(all_lmics1819[[Setting]:[Setting]],birthdose[],4,FALSE)*0.95</f>
        <v>0.9405</v>
      </c>
      <c r="H82">
        <f>VLOOKUP(all_lmics1819[[Setting]:[Setting]],fullvax[],4,FALSE)*0.95</f>
        <v>0.9405</v>
      </c>
      <c r="I82">
        <f>IFERROR(VLOOKUP(all_lmics1819[[Setting]:[Setting]],prev[],3,FALSE),VLOOKUP(all_lmics1819[[who_choice_region]:[who_choice_region]],missing[],2,FALSE))</f>
        <v>9.5000000000000001E-2</v>
      </c>
      <c r="J82">
        <f>IFERROR(VLOOKUP(all_lmics1819[[Setting]:[Setting]],prev[],4,FALSE),VLOOKUP(all_lmics1819[[who_choice_region]:[who_choice_region]],missing[],3,FALSE))</f>
        <v>8.6999999999999994E-2</v>
      </c>
      <c r="K82">
        <f>IFERROR(VLOOKUP(all_lmics1819[[Setting]:[Setting]],prev[],5,FALSE),VLOOKUP(all_lmics1819[[who_choice_region]:[who_choice_region]],missing[],4,FALSE))</f>
        <v>0.114</v>
      </c>
      <c r="L82">
        <f>IFERROR(VLOOKUP(all_lmics1819[[Setting]:[Setting]],prev[],7,FALSE),VLOOKUP(all_lmics1819[[who_choice_region]:[who_choice_region]],missing[],5,FALSE))</f>
        <v>9.6938775510204099E-3</v>
      </c>
      <c r="M82">
        <f>IFERROR(VLOOKUP(all_lmics1819[[Setting]:[Setting]],prev[],6,FALSE),0)</f>
        <v>5758075</v>
      </c>
      <c r="N82">
        <f>IFERROR(VLOOKUP(all_lmics1819[[Setting]:[Setting]],SBA[],4,FALSE),VLOOKUP(all_lmics1819[[who_choice_region]:[who_choice_region]],missing[],6,FALSE))*0.95</f>
        <v>0.94990499999999989</v>
      </c>
      <c r="O82">
        <f>IFERROR(VLOOKUP(all_lmics1819[[Setting]:[Setting]], facility[], 3,FALSE),VLOOKUP(all_lmics1819[[who_choice_region]:[who_choice_region]],missing[],7,FALSE))*0.95</f>
        <v>0.94524999999999992</v>
      </c>
      <c r="P82">
        <f>IF(VLOOKUP(all_lmics1819[[Setting]:[Setting]],all_cause_mort[],4,FALSE)="",VLOOKUP(all_lmics1819[[who_choice_region]:[who_choice_region]],missing[],8,FALSE),VLOOKUP(all_lmics1819[[Setting]:[Setting]],all_cause_mort[],4,FALSE))*0.95</f>
        <v>4.2675413600000003E-2</v>
      </c>
      <c r="Q82">
        <f>IF(VLOOKUP(all_lmics1819[[Setting]:[Setting]],all_cause_mort[],5,FALSE)="",VLOOKUP(all_lmics1819[[who_choice_region]:[who_choice_region]],missing[],9,FALSE),VLOOKUP(all_lmics1819[[Setting]:[Setting]],all_cause_mort[],5,FALSE))*0.95</f>
        <v>2.0341438949999999E-3</v>
      </c>
      <c r="R82">
        <f>IF(VLOOKUP(all_lmics1819[[Setting]:[Setting]],all_cause_mort[],6,FALSE)="",VLOOKUP(all_lmics1819[[who_choice_region]:[who_choice_region]],missing[],10,FALSE),VLOOKUP(all_lmics1819[[Setting]:[Setting]],all_cause_mort[],6,FALSE))*0.95</f>
        <v>3.6719431349999999E-4</v>
      </c>
      <c r="S82">
        <f>IF(VLOOKUP(all_lmics1819[[Setting]:[Setting]],all_cause_mort[],7,FALSE)="",VLOOKUP(all_lmics1819[[who_choice_region]:[who_choice_region]],missing[],11,FALSE),VLOOKUP(all_lmics1819[[Setting]:[Setting]],all_cause_mort[],7,FALSE))*0.95</f>
        <v>3.5994075949999995E-4</v>
      </c>
      <c r="T82">
        <f>IF(VLOOKUP(all_lmics1819[[Setting]:[Setting]],all_cause_mort[],8,FALSE)="",VLOOKUP(all_lmics1819[[who_choice_region]:[who_choice_region]],missing[],12,FALSE),VLOOKUP(all_lmics1819[[Setting]:[Setting]],all_cause_mort[],8,FALSE))*0.95</f>
        <v>8.3059852799999994E-4</v>
      </c>
      <c r="U82">
        <f>IF(VLOOKUP(all_lmics1819[[Setting]:[Setting]],all_cause_mort[],9,FALSE)="",VLOOKUP(all_lmics1819[[who_choice_region]:[who_choice_region]],missing[],13,FALSE),VLOOKUP(all_lmics1819[[Setting]:[Setting]],all_cause_mort[],9,FALSE))*0.95</f>
        <v>1.1138602749999999E-3</v>
      </c>
      <c r="V82">
        <f>IF(VLOOKUP(all_lmics1819[[Setting]:[Setting]],all_cause_mort[],10,FALSE)="",VLOOKUP(all_lmics1819[[who_choice_region]:[who_choice_region]],missing[],14,FALSE),VLOOKUP(all_lmics1819[[Setting]:[Setting]],all_cause_mort[],10,FALSE))*0.95</f>
        <v>1.437923325E-3</v>
      </c>
      <c r="W82">
        <f>IF(VLOOKUP(all_lmics1819[[Setting]:[Setting]],all_cause_mort[],11,FALSE)="",VLOOKUP(all_lmics1819[[who_choice_region]:[who_choice_region]],missing[],15,FALSE),VLOOKUP(all_lmics1819[[Setting]:[Setting]],all_cause_mort[],11,FALSE))*0.95</f>
        <v>1.9655064899999999E-3</v>
      </c>
      <c r="X82">
        <f>IF(VLOOKUP(all_lmics1819[[Setting]:[Setting]],all_cause_mort[],12,FALSE)="",VLOOKUP(all_lmics1819[[who_choice_region]:[who_choice_region]],missing[],16,FALSE),VLOOKUP(all_lmics1819[[Setting]:[Setting]],all_cause_mort[],12,FALSE))*0.95</f>
        <v>2.7829471950000001E-3</v>
      </c>
      <c r="Y82">
        <f>IF(VLOOKUP(all_lmics1819[[Setting]:[Setting]],all_cause_mort[],13,FALSE)="",VLOOKUP(all_lmics1819[[who_choice_region]:[who_choice_region]],missing[],17,FALSE),VLOOKUP(all_lmics1819[[Setting]:[Setting]],all_cause_mort[],13,FALSE))*0.95</f>
        <v>3.9382135999999996E-3</v>
      </c>
      <c r="Z82">
        <f>IF(VLOOKUP(all_lmics1819[[Setting]:[Setting]],all_cause_mort[],14,FALSE)="",VLOOKUP(all_lmics1819[[who_choice_region]:[who_choice_region]],missing[],18,FALSE),VLOOKUP(all_lmics1819[[Setting]:[Setting]],all_cause_mort[],14,FALSE))*0.95</f>
        <v>5.4857420349999995E-3</v>
      </c>
      <c r="AA82">
        <f>IF(VLOOKUP(all_lmics1819[[Setting]:[Setting]],all_cause_mort[],15,FALSE)="",VLOOKUP(all_lmics1819[[who_choice_region]:[who_choice_region]],missing[],19,FALSE),VLOOKUP(all_lmics1819[[Setting]:[Setting]],all_cause_mort[],15,FALSE))*0.95</f>
        <v>8.6802772049999997E-3</v>
      </c>
      <c r="AB82">
        <f>IF(VLOOKUP(all_lmics1819[[Setting]:[Setting]],all_cause_mort[],16,FALSE)="",VLOOKUP(all_lmics1819[[who_choice_region]:[who_choice_region]],missing[],20,FALSE),VLOOKUP(all_lmics1819[[Setting]:[Setting]],all_cause_mort[],16,FALSE))*0.95</f>
        <v>1.288213205E-2</v>
      </c>
      <c r="AC82">
        <f>IF(VLOOKUP(all_lmics1819[[Setting]:[Setting]],all_cause_mort[],17,FALSE)="",VLOOKUP(all_lmics1819[[who_choice_region]:[who_choice_region]],missing[],21,FALSE),VLOOKUP(all_lmics1819[[Setting]:[Setting]],all_cause_mort[],17,FALSE))*0.95</f>
        <v>2.1668742849999999E-2</v>
      </c>
      <c r="AD82">
        <f>IF(VLOOKUP(all_lmics1819[[Setting]:[Setting]],all_cause_mort[],18,FALSE)="",VLOOKUP(all_lmics1819[[who_choice_region]:[who_choice_region]],missing[],22,FALSE),VLOOKUP(all_lmics1819[[Setting]:[Setting]],all_cause_mort[],18,FALSE))*0.95</f>
        <v>2.8358174499999996E-2</v>
      </c>
      <c r="AE82">
        <f>IF(VLOOKUP(all_lmics1819[[Setting]:[Setting]],all_cause_mort[],19,FALSE)="",VLOOKUP(all_lmics1819[[who_choice_region]:[who_choice_region]],missing[],23,FALSE),VLOOKUP(all_lmics1819[[Setting]:[Setting]],all_cause_mort[],19,FALSE))*0.95</f>
        <v>5.4448224949999992E-2</v>
      </c>
      <c r="AF82">
        <f>IF(VLOOKUP(all_lmics1819[[Setting]:[Setting]],all_cause_mort[],20,FALSE)="",VLOOKUP(all_lmics1819[[who_choice_region]:[who_choice_region]],missing[],24,FALSE),VLOOKUP(all_lmics1819[[Setting]:[Setting]],all_cause_mort[],20,FALSE))*0.95</f>
        <v>6.0206873199999997E-2</v>
      </c>
      <c r="AG82">
        <f>IF(VLOOKUP(all_lmics1819[[Setting]:[Setting]],all_cause_mort[],21,FALSE)="",VLOOKUP(all_lmics1819[[who_choice_region]:[who_choice_region]],missing[],25,FALSE),VLOOKUP(all_lmics1819[[Setting]:[Setting]],all_cause_mort[],21,FALSE))*0.95</f>
        <v>0.110428342</v>
      </c>
      <c r="AH82">
        <f>IF(VLOOKUP(all_lmics1819[[Setting]:[Setting]],all_cause_mort[],22,FALSE)="",VLOOKUP(all_lmics1819[[who_choice_region]:[who_choice_region]],missing[],26,FALSE),VLOOKUP(all_lmics1819[[Setting]:[Setting]],all_cause_mort[],22,FALSE))*0.95</f>
        <v>0.16656504849999998</v>
      </c>
      <c r="AI82">
        <f>IF(VLOOKUP(all_lmics1819[[Setting]:[Setting]],all_cause_mort[],23,FALSE)="",VLOOKUP(all_lmics1819[[who_choice_region]:[who_choice_region]],missing[],27,FALSE),VLOOKUP(all_lmics1819[[Setting]:[Setting]],all_cause_mort[],23,FALSE))*0.95</f>
        <v>0.24296331700000001</v>
      </c>
      <c r="AJ82">
        <f>IF(VLOOKUP(all_lmics1819[[Setting]:[Setting]],all_cause_mort[],24,FALSE)="",VLOOKUP(all_lmics1819[[who_choice_region]:[who_choice_region]],missing[],28,FALSE),VLOOKUP(all_lmics1819[[Setting]:[Setting]],all_cause_mort[],24,FALSE))*0.95</f>
        <v>0.33647484749999995</v>
      </c>
      <c r="AK82">
        <f>IF(VLOOKUP(all_lmics1819[[Setting]:[Setting]],all_cause_mort[],25,FALSE)="",VLOOKUP(all_lmics1819[[who_choice_region]:[who_choice_region]],missing[],29,FALSE),VLOOKUP(all_lmics1819[[Setting]:[Setting]],all_cause_mort[],25,FALSE))*0.95</f>
        <v>0.44582139118612008</v>
      </c>
      <c r="AL82">
        <f>VLOOKUP(all_lmics1819[[worldbank_region]:[worldbank_region]],Table13[],2,FALSE)*0.95</f>
        <v>42.29888489999999</v>
      </c>
      <c r="AM82">
        <f>VLOOKUP(all_lmics1819[[worldbank_region]:[worldbank_region]],Table13[],3,FALSE)*0.95</f>
        <v>42.29888489999999</v>
      </c>
      <c r="AN82">
        <f>VLOOKUP(all_lmics1819[[worldbank_region]:[worldbank_region]],Table13[],4,FALSE)*0.95</f>
        <v>87.641301899999988</v>
      </c>
      <c r="AO82">
        <f>VLOOKUP(all_lmics1819[[worldbank_region]:[worldbank_region]],Table13[],5,FALSE)*0.95</f>
        <v>87.641301899999988</v>
      </c>
      <c r="AP82">
        <f>VLOOKUP(all_lmics1819[[worldbank_region]:[worldbank_region]],Table13[],6,FALSE)*0.95</f>
        <v>87.641301899999988</v>
      </c>
      <c r="AQ82">
        <f>VLOOKUP(all_lmics1819[[worldbank_region]:[worldbank_region]],Table14[],2,FALSE)*0.95</f>
        <v>6.0973773999999992</v>
      </c>
      <c r="AR82">
        <f>VLOOKUP(all_lmics1819[[worldbank_region]:[worldbank_region]],Table14[],3,FALSE)*0.95</f>
        <v>6.6840023999999998</v>
      </c>
      <c r="AS82">
        <f>VLOOKUP(all_lmics1819[[worldbank_region]:[worldbank_region]],Table14[],4,FALSE)*0.95</f>
        <v>9.9587293499999969</v>
      </c>
      <c r="AT82">
        <f>VLOOKUP(all_lmics1819[[worldbank_region]:[worldbank_region]],Table14[],5,FALSE)*0.95</f>
        <v>10.545354349999998</v>
      </c>
      <c r="AU82">
        <f>VLOOKUP(all_lmics1819[[worldbank_region]:[worldbank_region]],Table14[],6,FALSE)*0.95</f>
        <v>11.087093749999999</v>
      </c>
      <c r="AV82">
        <f>IFERROR(VLOOKUP(all_lmics1819[[Setting]:[Setting]],nFacSBA[],4,FALSE),VLOOKUP(all_lmics1819[[who_choice_region]:[who_choice_region]],missing[],30,FALSE))*0.95</f>
        <v>0.50689921499704871</v>
      </c>
      <c r="AW82">
        <f>VLOOKUP(all_lmics1819[[worldbank_region]:[worldbank_region]],hbe[],3)</f>
        <v>0.2</v>
      </c>
      <c r="AX82">
        <f>VLOOKUP(all_lmics1819[[worldbank_region]:[worldbank_region]],hbe[],6)</f>
        <v>0.75</v>
      </c>
      <c r="AY82">
        <f>VLOOKUP(all_lmics1819[[worldbank_region]:[worldbank_region]],hbe[],9)</f>
        <v>0.05</v>
      </c>
    </row>
    <row r="83" spans="1:51" x14ac:dyDescent="0.35">
      <c r="A83" s="12" t="s">
        <v>210</v>
      </c>
      <c r="B83" s="13" t="s">
        <v>57</v>
      </c>
      <c r="C83" s="14" t="s">
        <v>58</v>
      </c>
      <c r="D83">
        <f>VLOOKUP(all_lmics1819[[Setting]:[Setting]],populations[],9,FALSE)</f>
        <v>11192</v>
      </c>
      <c r="E83">
        <f>VLOOKUP(all_lmics1819[[Setting]:[Setting]],birthrate[],3,FALSE)</f>
        <v>2.3699999999999999E-2</v>
      </c>
      <c r="F83">
        <f>all_lmics1819[[#This Row],[2017_population]]*all_lmics1819[[#This Row],[2016_birthrate]]</f>
        <v>265.25040000000001</v>
      </c>
      <c r="G83">
        <f>VLOOKUP(all_lmics1819[[Setting]:[Setting]],birthdose[],4,FALSE)*0.95</f>
        <v>0.9405</v>
      </c>
      <c r="H83">
        <f>VLOOKUP(all_lmics1819[[Setting]:[Setting]],fullvax[],4,FALSE)*0.95</f>
        <v>0.91199999999999992</v>
      </c>
      <c r="I83">
        <f>IFERROR(VLOOKUP(all_lmics1819[[Setting]:[Setting]],prev[],3,FALSE),VLOOKUP(all_lmics1819[[who_choice_region]:[who_choice_region]],missing[],2,FALSE))</f>
        <v>7.1400000000000005E-2</v>
      </c>
      <c r="J83">
        <f>IFERROR(VLOOKUP(all_lmics1819[[Setting]:[Setting]],prev[],4,FALSE),VLOOKUP(all_lmics1819[[who_choice_region]:[who_choice_region]],missing[],3,FALSE))</f>
        <v>1.7899999999999999E-2</v>
      </c>
      <c r="K83">
        <f>IFERROR(VLOOKUP(all_lmics1819[[Setting]:[Setting]],prev[],5,FALSE),VLOOKUP(all_lmics1819[[who_choice_region]:[who_choice_region]],missing[],4,FALSE))</f>
        <v>0.24479999999999999</v>
      </c>
      <c r="L83">
        <f>IFERROR(VLOOKUP(all_lmics1819[[Setting]:[Setting]],prev[],7,FALSE),VLOOKUP(all_lmics1819[[who_choice_region]:[who_choice_region]],missing[],5,FALSE))</f>
        <v>8.8469387755102047E-2</v>
      </c>
      <c r="M83">
        <f>IFERROR(VLOOKUP(all_lmics1819[[Setting]:[Setting]],prev[],6,FALSE),0)</f>
        <v>10531</v>
      </c>
      <c r="N83">
        <f>IFERROR(VLOOKUP(all_lmics1819[[Setting]:[Setting]],SBA[],4,FALSE),VLOOKUP(all_lmics1819[[who_choice_region]:[who_choice_region]],missing[],6,FALSE))*0.95</f>
        <v>0.88444999999999985</v>
      </c>
      <c r="O83">
        <f>IFERROR(VLOOKUP(all_lmics1819[[Setting]:[Setting]], facility[], 3,FALSE),VLOOKUP(all_lmics1819[[who_choice_region]:[who_choice_region]],missing[],7,FALSE))*0.95</f>
        <v>0.88349999999999995</v>
      </c>
      <c r="P83">
        <f>IF(VLOOKUP(all_lmics1819[[Setting]:[Setting]],all_cause_mort[],4,FALSE)="",VLOOKUP(all_lmics1819[[who_choice_region]:[who_choice_region]],missing[],8,FALSE),VLOOKUP(all_lmics1819[[Setting]:[Setting]],all_cause_mort[],4,FALSE))*0.95</f>
        <v>1.1562956025774548E-2</v>
      </c>
      <c r="Q83">
        <f>IF(VLOOKUP(all_lmics1819[[Setting]:[Setting]],all_cause_mort[],5,FALSE)="",VLOOKUP(all_lmics1819[[who_choice_region]:[who_choice_region]],missing[],9,FALSE),VLOOKUP(all_lmics1819[[Setting]:[Setting]],all_cause_mort[],5,FALSE))*0.95</f>
        <v>6.4950026431617822E-4</v>
      </c>
      <c r="R83">
        <f>IF(VLOOKUP(all_lmics1819[[Setting]:[Setting]],all_cause_mort[],6,FALSE)="",VLOOKUP(all_lmics1819[[who_choice_region]:[who_choice_region]],missing[],10,FALSE),VLOOKUP(all_lmics1819[[Setting]:[Setting]],all_cause_mort[],6,FALSE))*0.95</f>
        <v>3.6885009439081341E-4</v>
      </c>
      <c r="S83">
        <f>IF(VLOOKUP(all_lmics1819[[Setting]:[Setting]],all_cause_mort[],7,FALSE)="",VLOOKUP(all_lmics1819[[who_choice_region]:[who_choice_region]],missing[],11,FALSE),VLOOKUP(all_lmics1819[[Setting]:[Setting]],all_cause_mort[],7,FALSE))*0.95</f>
        <v>2.9138577745129086E-4</v>
      </c>
      <c r="T83">
        <f>IF(VLOOKUP(all_lmics1819[[Setting]:[Setting]],all_cause_mort[],8,FALSE)="",VLOOKUP(all_lmics1819[[who_choice_region]:[who_choice_region]],missing[],12,FALSE),VLOOKUP(all_lmics1819[[Setting]:[Setting]],all_cause_mort[],8,FALSE))*0.95</f>
        <v>4.6792122755951615E-4</v>
      </c>
      <c r="U83">
        <f>IF(VLOOKUP(all_lmics1819[[Setting]:[Setting]],all_cause_mort[],9,FALSE)="",VLOOKUP(all_lmics1819[[who_choice_region]:[who_choice_region]],missing[],13,FALSE),VLOOKUP(all_lmics1819[[Setting]:[Setting]],all_cause_mort[],9,FALSE))*0.95</f>
        <v>6.5185388771970328E-4</v>
      </c>
      <c r="V83">
        <f>IF(VLOOKUP(all_lmics1819[[Setting]:[Setting]],all_cause_mort[],10,FALSE)="",VLOOKUP(all_lmics1819[[who_choice_region]:[who_choice_region]],missing[],14,FALSE),VLOOKUP(all_lmics1819[[Setting]:[Setting]],all_cause_mort[],10,FALSE))*0.95</f>
        <v>8.1223228398628943E-4</v>
      </c>
      <c r="W83">
        <f>IF(VLOOKUP(all_lmics1819[[Setting]:[Setting]],all_cause_mort[],11,FALSE)="",VLOOKUP(all_lmics1819[[who_choice_region]:[who_choice_region]],missing[],15,FALSE),VLOOKUP(all_lmics1819[[Setting]:[Setting]],all_cause_mort[],11,FALSE))*0.95</f>
        <v>1.0114628984301877E-3</v>
      </c>
      <c r="X83">
        <f>IF(VLOOKUP(all_lmics1819[[Setting]:[Setting]],all_cause_mort[],12,FALSE)="",VLOOKUP(all_lmics1819[[who_choice_region]:[who_choice_region]],missing[],16,FALSE),VLOOKUP(all_lmics1819[[Setting]:[Setting]],all_cause_mort[],12,FALSE))*0.95</f>
        <v>1.3020875789148841E-3</v>
      </c>
      <c r="Y83">
        <f>IF(VLOOKUP(all_lmics1819[[Setting]:[Setting]],all_cause_mort[],13,FALSE)="",VLOOKUP(all_lmics1819[[who_choice_region]:[who_choice_region]],missing[],17,FALSE),VLOOKUP(all_lmics1819[[Setting]:[Setting]],all_cause_mort[],13,FALSE))*0.95</f>
        <v>1.8371769175086101E-3</v>
      </c>
      <c r="Z83">
        <f>IF(VLOOKUP(all_lmics1819[[Setting]:[Setting]],all_cause_mort[],14,FALSE)="",VLOOKUP(all_lmics1819[[who_choice_region]:[who_choice_region]],missing[],18,FALSE),VLOOKUP(all_lmics1819[[Setting]:[Setting]],all_cause_mort[],14,FALSE))*0.95</f>
        <v>2.7026750008059541E-3</v>
      </c>
      <c r="AA83">
        <f>IF(VLOOKUP(all_lmics1819[[Setting]:[Setting]],all_cause_mort[],15,FALSE)="",VLOOKUP(all_lmics1819[[who_choice_region]:[who_choice_region]],missing[],19,FALSE),VLOOKUP(all_lmics1819[[Setting]:[Setting]],all_cause_mort[],15,FALSE))*0.95</f>
        <v>4.3127395551441853E-3</v>
      </c>
      <c r="AB83">
        <f>IF(VLOOKUP(all_lmics1819[[Setting]:[Setting]],all_cause_mort[],16,FALSE)="",VLOOKUP(all_lmics1819[[who_choice_region]:[who_choice_region]],missing[],20,FALSE),VLOOKUP(all_lmics1819[[Setting]:[Setting]],all_cause_mort[],16,FALSE))*0.95</f>
        <v>6.927875547491278E-3</v>
      </c>
      <c r="AC83">
        <f>IF(VLOOKUP(all_lmics1819[[Setting]:[Setting]],all_cause_mort[],17,FALSE)="",VLOOKUP(all_lmics1819[[who_choice_region]:[who_choice_region]],missing[],21,FALSE),VLOOKUP(all_lmics1819[[Setting]:[Setting]],all_cause_mort[],17,FALSE))*0.95</f>
        <v>1.1808510615671607E-2</v>
      </c>
      <c r="AD83">
        <f>IF(VLOOKUP(all_lmics1819[[Setting]:[Setting]],all_cause_mort[],18,FALSE)="",VLOOKUP(all_lmics1819[[who_choice_region]:[who_choice_region]],missing[],22,FALSE),VLOOKUP(all_lmics1819[[Setting]:[Setting]],all_cause_mort[],18,FALSE))*0.95</f>
        <v>2.0163962388090179E-2</v>
      </c>
      <c r="AE83">
        <f>IF(VLOOKUP(all_lmics1819[[Setting]:[Setting]],all_cause_mort[],19,FALSE)="",VLOOKUP(all_lmics1819[[who_choice_region]:[who_choice_region]],missing[],23,FALSE),VLOOKUP(all_lmics1819[[Setting]:[Setting]],all_cause_mort[],19,FALSE))*0.95</f>
        <v>3.5245853683149968E-2</v>
      </c>
      <c r="AF83">
        <f>IF(VLOOKUP(all_lmics1819[[Setting]:[Setting]],all_cause_mort[],20,FALSE)="",VLOOKUP(all_lmics1819[[who_choice_region]:[who_choice_region]],missing[],24,FALSE),VLOOKUP(all_lmics1819[[Setting]:[Setting]],all_cause_mort[],20,FALSE))*0.95</f>
        <v>5.8430569807008163E-2</v>
      </c>
      <c r="AG83">
        <f>IF(VLOOKUP(all_lmics1819[[Setting]:[Setting]],all_cause_mort[],21,FALSE)="",VLOOKUP(all_lmics1819[[who_choice_region]:[who_choice_region]],missing[],25,FALSE),VLOOKUP(all_lmics1819[[Setting]:[Setting]],all_cause_mort[],21,FALSE))*0.95</f>
        <v>9.0126824158744276E-2</v>
      </c>
      <c r="AH83">
        <f>IF(VLOOKUP(all_lmics1819[[Setting]:[Setting]],all_cause_mort[],22,FALSE)="",VLOOKUP(all_lmics1819[[who_choice_region]:[who_choice_region]],missing[],26,FALSE),VLOOKUP(all_lmics1819[[Setting]:[Setting]],all_cause_mort[],22,FALSE))*0.95</f>
        <v>0.13958952278882106</v>
      </c>
      <c r="AI83">
        <f>IF(VLOOKUP(all_lmics1819[[Setting]:[Setting]],all_cause_mort[],23,FALSE)="",VLOOKUP(all_lmics1819[[who_choice_region]:[who_choice_region]],missing[],27,FALSE),VLOOKUP(all_lmics1819[[Setting]:[Setting]],all_cause_mort[],23,FALSE))*0.95</f>
        <v>0.20001538191489329</v>
      </c>
      <c r="AJ83">
        <f>IF(VLOOKUP(all_lmics1819[[Setting]:[Setting]],all_cause_mort[],24,FALSE)="",VLOOKUP(all_lmics1819[[who_choice_region]:[who_choice_region]],missing[],28,FALSE),VLOOKUP(all_lmics1819[[Setting]:[Setting]],all_cause_mort[],24,FALSE))*0.95</f>
        <v>0.27322656913337529</v>
      </c>
      <c r="AK83">
        <f>IF(VLOOKUP(all_lmics1819[[Setting]:[Setting]],all_cause_mort[],25,FALSE)="",VLOOKUP(all_lmics1819[[who_choice_region]:[who_choice_region]],missing[],29,FALSE),VLOOKUP(all_lmics1819[[Setting]:[Setting]],all_cause_mort[],25,FALSE))*0.95</f>
        <v>0.34399302026491624</v>
      </c>
      <c r="AL83">
        <f>VLOOKUP(all_lmics1819[[worldbank_region]:[worldbank_region]],Table13[],2,FALSE)*0.95</f>
        <v>69.411165749999981</v>
      </c>
      <c r="AM83">
        <f>VLOOKUP(all_lmics1819[[worldbank_region]:[worldbank_region]],Table13[],3,FALSE)*0.95</f>
        <v>69.411165749999981</v>
      </c>
      <c r="AN83">
        <f>VLOOKUP(all_lmics1819[[worldbank_region]:[worldbank_region]],Table13[],4,FALSE)*0.95</f>
        <v>114.75358274999998</v>
      </c>
      <c r="AO83">
        <f>VLOOKUP(all_lmics1819[[worldbank_region]:[worldbank_region]],Table13[],5,FALSE)*0.95</f>
        <v>114.75358274999998</v>
      </c>
      <c r="AP83">
        <f>VLOOKUP(all_lmics1819[[worldbank_region]:[worldbank_region]],Table13[],6,FALSE)*0.95</f>
        <v>114.75358274999998</v>
      </c>
      <c r="AQ83">
        <f>VLOOKUP(all_lmics1819[[worldbank_region]:[worldbank_region]],Table14[],2,FALSE)*0.95</f>
        <v>1.2732755</v>
      </c>
      <c r="AR83">
        <f>VLOOKUP(all_lmics1819[[worldbank_region]:[worldbank_region]],Table14[],3,FALSE)*0.95</f>
        <v>1.8599005</v>
      </c>
      <c r="AS83">
        <f>VLOOKUP(all_lmics1819[[worldbank_region]:[worldbank_region]],Table14[],4,FALSE)*0.95</f>
        <v>1.8737001999999996</v>
      </c>
      <c r="AT83">
        <f>VLOOKUP(all_lmics1819[[worldbank_region]:[worldbank_region]],Table14[],5,FALSE)*0.95</f>
        <v>2.4603251999999998</v>
      </c>
      <c r="AU83">
        <f>VLOOKUP(all_lmics1819[[worldbank_region]:[worldbank_region]],Table14[],6,FALSE)*0.95</f>
        <v>3.0020645999999997</v>
      </c>
      <c r="AV83">
        <f>IFERROR(VLOOKUP(all_lmics1819[[Setting]:[Setting]],nFacSBA[],4,FALSE),VLOOKUP(all_lmics1819[[who_choice_region]:[who_choice_region]],missing[],30,FALSE))*0.95</f>
        <v>0.1518638670270247</v>
      </c>
      <c r="AW83">
        <f>VLOOKUP(all_lmics1819[[worldbank_region]:[worldbank_region]],hbe[],3)</f>
        <v>0.2</v>
      </c>
      <c r="AX83">
        <f>VLOOKUP(all_lmics1819[[worldbank_region]:[worldbank_region]],hbe[],6)</f>
        <v>0.75</v>
      </c>
      <c r="AY83">
        <f>VLOOKUP(all_lmics1819[[worldbank_region]:[worldbank_region]],hbe[],9)</f>
        <v>0.05</v>
      </c>
    </row>
    <row r="84" spans="1:51" x14ac:dyDescent="0.35">
      <c r="A84" s="12" t="s">
        <v>212</v>
      </c>
      <c r="B84" s="13" t="s">
        <v>40</v>
      </c>
      <c r="C84" s="14" t="s">
        <v>11</v>
      </c>
      <c r="D84">
        <f>VLOOKUP(all_lmics1819[[Setting]:[Setting]],populations[],9,FALSE)</f>
        <v>44831159</v>
      </c>
      <c r="E84">
        <f>VLOOKUP(all_lmics1819[[Setting]:[Setting]],birthrate[],3,FALSE)</f>
        <v>1.03E-2</v>
      </c>
      <c r="F84">
        <f>all_lmics1819[[#This Row],[2017_population]]*all_lmics1819[[#This Row],[2016_birthrate]]</f>
        <v>461760.93770000001</v>
      </c>
      <c r="G84">
        <f>VLOOKUP(all_lmics1819[[Setting]:[Setting]],birthdose[],4,FALSE)*0.95</f>
        <v>0.46549999999999997</v>
      </c>
      <c r="H84">
        <f>VLOOKUP(all_lmics1819[[Setting]:[Setting]],fullvax[],4,FALSE)*0.95</f>
        <v>0.49399999999999999</v>
      </c>
      <c r="I84">
        <f>IFERROR(VLOOKUP(all_lmics1819[[Setting]:[Setting]],prev[],3,FALSE),VLOOKUP(all_lmics1819[[who_choice_region]:[who_choice_region]],missing[],2,FALSE))</f>
        <v>1.4500000000000001E-2</v>
      </c>
      <c r="J84">
        <f>IFERROR(VLOOKUP(all_lmics1819[[Setting]:[Setting]],prev[],4,FALSE),VLOOKUP(all_lmics1819[[who_choice_region]:[who_choice_region]],missing[],3,FALSE))</f>
        <v>1.0999999999999999E-2</v>
      </c>
      <c r="K84">
        <f>IFERROR(VLOOKUP(all_lmics1819[[Setting]:[Setting]],prev[],5,FALSE),VLOOKUP(all_lmics1819[[who_choice_region]:[who_choice_region]],missing[],4,FALSE))</f>
        <v>1.89E-2</v>
      </c>
      <c r="L84">
        <f>IFERROR(VLOOKUP(all_lmics1819[[Setting]:[Setting]],prev[],7,FALSE),VLOOKUP(all_lmics1819[[who_choice_region]:[who_choice_region]],missing[],5,FALSE))</f>
        <v>2.2448979591836731E-3</v>
      </c>
      <c r="M84">
        <f>IFERROR(VLOOKUP(all_lmics1819[[Setting]:[Setting]],prev[],6,FALSE),0)</f>
        <v>45870700</v>
      </c>
      <c r="N84">
        <f>IFERROR(VLOOKUP(all_lmics1819[[Setting]:[Setting]],SBA[],4,FALSE),VLOOKUP(all_lmics1819[[who_choice_region]:[who_choice_region]],missing[],6,FALSE))*0.95</f>
        <v>0.94905000000000006</v>
      </c>
      <c r="O84">
        <f>IFERROR(VLOOKUP(all_lmics1819[[Setting]:[Setting]], facility[], 3,FALSE),VLOOKUP(all_lmics1819[[who_choice_region]:[who_choice_region]],missing[],7,FALSE))*0.95</f>
        <v>0.93955000000000011</v>
      </c>
      <c r="P84">
        <f>IF(VLOOKUP(all_lmics1819[[Setting]:[Setting]],all_cause_mort[],4,FALSE)="",VLOOKUP(all_lmics1819[[who_choice_region]:[who_choice_region]],missing[],8,FALSE),VLOOKUP(all_lmics1819[[Setting]:[Setting]],all_cause_mort[],4,FALSE))*0.95</f>
        <v>6.8851125549999996E-3</v>
      </c>
      <c r="Q84">
        <f>IF(VLOOKUP(all_lmics1819[[Setting]:[Setting]],all_cause_mort[],5,FALSE)="",VLOOKUP(all_lmics1819[[who_choice_region]:[who_choice_region]],missing[],9,FALSE),VLOOKUP(all_lmics1819[[Setting]:[Setting]],all_cause_mort[],5,FALSE))*0.95</f>
        <v>3.2903095150000001E-4</v>
      </c>
      <c r="R84">
        <f>IF(VLOOKUP(all_lmics1819[[Setting]:[Setting]],all_cause_mort[],6,FALSE)="",VLOOKUP(all_lmics1819[[who_choice_region]:[who_choice_region]],missing[],10,FALSE),VLOOKUP(all_lmics1819[[Setting]:[Setting]],all_cause_mort[],6,FALSE))*0.95</f>
        <v>1.9377882449999999E-4</v>
      </c>
      <c r="S84">
        <f>IF(VLOOKUP(all_lmics1819[[Setting]:[Setting]],all_cause_mort[],7,FALSE)="",VLOOKUP(all_lmics1819[[who_choice_region]:[who_choice_region]],missing[],11,FALSE),VLOOKUP(all_lmics1819[[Setting]:[Setting]],all_cause_mort[],7,FALSE))*0.95</f>
        <v>2.3758915750000001E-4</v>
      </c>
      <c r="T84">
        <f>IF(VLOOKUP(all_lmics1819[[Setting]:[Setting]],all_cause_mort[],8,FALSE)="",VLOOKUP(all_lmics1819[[who_choice_region]:[who_choice_region]],missing[],12,FALSE),VLOOKUP(all_lmics1819[[Setting]:[Setting]],all_cause_mort[],8,FALSE))*0.95</f>
        <v>4.7003863449999995E-4</v>
      </c>
      <c r="U84">
        <f>IF(VLOOKUP(all_lmics1819[[Setting]:[Setting]],all_cause_mort[],9,FALSE)="",VLOOKUP(all_lmics1819[[who_choice_region]:[who_choice_region]],missing[],13,FALSE),VLOOKUP(all_lmics1819[[Setting]:[Setting]],all_cause_mort[],9,FALSE))*0.95</f>
        <v>8.6992739749999998E-4</v>
      </c>
      <c r="V84">
        <f>IF(VLOOKUP(all_lmics1819[[Setting]:[Setting]],all_cause_mort[],10,FALSE)="",VLOOKUP(all_lmics1819[[who_choice_region]:[who_choice_region]],missing[],14,FALSE),VLOOKUP(all_lmics1819[[Setting]:[Setting]],all_cause_mort[],10,FALSE))*0.95</f>
        <v>1.4143096499999999E-3</v>
      </c>
      <c r="W84">
        <f>IF(VLOOKUP(all_lmics1819[[Setting]:[Setting]],all_cause_mort[],11,FALSE)="",VLOOKUP(all_lmics1819[[who_choice_region]:[who_choice_region]],missing[],15,FALSE),VLOOKUP(all_lmics1819[[Setting]:[Setting]],all_cause_mort[],11,FALSE))*0.95</f>
        <v>2.4249737049999998E-3</v>
      </c>
      <c r="X84">
        <f>IF(VLOOKUP(all_lmics1819[[Setting]:[Setting]],all_cause_mort[],12,FALSE)="",VLOOKUP(all_lmics1819[[who_choice_region]:[who_choice_region]],missing[],16,FALSE),VLOOKUP(all_lmics1819[[Setting]:[Setting]],all_cause_mort[],12,FALSE))*0.95</f>
        <v>3.3750734550000001E-3</v>
      </c>
      <c r="Y84">
        <f>IF(VLOOKUP(all_lmics1819[[Setting]:[Setting]],all_cause_mort[],13,FALSE)="",VLOOKUP(all_lmics1819[[who_choice_region]:[who_choice_region]],missing[],17,FALSE),VLOOKUP(all_lmics1819[[Setting]:[Setting]],all_cause_mort[],13,FALSE))*0.95</f>
        <v>4.358882245E-3</v>
      </c>
      <c r="Z84">
        <f>IF(VLOOKUP(all_lmics1819[[Setting]:[Setting]],all_cause_mort[],14,FALSE)="",VLOOKUP(all_lmics1819[[who_choice_region]:[who_choice_region]],missing[],18,FALSE),VLOOKUP(all_lmics1819[[Setting]:[Setting]],all_cause_mort[],14,FALSE))*0.95</f>
        <v>5.9597505199999994E-3</v>
      </c>
      <c r="AA84">
        <f>IF(VLOOKUP(all_lmics1819[[Setting]:[Setting]],all_cause_mort[],15,FALSE)="",VLOOKUP(all_lmics1819[[who_choice_region]:[who_choice_region]],missing[],19,FALSE),VLOOKUP(all_lmics1819[[Setting]:[Setting]],all_cause_mort[],15,FALSE))*0.95</f>
        <v>8.4741608349999994E-3</v>
      </c>
      <c r="AB84">
        <f>IF(VLOOKUP(all_lmics1819[[Setting]:[Setting]],all_cause_mort[],16,FALSE)="",VLOOKUP(all_lmics1819[[who_choice_region]:[who_choice_region]],missing[],20,FALSE),VLOOKUP(all_lmics1819[[Setting]:[Setting]],all_cause_mort[],16,FALSE))*0.95</f>
        <v>1.236210395E-2</v>
      </c>
      <c r="AC84">
        <f>IF(VLOOKUP(all_lmics1819[[Setting]:[Setting]],all_cause_mort[],17,FALSE)="",VLOOKUP(all_lmics1819[[who_choice_region]:[who_choice_region]],missing[],21,FALSE),VLOOKUP(all_lmics1819[[Setting]:[Setting]],all_cause_mort[],17,FALSE))*0.95</f>
        <v>1.8258222899999999E-2</v>
      </c>
      <c r="AD84">
        <f>IF(VLOOKUP(all_lmics1819[[Setting]:[Setting]],all_cause_mort[],18,FALSE)="",VLOOKUP(all_lmics1819[[who_choice_region]:[who_choice_region]],missing[],22,FALSE),VLOOKUP(all_lmics1819[[Setting]:[Setting]],all_cause_mort[],18,FALSE))*0.95</f>
        <v>2.5342512549999998E-2</v>
      </c>
      <c r="AE84">
        <f>IF(VLOOKUP(all_lmics1819[[Setting]:[Setting]],all_cause_mort[],19,FALSE)="",VLOOKUP(all_lmics1819[[who_choice_region]:[who_choice_region]],missing[],23,FALSE),VLOOKUP(all_lmics1819[[Setting]:[Setting]],all_cause_mort[],19,FALSE))*0.95</f>
        <v>4.0391453999999993E-2</v>
      </c>
      <c r="AF84">
        <f>IF(VLOOKUP(all_lmics1819[[Setting]:[Setting]],all_cause_mort[],20,FALSE)="",VLOOKUP(all_lmics1819[[who_choice_region]:[who_choice_region]],missing[],24,FALSE),VLOOKUP(all_lmics1819[[Setting]:[Setting]],all_cause_mort[],20,FALSE))*0.95</f>
        <v>6.4771997499999998E-2</v>
      </c>
      <c r="AG84">
        <f>IF(VLOOKUP(all_lmics1819[[Setting]:[Setting]],all_cause_mort[],21,FALSE)="",VLOOKUP(all_lmics1819[[who_choice_region]:[who_choice_region]],missing[],25,FALSE),VLOOKUP(all_lmics1819[[Setting]:[Setting]],all_cause_mort[],21,FALSE))*0.95</f>
        <v>0.10303104349999999</v>
      </c>
      <c r="AH84">
        <f>IF(VLOOKUP(all_lmics1819[[Setting]:[Setting]],all_cause_mort[],22,FALSE)="",VLOOKUP(all_lmics1819[[who_choice_region]:[who_choice_region]],missing[],26,FALSE),VLOOKUP(all_lmics1819[[Setting]:[Setting]],all_cause_mort[],22,FALSE))*0.95</f>
        <v>0.16153532100000001</v>
      </c>
      <c r="AI84">
        <f>IF(VLOOKUP(all_lmics1819[[Setting]:[Setting]],all_cause_mort[],23,FALSE)="",VLOOKUP(all_lmics1819[[who_choice_region]:[who_choice_region]],missing[],27,FALSE),VLOOKUP(all_lmics1819[[Setting]:[Setting]],all_cause_mort[],23,FALSE))*0.95</f>
        <v>0.24882494999999999</v>
      </c>
      <c r="AJ84">
        <f>IF(VLOOKUP(all_lmics1819[[Setting]:[Setting]],all_cause_mort[],24,FALSE)="",VLOOKUP(all_lmics1819[[who_choice_region]:[who_choice_region]],missing[],28,FALSE),VLOOKUP(all_lmics1819[[Setting]:[Setting]],all_cause_mort[],24,FALSE))*0.95</f>
        <v>0.35996555449999995</v>
      </c>
      <c r="AK84">
        <f>IF(VLOOKUP(all_lmics1819[[Setting]:[Setting]],all_cause_mort[],25,FALSE)="",VLOOKUP(all_lmics1819[[who_choice_region]:[who_choice_region]],missing[],29,FALSE),VLOOKUP(all_lmics1819[[Setting]:[Setting]],all_cause_mort[],25,FALSE))*0.95</f>
        <v>0.49540237910995616</v>
      </c>
      <c r="AL84">
        <f>VLOOKUP(all_lmics1819[[worldbank_region]:[worldbank_region]],Table13[],2,FALSE)*0.95</f>
        <v>42.29888489999999</v>
      </c>
      <c r="AM84">
        <f>VLOOKUP(all_lmics1819[[worldbank_region]:[worldbank_region]],Table13[],3,FALSE)*0.95</f>
        <v>42.29888489999999</v>
      </c>
      <c r="AN84">
        <f>VLOOKUP(all_lmics1819[[worldbank_region]:[worldbank_region]],Table13[],4,FALSE)*0.95</f>
        <v>87.641301899999988</v>
      </c>
      <c r="AO84">
        <f>VLOOKUP(all_lmics1819[[worldbank_region]:[worldbank_region]],Table13[],5,FALSE)*0.95</f>
        <v>87.641301899999988</v>
      </c>
      <c r="AP84">
        <f>VLOOKUP(all_lmics1819[[worldbank_region]:[worldbank_region]],Table13[],6,FALSE)*0.95</f>
        <v>87.641301899999988</v>
      </c>
      <c r="AQ84">
        <f>VLOOKUP(all_lmics1819[[worldbank_region]:[worldbank_region]],Table14[],2,FALSE)*0.95</f>
        <v>6.0973773999999992</v>
      </c>
      <c r="AR84">
        <f>VLOOKUP(all_lmics1819[[worldbank_region]:[worldbank_region]],Table14[],3,FALSE)*0.95</f>
        <v>6.6840023999999998</v>
      </c>
      <c r="AS84">
        <f>VLOOKUP(all_lmics1819[[worldbank_region]:[worldbank_region]],Table14[],4,FALSE)*0.95</f>
        <v>9.9587293499999969</v>
      </c>
      <c r="AT84">
        <f>VLOOKUP(all_lmics1819[[worldbank_region]:[worldbank_region]],Table14[],5,FALSE)*0.95</f>
        <v>10.545354349999998</v>
      </c>
      <c r="AU84">
        <f>VLOOKUP(all_lmics1819[[worldbank_region]:[worldbank_region]],Table14[],6,FALSE)*0.95</f>
        <v>11.087093749999999</v>
      </c>
      <c r="AV84">
        <f>IFERROR(VLOOKUP(all_lmics1819[[Setting]:[Setting]],nFacSBA[],4,FALSE),VLOOKUP(all_lmics1819[[who_choice_region]:[who_choice_region]],missing[],30,FALSE))*0.95</f>
        <v>0.13926200807220432</v>
      </c>
      <c r="AW84">
        <f>VLOOKUP(all_lmics1819[[worldbank_region]:[worldbank_region]],hbe[],3)</f>
        <v>0.2</v>
      </c>
      <c r="AX84">
        <f>VLOOKUP(all_lmics1819[[worldbank_region]:[worldbank_region]],hbe[],6)</f>
        <v>0.75</v>
      </c>
      <c r="AY84">
        <f>VLOOKUP(all_lmics1819[[worldbank_region]:[worldbank_region]],hbe[],9)</f>
        <v>0.05</v>
      </c>
    </row>
    <row r="85" spans="1:51" x14ac:dyDescent="0.35">
      <c r="A85" s="8" t="s">
        <v>213</v>
      </c>
      <c r="B85" s="10" t="s">
        <v>33</v>
      </c>
      <c r="C85" s="11" t="s">
        <v>7</v>
      </c>
      <c r="D85">
        <f>VLOOKUP(all_lmics1819[[Setting]:[Setting]],populations[],9,FALSE)</f>
        <v>9400145</v>
      </c>
      <c r="E85">
        <f>VLOOKUP(all_lmics1819[[Setting]:[Setting]],birthrate[],3,FALSE)</f>
        <v>9.5919999999999998E-3</v>
      </c>
      <c r="F85">
        <f>all_lmics1819[[#This Row],[2017_population]]*all_lmics1819[[#This Row],[2016_birthrate]]</f>
        <v>90166.190839999996</v>
      </c>
      <c r="G85">
        <f>VLOOKUP(all_lmics1819[[Setting]:[Setting]],birthdose[],4,FALSE)*0.95</f>
        <v>0.92149999999999999</v>
      </c>
      <c r="H85">
        <f>VLOOKUP(all_lmics1819[[Setting]:[Setting]],fullvax[],4,FALSE)*0.95</f>
        <v>0.93099999999999994</v>
      </c>
      <c r="I85">
        <f>IFERROR(VLOOKUP(all_lmics1819[[Setting]:[Setting]],prev[],3,FALSE),VLOOKUP(all_lmics1819[[who_choice_region]:[who_choice_region]],missing[],2,FALSE))</f>
        <v>0.01</v>
      </c>
      <c r="J85">
        <f>IFERROR(VLOOKUP(all_lmics1819[[Setting]:[Setting]],prev[],4,FALSE),VLOOKUP(all_lmics1819[[who_choice_region]:[who_choice_region]],missing[],3,FALSE))</f>
        <v>5.0000000000000001E-3</v>
      </c>
      <c r="K85">
        <f>IFERROR(VLOOKUP(all_lmics1819[[Setting]:[Setting]],prev[],5,FALSE),VLOOKUP(all_lmics1819[[who_choice_region]:[who_choice_region]],missing[],4,FALSE))</f>
        <v>1.2E-2</v>
      </c>
      <c r="L85">
        <f>IFERROR(VLOOKUP(all_lmics1819[[Setting]:[Setting]],prev[],7,FALSE),VLOOKUP(all_lmics1819[[who_choice_region]:[who_choice_region]],missing[],5,FALSE))</f>
        <v>1.0204081632653062E-3</v>
      </c>
      <c r="M85">
        <f>IFERROR(VLOOKUP(all_lmics1819[[Setting]:[Setting]],prev[],6,FALSE),0)</f>
        <v>9400145</v>
      </c>
      <c r="N85">
        <f>IFERROR(VLOOKUP(all_lmics1819[[Setting]:[Setting]],SBA[],4,FALSE),VLOOKUP(all_lmics1819[[who_choice_region]:[who_choice_region]],missing[],6,FALSE))*0.95</f>
        <v>0.94905000000000006</v>
      </c>
      <c r="O85">
        <f>IFERROR(VLOOKUP(all_lmics1819[[Setting]:[Setting]], facility[], 3,FALSE),VLOOKUP(all_lmics1819[[who_choice_region]:[who_choice_region]],missing[],7,FALSE))*0.95</f>
        <v>0.94905000000000006</v>
      </c>
      <c r="P85">
        <f>IF(VLOOKUP(all_lmics1819[[Setting]:[Setting]],all_cause_mort[],4,FALSE)="",VLOOKUP(all_lmics1819[[who_choice_region]:[who_choice_region]],missing[],8,FALSE),VLOOKUP(all_lmics1819[[Setting]:[Setting]],all_cause_mort[],4,FALSE))*0.95</f>
        <v>5.2657110149999997E-3</v>
      </c>
      <c r="Q85">
        <f>IF(VLOOKUP(all_lmics1819[[Setting]:[Setting]],all_cause_mort[],5,FALSE)="",VLOOKUP(all_lmics1819[[who_choice_region]:[who_choice_region]],missing[],9,FALSE),VLOOKUP(all_lmics1819[[Setting]:[Setting]],all_cause_mort[],5,FALSE))*0.95</f>
        <v>2.188630805E-4</v>
      </c>
      <c r="R85">
        <f>IF(VLOOKUP(all_lmics1819[[Setting]:[Setting]],all_cause_mort[],6,FALSE)="",VLOOKUP(all_lmics1819[[who_choice_region]:[who_choice_region]],missing[],10,FALSE),VLOOKUP(all_lmics1819[[Setting]:[Setting]],all_cause_mort[],6,FALSE))*0.95</f>
        <v>1.2589367699999997E-4</v>
      </c>
      <c r="S85">
        <f>IF(VLOOKUP(all_lmics1819[[Setting]:[Setting]],all_cause_mort[],7,FALSE)="",VLOOKUP(all_lmics1819[[who_choice_region]:[who_choice_region]],missing[],11,FALSE),VLOOKUP(all_lmics1819[[Setting]:[Setting]],all_cause_mort[],7,FALSE))*0.95</f>
        <v>1.2005516699999998E-4</v>
      </c>
      <c r="T85">
        <f>IF(VLOOKUP(all_lmics1819[[Setting]:[Setting]],all_cause_mort[],8,FALSE)="",VLOOKUP(all_lmics1819[[who_choice_region]:[who_choice_region]],missing[],12,FALSE),VLOOKUP(all_lmics1819[[Setting]:[Setting]],all_cause_mort[],8,FALSE))*0.95</f>
        <v>6.8721906550000004E-4</v>
      </c>
      <c r="U85">
        <f>IF(VLOOKUP(all_lmics1819[[Setting]:[Setting]],all_cause_mort[],9,FALSE)="",VLOOKUP(all_lmics1819[[who_choice_region]:[who_choice_region]],missing[],13,FALSE),VLOOKUP(all_lmics1819[[Setting]:[Setting]],all_cause_mort[],9,FALSE))*0.95</f>
        <v>5.1945323599999994E-4</v>
      </c>
      <c r="V85">
        <f>IF(VLOOKUP(all_lmics1819[[Setting]:[Setting]],all_cause_mort[],10,FALSE)="",VLOOKUP(all_lmics1819[[who_choice_region]:[who_choice_region]],missing[],14,FALSE),VLOOKUP(all_lmics1819[[Setting]:[Setting]],all_cause_mort[],10,FALSE))*0.95</f>
        <v>4.3803377099999995E-4</v>
      </c>
      <c r="W85">
        <f>IF(VLOOKUP(all_lmics1819[[Setting]:[Setting]],all_cause_mort[],11,FALSE)="",VLOOKUP(all_lmics1819[[who_choice_region]:[who_choice_region]],missing[],15,FALSE),VLOOKUP(all_lmics1819[[Setting]:[Setting]],all_cause_mort[],11,FALSE))*0.95</f>
        <v>4.0012074349999997E-4</v>
      </c>
      <c r="X85">
        <f>IF(VLOOKUP(all_lmics1819[[Setting]:[Setting]],all_cause_mort[],12,FALSE)="",VLOOKUP(all_lmics1819[[who_choice_region]:[who_choice_region]],missing[],16,FALSE),VLOOKUP(all_lmics1819[[Setting]:[Setting]],all_cause_mort[],12,FALSE))*0.95</f>
        <v>5.1361208499999997E-4</v>
      </c>
      <c r="Y85">
        <f>IF(VLOOKUP(all_lmics1819[[Setting]:[Setting]],all_cause_mort[],13,FALSE)="",VLOOKUP(all_lmics1819[[who_choice_region]:[who_choice_region]],missing[],17,FALSE),VLOOKUP(all_lmics1819[[Setting]:[Setting]],all_cause_mort[],13,FALSE))*0.95</f>
        <v>7.8184940149999996E-4</v>
      </c>
      <c r="Z85">
        <f>IF(VLOOKUP(all_lmics1819[[Setting]:[Setting]],all_cause_mort[],14,FALSE)="",VLOOKUP(all_lmics1819[[who_choice_region]:[who_choice_region]],missing[],18,FALSE),VLOOKUP(all_lmics1819[[Setting]:[Setting]],all_cause_mort[],14,FALSE))*0.95</f>
        <v>1.5409867349999999E-3</v>
      </c>
      <c r="AA85">
        <f>IF(VLOOKUP(all_lmics1819[[Setting]:[Setting]],all_cause_mort[],15,FALSE)="",VLOOKUP(all_lmics1819[[who_choice_region]:[who_choice_region]],missing[],19,FALSE),VLOOKUP(all_lmics1819[[Setting]:[Setting]],all_cause_mort[],15,FALSE))*0.95</f>
        <v>2.4548175750000001E-3</v>
      </c>
      <c r="AB85">
        <f>IF(VLOOKUP(all_lmics1819[[Setting]:[Setting]],all_cause_mort[],16,FALSE)="",VLOOKUP(all_lmics1819[[who_choice_region]:[who_choice_region]],missing[],20,FALSE),VLOOKUP(all_lmics1819[[Setting]:[Setting]],all_cause_mort[],16,FALSE))*0.95</f>
        <v>5.042238145E-3</v>
      </c>
      <c r="AC85">
        <f>IF(VLOOKUP(all_lmics1819[[Setting]:[Setting]],all_cause_mort[],17,FALSE)="",VLOOKUP(all_lmics1819[[who_choice_region]:[who_choice_region]],missing[],21,FALSE),VLOOKUP(all_lmics1819[[Setting]:[Setting]],all_cause_mort[],17,FALSE))*0.95</f>
        <v>1.4325958199999999E-2</v>
      </c>
      <c r="AD85">
        <f>IF(VLOOKUP(all_lmics1819[[Setting]:[Setting]],all_cause_mort[],18,FALSE)="",VLOOKUP(all_lmics1819[[who_choice_region]:[who_choice_region]],missing[],22,FALSE),VLOOKUP(all_lmics1819[[Setting]:[Setting]],all_cause_mort[],18,FALSE))*0.95</f>
        <v>1.9057246999999999E-2</v>
      </c>
      <c r="AE85">
        <f>IF(VLOOKUP(all_lmics1819[[Setting]:[Setting]],all_cause_mort[],19,FALSE)="",VLOOKUP(all_lmics1819[[who_choice_region]:[who_choice_region]],missing[],23,FALSE),VLOOKUP(all_lmics1819[[Setting]:[Setting]],all_cause_mort[],19,FALSE))*0.95</f>
        <v>3.0976870399999999E-2</v>
      </c>
      <c r="AF85">
        <f>IF(VLOOKUP(all_lmics1819[[Setting]:[Setting]],all_cause_mort[],20,FALSE)="",VLOOKUP(all_lmics1819[[who_choice_region]:[who_choice_region]],missing[],24,FALSE),VLOOKUP(all_lmics1819[[Setting]:[Setting]],all_cause_mort[],20,FALSE))*0.95</f>
        <v>5.5334235799999999E-2</v>
      </c>
      <c r="AG85">
        <f>IF(VLOOKUP(all_lmics1819[[Setting]:[Setting]],all_cause_mort[],21,FALSE)="",VLOOKUP(all_lmics1819[[who_choice_region]:[who_choice_region]],missing[],25,FALSE),VLOOKUP(all_lmics1819[[Setting]:[Setting]],all_cause_mort[],21,FALSE))*0.95</f>
        <v>8.7104215599999993E-2</v>
      </c>
      <c r="AH85">
        <f>IF(VLOOKUP(all_lmics1819[[Setting]:[Setting]],all_cause_mort[],22,FALSE)="",VLOOKUP(all_lmics1819[[who_choice_region]:[who_choice_region]],missing[],26,FALSE),VLOOKUP(all_lmics1819[[Setting]:[Setting]],all_cause_mort[],22,FALSE))*0.95</f>
        <v>0.13274525749999999</v>
      </c>
      <c r="AI85">
        <f>IF(VLOOKUP(all_lmics1819[[Setting]:[Setting]],all_cause_mort[],23,FALSE)="",VLOOKUP(all_lmics1819[[who_choice_region]:[who_choice_region]],missing[],27,FALSE),VLOOKUP(all_lmics1819[[Setting]:[Setting]],all_cause_mort[],23,FALSE))*0.95</f>
        <v>0.19057287849999999</v>
      </c>
      <c r="AJ85">
        <f>IF(VLOOKUP(all_lmics1819[[Setting]:[Setting]],all_cause_mort[],24,FALSE)="",VLOOKUP(all_lmics1819[[who_choice_region]:[who_choice_region]],missing[],28,FALSE),VLOOKUP(all_lmics1819[[Setting]:[Setting]],all_cause_mort[],24,FALSE))*0.95</f>
        <v>0.25879192249999994</v>
      </c>
      <c r="AK85">
        <f>IF(VLOOKUP(all_lmics1819[[Setting]:[Setting]],all_cause_mort[],25,FALSE)="",VLOOKUP(all_lmics1819[[who_choice_region]:[who_choice_region]],missing[],29,FALSE),VLOOKUP(all_lmics1819[[Setting]:[Setting]],all_cause_mort[],25,FALSE))*0.95</f>
        <v>0.35151516541878208</v>
      </c>
      <c r="AL85">
        <f>VLOOKUP(all_lmics1819[[worldbank_region]:[worldbank_region]],Table13[],2,FALSE)*0.95</f>
        <v>55.011325099999993</v>
      </c>
      <c r="AM85">
        <f>VLOOKUP(all_lmics1819[[worldbank_region]:[worldbank_region]],Table13[],3,FALSE)*0.95</f>
        <v>55.011325099999993</v>
      </c>
      <c r="AN85">
        <f>VLOOKUP(all_lmics1819[[worldbank_region]:[worldbank_region]],Table13[],4,FALSE)*0.95</f>
        <v>100.35374209999999</v>
      </c>
      <c r="AO85">
        <f>VLOOKUP(all_lmics1819[[worldbank_region]:[worldbank_region]],Table13[],5,FALSE)*0.95</f>
        <v>100.35374209999999</v>
      </c>
      <c r="AP85">
        <f>VLOOKUP(all_lmics1819[[worldbank_region]:[worldbank_region]],Table13[],6,FALSE)*0.95</f>
        <v>100.35374209999999</v>
      </c>
      <c r="AQ85">
        <f>VLOOKUP(all_lmics1819[[worldbank_region]:[worldbank_region]],Table14[],2,FALSE)*0.95</f>
        <v>1.4285577499999997</v>
      </c>
      <c r="AR85">
        <f>VLOOKUP(all_lmics1819[[worldbank_region]:[worldbank_region]],Table14[],3,FALSE)*0.95</f>
        <v>2.0151827500000001</v>
      </c>
      <c r="AS85">
        <f>VLOOKUP(all_lmics1819[[worldbank_region]:[worldbank_region]],Table14[],4,FALSE)*0.95</f>
        <v>1.8840523499999997</v>
      </c>
      <c r="AT85">
        <f>VLOOKUP(all_lmics1819[[worldbank_region]:[worldbank_region]],Table14[],5,FALSE)*0.95</f>
        <v>2.4706773499999999</v>
      </c>
      <c r="AU85">
        <f>VLOOKUP(all_lmics1819[[worldbank_region]:[worldbank_region]],Table14[],6,FALSE)*0.95</f>
        <v>3.0124167499999999</v>
      </c>
      <c r="AV85">
        <f>IFERROR(VLOOKUP(all_lmics1819[[Setting]:[Setting]],nFacSBA[],4,FALSE),VLOOKUP(all_lmics1819[[who_choice_region]:[who_choice_region]],missing[],30,FALSE))*0.95</f>
        <v>0.368442657134743</v>
      </c>
      <c r="AW85">
        <f>VLOOKUP(all_lmics1819[[worldbank_region]:[worldbank_region]],hbe[],3)</f>
        <v>0.2</v>
      </c>
      <c r="AX85">
        <f>VLOOKUP(all_lmics1819[[worldbank_region]:[worldbank_region]],hbe[],6)</f>
        <v>0.75</v>
      </c>
      <c r="AY85">
        <f>VLOOKUP(all_lmics1819[[worldbank_region]:[worldbank_region]],hbe[],9)</f>
        <v>0.05</v>
      </c>
    </row>
    <row r="86" spans="1:51" x14ac:dyDescent="0.35">
      <c r="A86" s="12" t="s">
        <v>218</v>
      </c>
      <c r="B86" s="13" t="s">
        <v>10</v>
      </c>
      <c r="C86" s="14" t="s">
        <v>11</v>
      </c>
      <c r="D86">
        <f>VLOOKUP(all_lmics1819[[Setting]:[Setting]],populations[],9,FALSE)</f>
        <v>32387200</v>
      </c>
      <c r="E86">
        <f>VLOOKUP(all_lmics1819[[Setting]:[Setting]],birthrate[],3,FALSE)</f>
        <v>2.2800000000000001E-2</v>
      </c>
      <c r="F86">
        <f>all_lmics1819[[#This Row],[2017_population]]*all_lmics1819[[#This Row],[2016_birthrate]]</f>
        <v>738428.16</v>
      </c>
      <c r="G86">
        <f>VLOOKUP(all_lmics1819[[Setting]:[Setting]],birthdose[],4,FALSE)*0.95</f>
        <v>0.9405</v>
      </c>
      <c r="H86">
        <f>VLOOKUP(all_lmics1819[[Setting]:[Setting]],fullvax[],4,FALSE)*0.95</f>
        <v>0.9405</v>
      </c>
      <c r="I86">
        <f>IFERROR(VLOOKUP(all_lmics1819[[Setting]:[Setting]],prev[],3,FALSE),VLOOKUP(all_lmics1819[[who_choice_region]:[who_choice_region]],missing[],2,FALSE))</f>
        <v>0.08</v>
      </c>
      <c r="J86">
        <f>IFERROR(VLOOKUP(all_lmics1819[[Setting]:[Setting]],prev[],4,FALSE),VLOOKUP(all_lmics1819[[who_choice_region]:[who_choice_region]],missing[],3,FALSE))</f>
        <v>4.1000000000000002E-2</v>
      </c>
      <c r="K86">
        <f>IFERROR(VLOOKUP(all_lmics1819[[Setting]:[Setting]],prev[],5,FALSE),VLOOKUP(all_lmics1819[[who_choice_region]:[who_choice_region]],missing[],4,FALSE))</f>
        <v>0.11700000000000001</v>
      </c>
      <c r="L86">
        <f>IFERROR(VLOOKUP(all_lmics1819[[Setting]:[Setting]],prev[],7,FALSE),VLOOKUP(all_lmics1819[[who_choice_region]:[who_choice_region]],missing[],5,FALSE))</f>
        <v>1.8877551020408168E-2</v>
      </c>
      <c r="M86">
        <f>IFERROR(VLOOKUP(all_lmics1819[[Setting]:[Setting]],prev[],6,FALSE),0)</f>
        <v>32387200</v>
      </c>
      <c r="N86">
        <f>IFERROR(VLOOKUP(all_lmics1819[[Setting]:[Setting]],SBA[],4,FALSE),VLOOKUP(all_lmics1819[[who_choice_region]:[who_choice_region]],missing[],6,FALSE))*0.95</f>
        <v>0.94990499999999989</v>
      </c>
      <c r="O86">
        <f>IFERROR(VLOOKUP(all_lmics1819[[Setting]:[Setting]], facility[], 3,FALSE),VLOOKUP(all_lmics1819[[who_choice_region]:[who_choice_region]],missing[],7,FALSE))*0.95</f>
        <v>0.94524999999999992</v>
      </c>
      <c r="P86">
        <f>IF(VLOOKUP(all_lmics1819[[Setting]:[Setting]],all_cause_mort[],4,FALSE)="",VLOOKUP(all_lmics1819[[who_choice_region]:[who_choice_region]],missing[],8,FALSE),VLOOKUP(all_lmics1819[[Setting]:[Setting]],all_cause_mort[],4,FALSE))*0.95</f>
        <v>2.0168838199999997E-2</v>
      </c>
      <c r="Q86">
        <f>IF(VLOOKUP(all_lmics1819[[Setting]:[Setting]],all_cause_mort[],5,FALSE)="",VLOOKUP(all_lmics1819[[who_choice_region]:[who_choice_region]],missing[],9,FALSE),VLOOKUP(all_lmics1819[[Setting]:[Setting]],all_cause_mort[],5,FALSE))*0.95</f>
        <v>1.1645831499999999E-3</v>
      </c>
      <c r="R86">
        <f>IF(VLOOKUP(all_lmics1819[[Setting]:[Setting]],all_cause_mort[],6,FALSE)="",VLOOKUP(all_lmics1819[[who_choice_region]:[who_choice_region]],missing[],10,FALSE),VLOOKUP(all_lmics1819[[Setting]:[Setting]],all_cause_mort[],6,FALSE))*0.95</f>
        <v>2.734152155E-4</v>
      </c>
      <c r="S86">
        <f>IF(VLOOKUP(all_lmics1819[[Setting]:[Setting]],all_cause_mort[],7,FALSE)="",VLOOKUP(all_lmics1819[[who_choice_region]:[who_choice_region]],missing[],11,FALSE),VLOOKUP(all_lmics1819[[Setting]:[Setting]],all_cause_mort[],7,FALSE))*0.95</f>
        <v>2.9135112999999999E-4</v>
      </c>
      <c r="T86">
        <f>IF(VLOOKUP(all_lmics1819[[Setting]:[Setting]],all_cause_mort[],8,FALSE)="",VLOOKUP(all_lmics1819[[who_choice_region]:[who_choice_region]],missing[],12,FALSE),VLOOKUP(all_lmics1819[[Setting]:[Setting]],all_cause_mort[],8,FALSE))*0.95</f>
        <v>4.7981211099999992E-4</v>
      </c>
      <c r="U86">
        <f>IF(VLOOKUP(all_lmics1819[[Setting]:[Setting]],all_cause_mort[],9,FALSE)="",VLOOKUP(all_lmics1819[[who_choice_region]:[who_choice_region]],missing[],13,FALSE),VLOOKUP(all_lmics1819[[Setting]:[Setting]],all_cause_mort[],9,FALSE))*0.95</f>
        <v>6.8942599149999996E-4</v>
      </c>
      <c r="V86">
        <f>IF(VLOOKUP(all_lmics1819[[Setting]:[Setting]],all_cause_mort[],10,FALSE)="",VLOOKUP(all_lmics1819[[who_choice_region]:[who_choice_region]],missing[],14,FALSE),VLOOKUP(all_lmics1819[[Setting]:[Setting]],all_cause_mort[],10,FALSE))*0.95</f>
        <v>9.2695935549999998E-4</v>
      </c>
      <c r="W86">
        <f>IF(VLOOKUP(all_lmics1819[[Setting]:[Setting]],all_cause_mort[],11,FALSE)="",VLOOKUP(all_lmics1819[[who_choice_region]:[who_choice_region]],missing[],15,FALSE),VLOOKUP(all_lmics1819[[Setting]:[Setting]],all_cause_mort[],11,FALSE))*0.95</f>
        <v>1.2578073149999999E-3</v>
      </c>
      <c r="X86">
        <f>IF(VLOOKUP(all_lmics1819[[Setting]:[Setting]],all_cause_mort[],12,FALSE)="",VLOOKUP(all_lmics1819[[who_choice_region]:[who_choice_region]],missing[],16,FALSE),VLOOKUP(all_lmics1819[[Setting]:[Setting]],all_cause_mort[],12,FALSE))*0.95</f>
        <v>1.756017905E-3</v>
      </c>
      <c r="Y86">
        <f>IF(VLOOKUP(all_lmics1819[[Setting]:[Setting]],all_cause_mort[],13,FALSE)="",VLOOKUP(all_lmics1819[[who_choice_region]:[who_choice_region]],missing[],17,FALSE),VLOOKUP(all_lmics1819[[Setting]:[Setting]],all_cause_mort[],13,FALSE))*0.95</f>
        <v>2.4559192900000001E-3</v>
      </c>
      <c r="Z86">
        <f>IF(VLOOKUP(all_lmics1819[[Setting]:[Setting]],all_cause_mort[],14,FALSE)="",VLOOKUP(all_lmics1819[[who_choice_region]:[who_choice_region]],missing[],18,FALSE),VLOOKUP(all_lmics1819[[Setting]:[Setting]],all_cause_mort[],14,FALSE))*0.95</f>
        <v>3.7355744199999998E-3</v>
      </c>
      <c r="AA86">
        <f>IF(VLOOKUP(all_lmics1819[[Setting]:[Setting]],all_cause_mort[],15,FALSE)="",VLOOKUP(all_lmics1819[[who_choice_region]:[who_choice_region]],missing[],19,FALSE),VLOOKUP(all_lmics1819[[Setting]:[Setting]],all_cause_mort[],15,FALSE))*0.95</f>
        <v>6.0349783600000002E-3</v>
      </c>
      <c r="AB86">
        <f>IF(VLOOKUP(all_lmics1819[[Setting]:[Setting]],all_cause_mort[],16,FALSE)="",VLOOKUP(all_lmics1819[[who_choice_region]:[who_choice_region]],missing[],20,FALSE),VLOOKUP(all_lmics1819[[Setting]:[Setting]],all_cause_mort[],16,FALSE))*0.95</f>
        <v>1.0314615499999999E-2</v>
      </c>
      <c r="AC86">
        <f>IF(VLOOKUP(all_lmics1819[[Setting]:[Setting]],all_cause_mort[],17,FALSE)="",VLOOKUP(all_lmics1819[[who_choice_region]:[who_choice_region]],missing[],21,FALSE),VLOOKUP(all_lmics1819[[Setting]:[Setting]],all_cause_mort[],17,FALSE))*0.95</f>
        <v>1.8013231199999997E-2</v>
      </c>
      <c r="AD86">
        <f>IF(VLOOKUP(all_lmics1819[[Setting]:[Setting]],all_cause_mort[],18,FALSE)="",VLOOKUP(all_lmics1819[[who_choice_region]:[who_choice_region]],missing[],22,FALSE),VLOOKUP(all_lmics1819[[Setting]:[Setting]],all_cause_mort[],18,FALSE))*0.95</f>
        <v>2.9156657099999997E-2</v>
      </c>
      <c r="AE86">
        <f>IF(VLOOKUP(all_lmics1819[[Setting]:[Setting]],all_cause_mort[],19,FALSE)="",VLOOKUP(all_lmics1819[[who_choice_region]:[who_choice_region]],missing[],23,FALSE),VLOOKUP(all_lmics1819[[Setting]:[Setting]],all_cause_mort[],19,FALSE))*0.95</f>
        <v>4.7087971700000002E-2</v>
      </c>
      <c r="AF86">
        <f>IF(VLOOKUP(all_lmics1819[[Setting]:[Setting]],all_cause_mort[],20,FALSE)="",VLOOKUP(all_lmics1819[[who_choice_region]:[who_choice_region]],missing[],24,FALSE),VLOOKUP(all_lmics1819[[Setting]:[Setting]],all_cause_mort[],20,FALSE))*0.95</f>
        <v>7.6199284349999993E-2</v>
      </c>
      <c r="AG86">
        <f>IF(VLOOKUP(all_lmics1819[[Setting]:[Setting]],all_cause_mort[],21,FALSE)="",VLOOKUP(all_lmics1819[[who_choice_region]:[who_choice_region]],missing[],25,FALSE),VLOOKUP(all_lmics1819[[Setting]:[Setting]],all_cause_mort[],21,FALSE))*0.95</f>
        <v>0.1201599995</v>
      </c>
      <c r="AH86">
        <f>IF(VLOOKUP(all_lmics1819[[Setting]:[Setting]],all_cause_mort[],22,FALSE)="",VLOOKUP(all_lmics1819[[who_choice_region]:[who_choice_region]],missing[],26,FALSE),VLOOKUP(all_lmics1819[[Setting]:[Setting]],all_cause_mort[],22,FALSE))*0.95</f>
        <v>0.181780581</v>
      </c>
      <c r="AI86">
        <f>IF(VLOOKUP(all_lmics1819[[Setting]:[Setting]],all_cause_mort[],23,FALSE)="",VLOOKUP(all_lmics1819[[who_choice_region]:[who_choice_region]],missing[],27,FALSE),VLOOKUP(all_lmics1819[[Setting]:[Setting]],all_cause_mort[],23,FALSE))*0.95</f>
        <v>0.265494695</v>
      </c>
      <c r="AJ86">
        <f>IF(VLOOKUP(all_lmics1819[[Setting]:[Setting]],all_cause_mort[],24,FALSE)="",VLOOKUP(all_lmics1819[[who_choice_region]:[who_choice_region]],missing[],28,FALSE),VLOOKUP(all_lmics1819[[Setting]:[Setting]],all_cause_mort[],24,FALSE))*0.95</f>
        <v>0.37007273749999997</v>
      </c>
      <c r="AK86">
        <f>IF(VLOOKUP(all_lmics1819[[Setting]:[Setting]],all_cause_mort[],25,FALSE)="",VLOOKUP(all_lmics1819[[who_choice_region]:[who_choice_region]],missing[],29,FALSE),VLOOKUP(all_lmics1819[[Setting]:[Setting]],all_cause_mort[],25,FALSE))*0.95</f>
        <v>0.47508290196639291</v>
      </c>
      <c r="AL86">
        <f>VLOOKUP(all_lmics1819[[worldbank_region]:[worldbank_region]],Table13[],2,FALSE)*0.95</f>
        <v>42.29888489999999</v>
      </c>
      <c r="AM86">
        <f>VLOOKUP(all_lmics1819[[worldbank_region]:[worldbank_region]],Table13[],3,FALSE)*0.95</f>
        <v>42.29888489999999</v>
      </c>
      <c r="AN86">
        <f>VLOOKUP(all_lmics1819[[worldbank_region]:[worldbank_region]],Table13[],4,FALSE)*0.95</f>
        <v>87.641301899999988</v>
      </c>
      <c r="AO86">
        <f>VLOOKUP(all_lmics1819[[worldbank_region]:[worldbank_region]],Table13[],5,FALSE)*0.95</f>
        <v>87.641301899999988</v>
      </c>
      <c r="AP86">
        <f>VLOOKUP(all_lmics1819[[worldbank_region]:[worldbank_region]],Table13[],6,FALSE)*0.95</f>
        <v>87.641301899999988</v>
      </c>
      <c r="AQ86">
        <f>VLOOKUP(all_lmics1819[[worldbank_region]:[worldbank_region]],Table14[],2,FALSE)*0.95</f>
        <v>6.0973773999999992</v>
      </c>
      <c r="AR86">
        <f>VLOOKUP(all_lmics1819[[worldbank_region]:[worldbank_region]],Table14[],3,FALSE)*0.95</f>
        <v>6.6840023999999998</v>
      </c>
      <c r="AS86">
        <f>VLOOKUP(all_lmics1819[[worldbank_region]:[worldbank_region]],Table14[],4,FALSE)*0.95</f>
        <v>9.9587293499999969</v>
      </c>
      <c r="AT86">
        <f>VLOOKUP(all_lmics1819[[worldbank_region]:[worldbank_region]],Table14[],5,FALSE)*0.95</f>
        <v>10.545354349999998</v>
      </c>
      <c r="AU86">
        <f>VLOOKUP(all_lmics1819[[worldbank_region]:[worldbank_region]],Table14[],6,FALSE)*0.95</f>
        <v>11.087093749999999</v>
      </c>
      <c r="AV86">
        <f>IFERROR(VLOOKUP(all_lmics1819[[Setting]:[Setting]],nFacSBA[],4,FALSE),VLOOKUP(all_lmics1819[[who_choice_region]:[who_choice_region]],missing[],30,FALSE))*0.95</f>
        <v>0.50689921499704871</v>
      </c>
      <c r="AW86">
        <f>VLOOKUP(all_lmics1819[[worldbank_region]:[worldbank_region]],hbe[],3)</f>
        <v>0.2</v>
      </c>
      <c r="AX86">
        <f>VLOOKUP(all_lmics1819[[worldbank_region]:[worldbank_region]],hbe[],6)</f>
        <v>0.75</v>
      </c>
      <c r="AY86">
        <f>VLOOKUP(all_lmics1819[[worldbank_region]:[worldbank_region]],hbe[],9)</f>
        <v>0.05</v>
      </c>
    </row>
    <row r="87" spans="1:51" x14ac:dyDescent="0.35">
      <c r="A87" s="12" t="s">
        <v>220</v>
      </c>
      <c r="B87" s="13" t="s">
        <v>22</v>
      </c>
      <c r="C87" s="14" t="s">
        <v>383</v>
      </c>
      <c r="D87">
        <f>VLOOKUP(all_lmics1819[[Setting]:[Setting]],populations[],9,FALSE)</f>
        <v>31977065</v>
      </c>
      <c r="E87">
        <f>VLOOKUP(all_lmics1819[[Setting]:[Setting]],birthrate[],3,FALSE)</f>
        <v>1.9030000000000002E-2</v>
      </c>
      <c r="F87">
        <f>all_lmics1819[[#This Row],[2017_population]]*all_lmics1819[[#This Row],[2016_birthrate]]</f>
        <v>608523.54695000011</v>
      </c>
      <c r="G87">
        <f>VLOOKUP(all_lmics1819[[Setting]:[Setting]],birthdose[],4,FALSE)*0.95</f>
        <v>0.53200000000000003</v>
      </c>
      <c r="H87">
        <f>VLOOKUP(all_lmics1819[[Setting]:[Setting]],fullvax[],4,FALSE)*0.95</f>
        <v>0.79799999999999993</v>
      </c>
      <c r="I87">
        <f>IFERROR(VLOOKUP(all_lmics1819[[Setting]:[Setting]],prev[],3,FALSE),VLOOKUP(all_lmics1819[[who_choice_region]:[who_choice_region]],missing[],2,FALSE))</f>
        <v>1.2E-2</v>
      </c>
      <c r="J87">
        <f>IFERROR(VLOOKUP(all_lmics1819[[Setting]:[Setting]],prev[],4,FALSE),VLOOKUP(all_lmics1819[[who_choice_region]:[who_choice_region]],missing[],3,FALSE))</f>
        <v>1.0999999999999999E-2</v>
      </c>
      <c r="K87">
        <f>IFERROR(VLOOKUP(all_lmics1819[[Setting]:[Setting]],prev[],5,FALSE),VLOOKUP(all_lmics1819[[who_choice_region]:[who_choice_region]],missing[],4,FALSE))</f>
        <v>1.7999999999999999E-2</v>
      </c>
      <c r="L87">
        <f>IFERROR(VLOOKUP(all_lmics1819[[Setting]:[Setting]],prev[],7,FALSE),VLOOKUP(all_lmics1819[[who_choice_region]:[who_choice_region]],missing[],5,FALSE))</f>
        <v>3.0612244897959178E-3</v>
      </c>
      <c r="M87">
        <f>IFERROR(VLOOKUP(all_lmics1819[[Setting]:[Setting]],prev[],6,FALSE),0)</f>
        <v>31977065</v>
      </c>
      <c r="N87">
        <f>IFERROR(VLOOKUP(all_lmics1819[[Setting]:[Setting]],SBA[],4,FALSE),VLOOKUP(all_lmics1819[[who_choice_region]:[who_choice_region]],missing[],6,FALSE))*0.95</f>
        <v>0.91390000000000005</v>
      </c>
      <c r="O87">
        <f>IFERROR(VLOOKUP(all_lmics1819[[Setting]:[Setting]], facility[], 3,FALSE),VLOOKUP(all_lmics1819[[who_choice_region]:[who_choice_region]],missing[],7,FALSE))*0.95</f>
        <v>0.93992999999999993</v>
      </c>
      <c r="P87">
        <f>IF(VLOOKUP(all_lmics1819[[Setting]:[Setting]],all_cause_mort[],4,FALSE)="",VLOOKUP(all_lmics1819[[who_choice_region]:[who_choice_region]],missing[],8,FALSE),VLOOKUP(all_lmics1819[[Setting]:[Setting]],all_cause_mort[],4,FALSE))*0.95</f>
        <v>2.4979936499999997E-2</v>
      </c>
      <c r="Q87">
        <f>IF(VLOOKUP(all_lmics1819[[Setting]:[Setting]],all_cause_mort[],5,FALSE)="",VLOOKUP(all_lmics1819[[who_choice_region]:[who_choice_region]],missing[],9,FALSE),VLOOKUP(all_lmics1819[[Setting]:[Setting]],all_cause_mort[],5,FALSE))*0.95</f>
        <v>1.260213665E-3</v>
      </c>
      <c r="R87">
        <f>IF(VLOOKUP(all_lmics1819[[Setting]:[Setting]],all_cause_mort[],6,FALSE)="",VLOOKUP(all_lmics1819[[who_choice_region]:[who_choice_region]],missing[],10,FALSE),VLOOKUP(all_lmics1819[[Setting]:[Setting]],all_cause_mort[],6,FALSE))*0.95</f>
        <v>2.2883748199999999E-4</v>
      </c>
      <c r="S87">
        <f>IF(VLOOKUP(all_lmics1819[[Setting]:[Setting]],all_cause_mort[],7,FALSE)="",VLOOKUP(all_lmics1819[[who_choice_region]:[who_choice_region]],missing[],11,FALSE),VLOOKUP(all_lmics1819[[Setting]:[Setting]],all_cause_mort[],7,FALSE))*0.95</f>
        <v>3.30026143E-4</v>
      </c>
      <c r="T87">
        <f>IF(VLOOKUP(all_lmics1819[[Setting]:[Setting]],all_cause_mort[],8,FALSE)="",VLOOKUP(all_lmics1819[[who_choice_region]:[who_choice_region]],missing[],12,FALSE),VLOOKUP(all_lmics1819[[Setting]:[Setting]],all_cause_mort[],8,FALSE))*0.95</f>
        <v>1.351600625E-3</v>
      </c>
      <c r="U87">
        <f>IF(VLOOKUP(all_lmics1819[[Setting]:[Setting]],all_cause_mort[],9,FALSE)="",VLOOKUP(all_lmics1819[[who_choice_region]:[who_choice_region]],missing[],13,FALSE),VLOOKUP(all_lmics1819[[Setting]:[Setting]],all_cause_mort[],9,FALSE))*0.95</f>
        <v>2.1043632399999996E-3</v>
      </c>
      <c r="V87">
        <f>IF(VLOOKUP(all_lmics1819[[Setting]:[Setting]],all_cause_mort[],10,FALSE)="",VLOOKUP(all_lmics1819[[who_choice_region]:[who_choice_region]],missing[],14,FALSE),VLOOKUP(all_lmics1819[[Setting]:[Setting]],all_cause_mort[],10,FALSE))*0.95</f>
        <v>2.0683933899999997E-3</v>
      </c>
      <c r="W87">
        <f>IF(VLOOKUP(all_lmics1819[[Setting]:[Setting]],all_cause_mort[],11,FALSE)="",VLOOKUP(all_lmics1819[[who_choice_region]:[who_choice_region]],missing[],15,FALSE),VLOOKUP(all_lmics1819[[Setting]:[Setting]],all_cause_mort[],11,FALSE))*0.95</f>
        <v>2.0330041799999999E-3</v>
      </c>
      <c r="X87">
        <f>IF(VLOOKUP(all_lmics1819[[Setting]:[Setting]],all_cause_mort[],12,FALSE)="",VLOOKUP(all_lmics1819[[who_choice_region]:[who_choice_region]],missing[],16,FALSE),VLOOKUP(all_lmics1819[[Setting]:[Setting]],all_cause_mort[],12,FALSE))*0.95</f>
        <v>2.0021759199999999E-3</v>
      </c>
      <c r="Y87">
        <f>IF(VLOOKUP(all_lmics1819[[Setting]:[Setting]],all_cause_mort[],13,FALSE)="",VLOOKUP(all_lmics1819[[who_choice_region]:[who_choice_region]],missing[],17,FALSE),VLOOKUP(all_lmics1819[[Setting]:[Setting]],all_cause_mort[],13,FALSE))*0.95</f>
        <v>2.532510855E-3</v>
      </c>
      <c r="Z87">
        <f>IF(VLOOKUP(all_lmics1819[[Setting]:[Setting]],all_cause_mort[],14,FALSE)="",VLOOKUP(all_lmics1819[[who_choice_region]:[who_choice_region]],missing[],18,FALSE),VLOOKUP(all_lmics1819[[Setting]:[Setting]],all_cause_mort[],14,FALSE))*0.95</f>
        <v>3.7795491599999995E-3</v>
      </c>
      <c r="AA87">
        <f>IF(VLOOKUP(all_lmics1819[[Setting]:[Setting]],all_cause_mort[],15,FALSE)="",VLOOKUP(all_lmics1819[[who_choice_region]:[who_choice_region]],missing[],19,FALSE),VLOOKUP(all_lmics1819[[Setting]:[Setting]],all_cause_mort[],15,FALSE))*0.95</f>
        <v>6.0967514449999996E-3</v>
      </c>
      <c r="AB87">
        <f>IF(VLOOKUP(all_lmics1819[[Setting]:[Setting]],all_cause_mort[],16,FALSE)="",VLOOKUP(all_lmics1819[[who_choice_region]:[who_choice_region]],missing[],20,FALSE),VLOOKUP(all_lmics1819[[Setting]:[Setting]],all_cause_mort[],16,FALSE))*0.95</f>
        <v>9.3037303799999999E-3</v>
      </c>
      <c r="AC87">
        <f>IF(VLOOKUP(all_lmics1819[[Setting]:[Setting]],all_cause_mort[],17,FALSE)="",VLOOKUP(all_lmics1819[[who_choice_region]:[who_choice_region]],missing[],21,FALSE),VLOOKUP(all_lmics1819[[Setting]:[Setting]],all_cause_mort[],17,FALSE))*0.95</f>
        <v>1.4671255649999999E-2</v>
      </c>
      <c r="AD87">
        <f>IF(VLOOKUP(all_lmics1819[[Setting]:[Setting]],all_cause_mort[],18,FALSE)="",VLOOKUP(all_lmics1819[[who_choice_region]:[who_choice_region]],missing[],22,FALSE),VLOOKUP(all_lmics1819[[Setting]:[Setting]],all_cause_mort[],18,FALSE))*0.95</f>
        <v>2.4819632549999998E-2</v>
      </c>
      <c r="AE87">
        <f>IF(VLOOKUP(all_lmics1819[[Setting]:[Setting]],all_cause_mort[],19,FALSE)="",VLOOKUP(all_lmics1819[[who_choice_region]:[who_choice_region]],missing[],23,FALSE),VLOOKUP(all_lmics1819[[Setting]:[Setting]],all_cause_mort[],19,FALSE))*0.95</f>
        <v>3.7916470299999998E-2</v>
      </c>
      <c r="AF87">
        <f>IF(VLOOKUP(all_lmics1819[[Setting]:[Setting]],all_cause_mort[],20,FALSE)="",VLOOKUP(all_lmics1819[[who_choice_region]:[who_choice_region]],missing[],24,FALSE),VLOOKUP(all_lmics1819[[Setting]:[Setting]],all_cause_mort[],20,FALSE))*0.95</f>
        <v>5.6996066999999997E-2</v>
      </c>
      <c r="AG87">
        <f>IF(VLOOKUP(all_lmics1819[[Setting]:[Setting]],all_cause_mort[],21,FALSE)="",VLOOKUP(all_lmics1819[[who_choice_region]:[who_choice_region]],missing[],25,FALSE),VLOOKUP(all_lmics1819[[Setting]:[Setting]],all_cause_mort[],21,FALSE))*0.95</f>
        <v>7.5134397999999991E-2</v>
      </c>
      <c r="AH87">
        <f>IF(VLOOKUP(all_lmics1819[[Setting]:[Setting]],all_cause_mort[],22,FALSE)="",VLOOKUP(all_lmics1819[[who_choice_region]:[who_choice_region]],missing[],26,FALSE),VLOOKUP(all_lmics1819[[Setting]:[Setting]],all_cause_mort[],22,FALSE))*0.95</f>
        <v>0.11550514199999999</v>
      </c>
      <c r="AI87">
        <f>IF(VLOOKUP(all_lmics1819[[Setting]:[Setting]],all_cause_mort[],23,FALSE)="",VLOOKUP(all_lmics1819[[who_choice_region]:[who_choice_region]],missing[],27,FALSE),VLOOKUP(all_lmics1819[[Setting]:[Setting]],all_cause_mort[],23,FALSE))*0.95</f>
        <v>0.1547719575</v>
      </c>
      <c r="AJ87">
        <f>IF(VLOOKUP(all_lmics1819[[Setting]:[Setting]],all_cause_mort[],24,FALSE)="",VLOOKUP(all_lmics1819[[who_choice_region]:[who_choice_region]],missing[],28,FALSE),VLOOKUP(all_lmics1819[[Setting]:[Setting]],all_cause_mort[],24,FALSE))*0.95</f>
        <v>0.23612606249999998</v>
      </c>
      <c r="AK87">
        <f>IF(VLOOKUP(all_lmics1819[[Setting]:[Setting]],all_cause_mort[],25,FALSE)="",VLOOKUP(all_lmics1819[[who_choice_region]:[who_choice_region]],missing[],29,FALSE),VLOOKUP(all_lmics1819[[Setting]:[Setting]],all_cause_mort[],25,FALSE))*0.95</f>
        <v>0.351975916844467</v>
      </c>
      <c r="AL87">
        <f>VLOOKUP(all_lmics1819[[worldbank_region]:[worldbank_region]],Table13[],2,FALSE)*0.95</f>
        <v>82.51698764999999</v>
      </c>
      <c r="AM87">
        <f>VLOOKUP(all_lmics1819[[worldbank_region]:[worldbank_region]],Table13[],3,FALSE)*0.95</f>
        <v>82.51698764999999</v>
      </c>
      <c r="AN87">
        <f>VLOOKUP(all_lmics1819[[worldbank_region]:[worldbank_region]],Table13[],4,FALSE)*0.95</f>
        <v>127.85940464999999</v>
      </c>
      <c r="AO87">
        <f>VLOOKUP(all_lmics1819[[worldbank_region]:[worldbank_region]],Table13[],5,FALSE)*0.95</f>
        <v>127.85940464999999</v>
      </c>
      <c r="AP87">
        <f>VLOOKUP(all_lmics1819[[worldbank_region]:[worldbank_region]],Table13[],6,FALSE)*0.95</f>
        <v>127.85940464999999</v>
      </c>
      <c r="AQ87">
        <f>VLOOKUP(all_lmics1819[[worldbank_region]:[worldbank_region]],Table14[],2,FALSE)*0.95</f>
        <v>1.4389099000000001</v>
      </c>
      <c r="AR87">
        <f>VLOOKUP(all_lmics1819[[worldbank_region]:[worldbank_region]],Table14[],3,FALSE)*0.95</f>
        <v>2.0255348999999998</v>
      </c>
      <c r="AS87">
        <f>VLOOKUP(all_lmics1819[[worldbank_region]:[worldbank_region]],Table14[],4,FALSE)*0.95</f>
        <v>1.4596142000000001</v>
      </c>
      <c r="AT87">
        <f>VLOOKUP(all_lmics1819[[worldbank_region]:[worldbank_region]],Table14[],5,FALSE)*0.95</f>
        <v>2.0462391999999996</v>
      </c>
      <c r="AU87">
        <f>VLOOKUP(all_lmics1819[[worldbank_region]:[worldbank_region]],Table14[],6,FALSE)*0.95</f>
        <v>2.5879785999999996</v>
      </c>
      <c r="AV87">
        <f>IFERROR(VLOOKUP(all_lmics1819[[Setting]:[Setting]],nFacSBA[],4,FALSE),VLOOKUP(all_lmics1819[[who_choice_region]:[who_choice_region]],missing[],30,FALSE))*0.95</f>
        <v>0.19387920306497206</v>
      </c>
      <c r="AW87">
        <f>VLOOKUP(all_lmics1819[[worldbank_region]:[worldbank_region]],hbe[],3)</f>
        <v>0.2</v>
      </c>
      <c r="AX87">
        <f>VLOOKUP(all_lmics1819[[worldbank_region]:[worldbank_region]],hbe[],6)</f>
        <v>0.75</v>
      </c>
      <c r="AY87">
        <f>VLOOKUP(all_lmics1819[[worldbank_region]:[worldbank_region]],hbe[],9)</f>
        <v>0.05</v>
      </c>
    </row>
    <row r="88" spans="1:51" x14ac:dyDescent="0.35">
      <c r="A88" s="8" t="s">
        <v>221</v>
      </c>
      <c r="B88" s="10" t="s">
        <v>57</v>
      </c>
      <c r="C88" s="11" t="s">
        <v>58</v>
      </c>
      <c r="D88">
        <f>VLOOKUP(all_lmics1819[[Setting]:[Setting]],populations[],9,FALSE)</f>
        <v>95540800</v>
      </c>
      <c r="E88">
        <f>VLOOKUP(all_lmics1819[[Setting]:[Setting]],birthrate[],3,FALSE)</f>
        <v>1.6690999999999998E-2</v>
      </c>
      <c r="F88">
        <f>all_lmics1819[[#This Row],[2017_population]]*all_lmics1819[[#This Row],[2016_birthrate]]</f>
        <v>1594671.4927999997</v>
      </c>
      <c r="G88">
        <f>VLOOKUP(all_lmics1819[[Setting]:[Setting]],birthdose[],4,FALSE)*0.95</f>
        <v>0.73149999999999993</v>
      </c>
      <c r="H88">
        <f>VLOOKUP(all_lmics1819[[Setting]:[Setting]],fullvax[],4,FALSE)*0.95</f>
        <v>0.8929999999999999</v>
      </c>
      <c r="I88">
        <f>IFERROR(VLOOKUP(all_lmics1819[[Setting]:[Setting]],prev[],3,FALSE),VLOOKUP(all_lmics1819[[who_choice_region]:[who_choice_region]],missing[],2,FALSE))</f>
        <v>8.2000000000000003E-2</v>
      </c>
      <c r="J88">
        <f>IFERROR(VLOOKUP(all_lmics1819[[Setting]:[Setting]],prev[],4,FALSE),VLOOKUP(all_lmics1819[[who_choice_region]:[who_choice_region]],missing[],3,FALSE))</f>
        <v>7.2999999999999995E-2</v>
      </c>
      <c r="K88">
        <f>IFERROR(VLOOKUP(all_lmics1819[[Setting]:[Setting]],prev[],5,FALSE),VLOOKUP(all_lmics1819[[who_choice_region]:[who_choice_region]],missing[],4,FALSE))</f>
        <v>0.10299999999999999</v>
      </c>
      <c r="L88">
        <f>IFERROR(VLOOKUP(all_lmics1819[[Setting]:[Setting]],prev[],7,FALSE),VLOOKUP(all_lmics1819[[who_choice_region]:[who_choice_region]],missing[],5,FALSE))</f>
        <v>1.0714285714285709E-2</v>
      </c>
      <c r="M88">
        <f>IFERROR(VLOOKUP(all_lmics1819[[Setting]:[Setting]],prev[],6,FALSE),0)</f>
        <v>95540800</v>
      </c>
      <c r="N88">
        <f>IFERROR(VLOOKUP(all_lmics1819[[Setting]:[Setting]],SBA[],4,FALSE),VLOOKUP(all_lmics1819[[who_choice_region]:[who_choice_region]],missing[],6,FALSE))*0.95</f>
        <v>0.89109999999999989</v>
      </c>
      <c r="O88">
        <f>IFERROR(VLOOKUP(all_lmics1819[[Setting]:[Setting]], facility[], 3,FALSE),VLOOKUP(all_lmics1819[[who_choice_region]:[who_choice_region]],missing[],7,FALSE))*0.95</f>
        <v>0.88919999999999988</v>
      </c>
      <c r="P88">
        <f>IF(VLOOKUP(all_lmics1819[[Setting]:[Setting]],all_cause_mort[],4,FALSE)="",VLOOKUP(all_lmics1819[[who_choice_region]:[who_choice_region]],missing[],8,FALSE),VLOOKUP(all_lmics1819[[Setting]:[Setting]],all_cause_mort[],4,FALSE))*0.95</f>
        <v>1.6127958099999999E-2</v>
      </c>
      <c r="Q88">
        <f>IF(VLOOKUP(all_lmics1819[[Setting]:[Setting]],all_cause_mort[],5,FALSE)="",VLOOKUP(all_lmics1819[[who_choice_region]:[who_choice_region]],missing[],9,FALSE),VLOOKUP(all_lmics1819[[Setting]:[Setting]],all_cause_mort[],5,FALSE))*0.95</f>
        <v>1.0229949599999998E-3</v>
      </c>
      <c r="R88">
        <f>IF(VLOOKUP(all_lmics1819[[Setting]:[Setting]],all_cause_mort[],6,FALSE)="",VLOOKUP(all_lmics1819[[who_choice_region]:[who_choice_region]],missing[],10,FALSE),VLOOKUP(all_lmics1819[[Setting]:[Setting]],all_cause_mort[],6,FALSE))*0.95</f>
        <v>4.9450980799999999E-4</v>
      </c>
      <c r="S88">
        <f>IF(VLOOKUP(all_lmics1819[[Setting]:[Setting]],all_cause_mort[],7,FALSE)="",VLOOKUP(all_lmics1819[[who_choice_region]:[who_choice_region]],missing[],11,FALSE),VLOOKUP(all_lmics1819[[Setting]:[Setting]],all_cause_mort[],7,FALSE))*0.95</f>
        <v>4.4154105699999998E-4</v>
      </c>
      <c r="T88">
        <f>IF(VLOOKUP(all_lmics1819[[Setting]:[Setting]],all_cause_mort[],8,FALSE)="",VLOOKUP(all_lmics1819[[who_choice_region]:[who_choice_region]],missing[],12,FALSE),VLOOKUP(all_lmics1819[[Setting]:[Setting]],all_cause_mort[],8,FALSE))*0.95</f>
        <v>7.1097189650000002E-4</v>
      </c>
      <c r="U88">
        <f>IF(VLOOKUP(all_lmics1819[[Setting]:[Setting]],all_cause_mort[],9,FALSE)="",VLOOKUP(all_lmics1819[[who_choice_region]:[who_choice_region]],missing[],13,FALSE),VLOOKUP(all_lmics1819[[Setting]:[Setting]],all_cause_mort[],9,FALSE))*0.95</f>
        <v>1.0429453399999999E-3</v>
      </c>
      <c r="V88">
        <f>IF(VLOOKUP(all_lmics1819[[Setting]:[Setting]],all_cause_mort[],10,FALSE)="",VLOOKUP(all_lmics1819[[who_choice_region]:[who_choice_region]],missing[],14,FALSE),VLOOKUP(all_lmics1819[[Setting]:[Setting]],all_cause_mort[],10,FALSE))*0.95</f>
        <v>1.2846990599999998E-3</v>
      </c>
      <c r="W88">
        <f>IF(VLOOKUP(all_lmics1819[[Setting]:[Setting]],all_cause_mort[],11,FALSE)="",VLOOKUP(all_lmics1819[[who_choice_region]:[who_choice_region]],missing[],15,FALSE),VLOOKUP(all_lmics1819[[Setting]:[Setting]],all_cause_mort[],11,FALSE))*0.95</f>
        <v>1.5010977549999999E-3</v>
      </c>
      <c r="X88">
        <f>IF(VLOOKUP(all_lmics1819[[Setting]:[Setting]],all_cause_mort[],12,FALSE)="",VLOOKUP(all_lmics1819[[who_choice_region]:[who_choice_region]],missing[],16,FALSE),VLOOKUP(all_lmics1819[[Setting]:[Setting]],all_cause_mort[],12,FALSE))*0.95</f>
        <v>1.8581951549999998E-3</v>
      </c>
      <c r="Y88">
        <f>IF(VLOOKUP(all_lmics1819[[Setting]:[Setting]],all_cause_mort[],13,FALSE)="",VLOOKUP(all_lmics1819[[who_choice_region]:[who_choice_region]],missing[],17,FALSE),VLOOKUP(all_lmics1819[[Setting]:[Setting]],all_cause_mort[],13,FALSE))*0.95</f>
        <v>2.6262751900000001E-3</v>
      </c>
      <c r="Z88">
        <f>IF(VLOOKUP(all_lmics1819[[Setting]:[Setting]],all_cause_mort[],14,FALSE)="",VLOOKUP(all_lmics1819[[who_choice_region]:[who_choice_region]],missing[],18,FALSE),VLOOKUP(all_lmics1819[[Setting]:[Setting]],all_cause_mort[],14,FALSE))*0.95</f>
        <v>3.6875470749999999E-3</v>
      </c>
      <c r="AA88">
        <f>IF(VLOOKUP(all_lmics1819[[Setting]:[Setting]],all_cause_mort[],15,FALSE)="",VLOOKUP(all_lmics1819[[who_choice_region]:[who_choice_region]],missing[],19,FALSE),VLOOKUP(all_lmics1819[[Setting]:[Setting]],all_cause_mort[],15,FALSE))*0.95</f>
        <v>5.8752954249999996E-3</v>
      </c>
      <c r="AB88">
        <f>IF(VLOOKUP(all_lmics1819[[Setting]:[Setting]],all_cause_mort[],16,FALSE)="",VLOOKUP(all_lmics1819[[who_choice_region]:[who_choice_region]],missing[],20,FALSE),VLOOKUP(all_lmics1819[[Setting]:[Setting]],all_cause_mort[],16,FALSE))*0.95</f>
        <v>8.8287479549999989E-3</v>
      </c>
      <c r="AC88">
        <f>IF(VLOOKUP(all_lmics1819[[Setting]:[Setting]],all_cause_mort[],17,FALSE)="",VLOOKUP(all_lmics1819[[who_choice_region]:[who_choice_region]],missing[],21,FALSE),VLOOKUP(all_lmics1819[[Setting]:[Setting]],all_cause_mort[],17,FALSE))*0.95</f>
        <v>1.21050311E-2</v>
      </c>
      <c r="AD88">
        <f>IF(VLOOKUP(all_lmics1819[[Setting]:[Setting]],all_cause_mort[],18,FALSE)="",VLOOKUP(all_lmics1819[[who_choice_region]:[who_choice_region]],missing[],22,FALSE),VLOOKUP(all_lmics1819[[Setting]:[Setting]],all_cause_mort[],18,FALSE))*0.95</f>
        <v>1.9592570099999998E-2</v>
      </c>
      <c r="AE88">
        <f>IF(VLOOKUP(all_lmics1819[[Setting]:[Setting]],all_cause_mort[],19,FALSE)="",VLOOKUP(all_lmics1819[[who_choice_region]:[who_choice_region]],missing[],23,FALSE),VLOOKUP(all_lmics1819[[Setting]:[Setting]],all_cause_mort[],19,FALSE))*0.95</f>
        <v>2.9140160349999999E-2</v>
      </c>
      <c r="AF88">
        <f>IF(VLOOKUP(all_lmics1819[[Setting]:[Setting]],all_cause_mort[],20,FALSE)="",VLOOKUP(all_lmics1819[[who_choice_region]:[who_choice_region]],missing[],24,FALSE),VLOOKUP(all_lmics1819[[Setting]:[Setting]],all_cause_mort[],20,FALSE))*0.95</f>
        <v>4.367488295E-2</v>
      </c>
      <c r="AG88">
        <f>IF(VLOOKUP(all_lmics1819[[Setting]:[Setting]],all_cause_mort[],21,FALSE)="",VLOOKUP(all_lmics1819[[who_choice_region]:[who_choice_region]],missing[],25,FALSE),VLOOKUP(all_lmics1819[[Setting]:[Setting]],all_cause_mort[],21,FALSE))*0.95</f>
        <v>6.5389457599999992E-2</v>
      </c>
      <c r="AH88">
        <f>IF(VLOOKUP(all_lmics1819[[Setting]:[Setting]],all_cause_mort[],22,FALSE)="",VLOOKUP(all_lmics1819[[who_choice_region]:[who_choice_region]],missing[],26,FALSE),VLOOKUP(all_lmics1819[[Setting]:[Setting]],all_cause_mort[],22,FALSE))*0.95</f>
        <v>9.7293499500000005E-2</v>
      </c>
      <c r="AI88">
        <f>IF(VLOOKUP(all_lmics1819[[Setting]:[Setting]],all_cause_mort[],23,FALSE)="",VLOOKUP(all_lmics1819[[who_choice_region]:[who_choice_region]],missing[],27,FALSE),VLOOKUP(all_lmics1819[[Setting]:[Setting]],all_cause_mort[],23,FALSE))*0.95</f>
        <v>0.14297648199999999</v>
      </c>
      <c r="AJ88">
        <f>IF(VLOOKUP(all_lmics1819[[Setting]:[Setting]],all_cause_mort[],24,FALSE)="",VLOOKUP(all_lmics1819[[who_choice_region]:[who_choice_region]],missing[],28,FALSE),VLOOKUP(all_lmics1819[[Setting]:[Setting]],all_cause_mort[],24,FALSE))*0.95</f>
        <v>0.20564104699999999</v>
      </c>
      <c r="AK88">
        <f>IF(VLOOKUP(all_lmics1819[[Setting]:[Setting]],all_cause_mort[],25,FALSE)="",VLOOKUP(all_lmics1819[[who_choice_region]:[who_choice_region]],missing[],29,FALSE),VLOOKUP(all_lmics1819[[Setting]:[Setting]],all_cause_mort[],25,FALSE))*0.95</f>
        <v>0.30089506145369838</v>
      </c>
      <c r="AL88">
        <f>VLOOKUP(all_lmics1819[[worldbank_region]:[worldbank_region]],Table13[],2,FALSE)*0.95</f>
        <v>69.411165749999981</v>
      </c>
      <c r="AM88">
        <f>VLOOKUP(all_lmics1819[[worldbank_region]:[worldbank_region]],Table13[],3,FALSE)*0.95</f>
        <v>69.411165749999981</v>
      </c>
      <c r="AN88">
        <f>VLOOKUP(all_lmics1819[[worldbank_region]:[worldbank_region]],Table13[],4,FALSE)*0.95</f>
        <v>114.75358274999998</v>
      </c>
      <c r="AO88">
        <f>VLOOKUP(all_lmics1819[[worldbank_region]:[worldbank_region]],Table13[],5,FALSE)*0.95</f>
        <v>114.75358274999998</v>
      </c>
      <c r="AP88">
        <f>VLOOKUP(all_lmics1819[[worldbank_region]:[worldbank_region]],Table13[],6,FALSE)*0.95</f>
        <v>114.75358274999998</v>
      </c>
      <c r="AQ88">
        <f>VLOOKUP(all_lmics1819[[worldbank_region]:[worldbank_region]],Table14[],2,FALSE)*0.95</f>
        <v>1.2732755</v>
      </c>
      <c r="AR88">
        <f>VLOOKUP(all_lmics1819[[worldbank_region]:[worldbank_region]],Table14[],3,FALSE)*0.95</f>
        <v>1.8599005</v>
      </c>
      <c r="AS88">
        <f>VLOOKUP(all_lmics1819[[worldbank_region]:[worldbank_region]],Table14[],4,FALSE)*0.95</f>
        <v>1.8737001999999996</v>
      </c>
      <c r="AT88">
        <f>VLOOKUP(all_lmics1819[[worldbank_region]:[worldbank_region]],Table14[],5,FALSE)*0.95</f>
        <v>2.4603251999999998</v>
      </c>
      <c r="AU88">
        <f>VLOOKUP(all_lmics1819[[worldbank_region]:[worldbank_region]],Table14[],6,FALSE)*0.95</f>
        <v>3.0020645999999997</v>
      </c>
      <c r="AV88">
        <f>IFERROR(VLOOKUP(all_lmics1819[[Setting]:[Setting]],nFacSBA[],4,FALSE),VLOOKUP(all_lmics1819[[who_choice_region]:[who_choice_region]],missing[],30,FALSE))*0.95</f>
        <v>0.10638590249276561</v>
      </c>
      <c r="AW88">
        <f>VLOOKUP(all_lmics1819[[worldbank_region]:[worldbank_region]],hbe[],3)</f>
        <v>0.2</v>
      </c>
      <c r="AX88">
        <f>VLOOKUP(all_lmics1819[[worldbank_region]:[worldbank_region]],hbe[],6)</f>
        <v>0.75</v>
      </c>
      <c r="AY88">
        <f>VLOOKUP(all_lmics1819[[worldbank_region]:[worldbank_region]],hbe[],9)</f>
        <v>0.05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costs_calc</vt:lpstr>
      <vt:lpstr>Geography</vt:lpstr>
      <vt:lpstr>Epidemiology</vt:lpstr>
      <vt:lpstr>Costs</vt:lpstr>
      <vt:lpstr>all_lmics</vt:lpstr>
      <vt:lpstr>missing_impute</vt:lpstr>
      <vt:lpstr>global</vt:lpstr>
      <vt:lpstr>countries</vt:lpstr>
      <vt:lpstr>countries_lb</vt:lpstr>
      <vt:lpstr>countries_ub</vt:lpstr>
      <vt:lpstr>regions</vt:lpstr>
      <vt:lpstr>regions_lb</vt:lpstr>
      <vt:lpstr>regions_ub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Seaman</dc:creator>
  <cp:lastModifiedBy>Chris Seaman</cp:lastModifiedBy>
  <dcterms:created xsi:type="dcterms:W3CDTF">2020-03-20T00:11:24Z</dcterms:created>
  <dcterms:modified xsi:type="dcterms:W3CDTF">2020-03-25T11:11:38Z</dcterms:modified>
</cp:coreProperties>
</file>